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0" yWindow="0" windowWidth="19200" windowHeight="11370" tabRatio="899"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办公" sheetId="78"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收益法 (元) 办公" sheetId="77"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29">'收益法 (元) 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Y6" i="1"/>
  <c r="Y7"/>
  <c r="D63" i="79" l="1"/>
  <c r="I13" i="3" l="1"/>
  <c r="A3" s="1"/>
  <c r="A126" i="78" l="1"/>
  <c r="A124"/>
  <c r="A122"/>
  <c r="A120"/>
  <c r="E111"/>
  <c r="H112" s="1"/>
  <c r="E109"/>
  <c r="H109" s="1"/>
  <c r="E107"/>
  <c r="H106"/>
  <c r="H105"/>
  <c r="H104"/>
  <c r="D101"/>
  <c r="C101"/>
  <c r="C91"/>
  <c r="E90"/>
  <c r="D89"/>
  <c r="C89" s="1"/>
  <c r="C87" s="1"/>
  <c r="H77"/>
  <c r="D77"/>
  <c r="C76"/>
  <c r="F59"/>
  <c r="E59"/>
  <c r="D59"/>
  <c r="F56"/>
  <c r="O55"/>
  <c r="N55"/>
  <c r="M55"/>
  <c r="K55"/>
  <c r="J55"/>
  <c r="I55"/>
  <c r="F55"/>
  <c r="O53" s="1"/>
  <c r="O54"/>
  <c r="N54"/>
  <c r="N53"/>
  <c r="K49"/>
  <c r="F48"/>
  <c r="O52" s="1"/>
  <c r="E48"/>
  <c r="N52" s="1"/>
  <c r="D48"/>
  <c r="M52" s="1"/>
  <c r="F33"/>
  <c r="D27"/>
  <c r="C25"/>
  <c r="C24"/>
  <c r="D17"/>
  <c r="C17"/>
  <c r="L4"/>
  <c r="K4"/>
  <c r="H1"/>
  <c r="Q72" i="77"/>
  <c r="Q59"/>
  <c r="K59"/>
  <c r="P74" s="1"/>
  <c r="F59"/>
  <c r="Q58"/>
  <c r="Q51"/>
  <c r="J50"/>
  <c r="M47"/>
  <c r="D46"/>
  <c r="F33"/>
  <c r="F61" s="1"/>
  <c r="F31"/>
  <c r="F23"/>
  <c r="D24" s="1"/>
  <c r="D23"/>
  <c r="D22"/>
  <c r="F21"/>
  <c r="F20"/>
  <c r="M19"/>
  <c r="F18"/>
  <c r="M17"/>
  <c r="F17"/>
  <c r="F15"/>
  <c r="H103" i="78" l="1"/>
  <c r="D120" s="1"/>
  <c r="H111"/>
  <c r="D126" s="1"/>
  <c r="D127" s="1"/>
  <c r="C18"/>
  <c r="D18" s="1"/>
  <c r="C92"/>
  <c r="C94"/>
  <c r="K120"/>
  <c r="D121"/>
  <c r="D124"/>
  <c r="D125" s="1"/>
  <c r="H110"/>
  <c r="M49"/>
  <c r="P61" i="77"/>
  <c r="B25" i="31"/>
  <c r="B24"/>
  <c r="A25"/>
  <c r="A24"/>
  <c r="N7" i="1"/>
  <c r="F20" i="6"/>
  <c r="C34" i="34" s="1"/>
  <c r="F19" i="6"/>
  <c r="C33" i="33" s="1"/>
  <c r="L66" i="78" l="1"/>
  <c r="M66" s="1"/>
  <c r="L65"/>
  <c r="M65" s="1"/>
  <c r="L64"/>
  <c r="M64" s="1"/>
  <c r="L68"/>
  <c r="M68" s="1"/>
  <c r="L67"/>
  <c r="M67" s="1"/>
  <c r="L63"/>
  <c r="M63" s="1"/>
  <c r="M69" s="1"/>
  <c r="N69" s="1"/>
  <c r="AH5" i="71"/>
  <c r="AG5"/>
  <c r="AE5"/>
  <c r="AF5" s="1"/>
  <c r="AD5"/>
  <c r="Q5"/>
  <c r="P5"/>
  <c r="O5"/>
  <c r="N5"/>
  <c r="L3" l="1"/>
  <c r="K3"/>
  <c r="I3"/>
  <c r="J3" l="1"/>
  <c r="AD6" l="1"/>
  <c r="AG6"/>
  <c r="AH6"/>
  <c r="AE6"/>
  <c r="AF6" s="1"/>
  <c r="N6"/>
  <c r="Q6"/>
  <c r="P6"/>
  <c r="O6"/>
  <c r="Q7" l="1"/>
  <c r="P7"/>
  <c r="O7"/>
  <c r="N7"/>
  <c r="A2" i="53" l="1"/>
  <c r="K59" i="67" l="1"/>
  <c r="P61" s="1"/>
  <c r="K59" i="15"/>
  <c r="P74"/>
  <c r="P61"/>
  <c r="P74" i="67" l="1"/>
  <c r="D116" i="39"/>
  <c r="E116"/>
  <c r="F116"/>
  <c r="G116"/>
  <c r="H116"/>
  <c r="I116"/>
  <c r="J116"/>
  <c r="K116"/>
  <c r="L116"/>
  <c r="M116"/>
  <c r="C116"/>
  <c r="A21" i="62" l="1"/>
  <c r="A20"/>
  <c r="A22" i="51"/>
  <c r="A21"/>
  <c r="A20"/>
  <c r="A15" i="62" l="1"/>
  <c r="A14"/>
  <c r="A13"/>
  <c r="A19" l="1"/>
  <c r="A12"/>
  <c r="A120" i="9"/>
  <c r="H2" i="52"/>
  <c r="A1"/>
  <c r="A3" i="53"/>
  <c r="Q8" i="71" l="1"/>
  <c r="P8"/>
  <c r="O8"/>
  <c r="N8"/>
  <c r="D5" i="43" l="1"/>
  <c r="A15" i="51" l="1"/>
  <c r="E7" i="76"/>
  <c r="E8"/>
  <c r="B7"/>
  <c r="B8"/>
  <c r="B11"/>
  <c r="B13"/>
  <c r="B12"/>
  <c r="B9"/>
  <c r="E11"/>
  <c r="E9"/>
  <c r="E13"/>
  <c r="E10"/>
  <c r="B10"/>
  <c r="E12"/>
  <c r="C76" i="9" l="1"/>
  <c r="I107" i="40" l="1"/>
  <c r="K6" i="4" l="1"/>
  <c r="M56" i="78" l="1"/>
  <c r="J56"/>
  <c r="J57" s="1"/>
  <c r="J59" s="1"/>
  <c r="J61" s="1"/>
  <c r="N56"/>
  <c r="K56"/>
  <c r="B22" i="31"/>
  <c r="N56" i="9" l="1"/>
  <c r="M56"/>
  <c r="K56"/>
  <c r="E16" i="74" l="1"/>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c r="AG22"/>
  <c r="AH22"/>
  <c r="S2" i="31" l="1"/>
  <c r="M2"/>
  <c r="N2"/>
  <c r="O2"/>
  <c r="P2"/>
  <c r="Q2"/>
  <c r="R2"/>
  <c r="C1" i="73" l="1"/>
  <c r="L1" s="1"/>
  <c r="F7"/>
  <c r="J1" l="1"/>
  <c r="B74" i="72"/>
  <c r="F4" i="73"/>
  <c r="F5"/>
  <c r="F3"/>
  <c r="D3"/>
  <c r="F6"/>
  <c r="I1" l="1"/>
  <c r="B39" i="1" s="1"/>
  <c r="D4" i="73"/>
  <c r="D6"/>
  <c r="D7"/>
  <c r="D5"/>
  <c r="M11" i="77" l="1"/>
  <c r="J10" s="1"/>
  <c r="F11"/>
  <c r="E20" i="43"/>
  <c r="Y12"/>
  <c r="Y10"/>
  <c r="AJ9"/>
  <c r="AJ12" s="1"/>
  <c r="AI9"/>
  <c r="AI12" s="1"/>
  <c r="AH9"/>
  <c r="AH12" s="1"/>
  <c r="AG9"/>
  <c r="AG12" s="1"/>
  <c r="AF9"/>
  <c r="AF12" s="1"/>
  <c r="AE9"/>
  <c r="AE12" s="1"/>
  <c r="AD9"/>
  <c r="AD12" s="1"/>
  <c r="AC9"/>
  <c r="AC12" s="1"/>
  <c r="AB9"/>
  <c r="AB12" s="1"/>
  <c r="AA9"/>
  <c r="AA12" s="1"/>
  <c r="Z9"/>
  <c r="Z12" s="1"/>
  <c r="C53" i="77" l="1"/>
  <c r="AA10" i="43"/>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B37" s="1"/>
  <c r="B38" s="1"/>
  <c r="S38"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Q20"/>
  <c r="AB20" s="1"/>
  <c r="P20"/>
  <c r="O20"/>
  <c r="Y20" s="1"/>
  <c r="Z20" s="1"/>
  <c r="N20"/>
  <c r="F20"/>
  <c r="F21" s="1"/>
  <c r="F22" s="1"/>
  <c r="V22" s="1"/>
  <c r="Q19"/>
  <c r="P19"/>
  <c r="O19"/>
  <c r="N19"/>
  <c r="D19"/>
  <c r="Q18"/>
  <c r="AB18" s="1"/>
  <c r="P18"/>
  <c r="O18"/>
  <c r="Y18" s="1"/>
  <c r="Z18" s="1"/>
  <c r="N18"/>
  <c r="Q17"/>
  <c r="AB17" s="1"/>
  <c r="P17"/>
  <c r="O17"/>
  <c r="Y17" s="1"/>
  <c r="Z17" s="1"/>
  <c r="N17"/>
  <c r="Q16"/>
  <c r="AB16" s="1"/>
  <c r="P16"/>
  <c r="O16"/>
  <c r="Y16" s="1"/>
  <c r="Z16" s="1"/>
  <c r="N16"/>
  <c r="F16"/>
  <c r="F17" s="1"/>
  <c r="F18" s="1"/>
  <c r="V18" s="1"/>
  <c r="Q15"/>
  <c r="P15"/>
  <c r="O15"/>
  <c r="N15"/>
  <c r="D15"/>
  <c r="Q14"/>
  <c r="AB14" s="1"/>
  <c r="P14"/>
  <c r="O14"/>
  <c r="Y14" s="1"/>
  <c r="Z14" s="1"/>
  <c r="N14"/>
  <c r="Q13"/>
  <c r="AB13" s="1"/>
  <c r="P13"/>
  <c r="O13"/>
  <c r="Y13" s="1"/>
  <c r="Z13" s="1"/>
  <c r="N13"/>
  <c r="Q12"/>
  <c r="AB12" s="1"/>
  <c r="P12"/>
  <c r="O12"/>
  <c r="Y12" s="1"/>
  <c r="Z12" s="1"/>
  <c r="N12"/>
  <c r="F12"/>
  <c r="F13" s="1"/>
  <c r="F14" s="1"/>
  <c r="V14" s="1"/>
  <c r="Q11"/>
  <c r="P11"/>
  <c r="O11"/>
  <c r="N11"/>
  <c r="D11"/>
  <c r="O10"/>
  <c r="N10"/>
  <c r="Y5" l="1"/>
  <c r="Z5" s="1"/>
  <c r="Y6"/>
  <c r="Z6" s="1"/>
  <c r="X6"/>
  <c r="X21"/>
  <c r="X5"/>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Y11"/>
  <c r="Z11" s="1"/>
  <c r="AB11"/>
  <c r="X12"/>
  <c r="AA12"/>
  <c r="X13"/>
  <c r="AA13"/>
  <c r="X14"/>
  <c r="AA14"/>
  <c r="C16"/>
  <c r="C17" s="1"/>
  <c r="Y15"/>
  <c r="Z15" s="1"/>
  <c r="AB15"/>
  <c r="X16"/>
  <c r="AA16"/>
  <c r="X17"/>
  <c r="AA17"/>
  <c r="X18"/>
  <c r="AA18"/>
  <c r="C20"/>
  <c r="Y19"/>
  <c r="Z19" s="1"/>
  <c r="AB19"/>
  <c r="X20"/>
  <c r="AA20"/>
  <c r="F33"/>
  <c r="F34" s="1"/>
  <c r="V34" s="1"/>
  <c r="C10"/>
  <c r="Y3"/>
  <c r="Z3" s="1"/>
  <c r="Y7"/>
  <c r="Z7" s="1"/>
  <c r="Y8"/>
  <c r="Z8" s="1"/>
  <c r="Y9"/>
  <c r="Z9" s="1"/>
  <c r="Y10"/>
  <c r="Z10" s="1"/>
  <c r="B10"/>
  <c r="B9" s="1"/>
  <c r="B8" s="1"/>
  <c r="B7" s="1"/>
  <c r="B6" s="1"/>
  <c r="X7"/>
  <c r="X8"/>
  <c r="X9"/>
  <c r="X3"/>
  <c r="X10"/>
  <c r="C13"/>
  <c r="D12"/>
  <c r="D16"/>
  <c r="C21"/>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A5" l="1"/>
  <c r="AA6"/>
  <c r="AB5"/>
  <c r="AB6"/>
  <c r="S6"/>
  <c r="B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Z21" i="33"/>
  <c r="Q21"/>
  <c r="D83"/>
  <c r="E83" s="1"/>
  <c r="C21"/>
  <c r="C21" i="21"/>
  <c r="Q21"/>
  <c r="Z21" s="1"/>
  <c r="H19"/>
  <c r="D83"/>
  <c r="F21" s="1"/>
  <c r="AA21" s="1"/>
  <c r="D81"/>
  <c r="G20" i="20"/>
  <c r="B86" i="43" s="1"/>
  <c r="C22" i="20"/>
  <c r="AO13" i="1"/>
  <c r="AO9"/>
  <c r="AO10"/>
  <c r="AO11"/>
  <c r="AO12"/>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M10" s="1"/>
  <c r="O10" s="1"/>
  <c r="K13"/>
  <c r="M13" s="1"/>
  <c r="O13" s="1"/>
  <c r="P13" s="1"/>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C108"/>
  <c r="BB108"/>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G105" s="1"/>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G102" s="1"/>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G100" s="1"/>
  <c r="BT99"/>
  <c r="BS99"/>
  <c r="BR99"/>
  <c r="BQ99"/>
  <c r="BP99"/>
  <c r="BO99"/>
  <c r="BN99"/>
  <c r="BM99"/>
  <c r="BL99" s="1"/>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c r="AX98"/>
  <c r="AW98"/>
  <c r="AV98"/>
  <c r="AC98"/>
  <c r="H98"/>
  <c r="BT97"/>
  <c r="BS97"/>
  <c r="BR97"/>
  <c r="BQ97"/>
  <c r="BP97"/>
  <c r="BO97"/>
  <c r="BN97"/>
  <c r="BM97"/>
  <c r="BL97"/>
  <c r="BK97"/>
  <c r="BJ97"/>
  <c r="BI97"/>
  <c r="BH97"/>
  <c r="BG97"/>
  <c r="BF97"/>
  <c r="BE97"/>
  <c r="BD97"/>
  <c r="BC97"/>
  <c r="BB97"/>
  <c r="BA97" s="1"/>
  <c r="AX97"/>
  <c r="AW97"/>
  <c r="AV97"/>
  <c r="AC97"/>
  <c r="H97"/>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AX94"/>
  <c r="AW94"/>
  <c r="AV94"/>
  <c r="AC94"/>
  <c r="H94"/>
  <c r="G94" s="1"/>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G92" s="1"/>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G89" s="1"/>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G87" s="1"/>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G85" s="1"/>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G81" s="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G78" s="1"/>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G76" s="1"/>
  <c r="BT75"/>
  <c r="BS75"/>
  <c r="BR75"/>
  <c r="BQ75"/>
  <c r="BP75"/>
  <c r="BO75"/>
  <c r="BN75"/>
  <c r="BM75"/>
  <c r="BL75" s="1"/>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G74" s="1"/>
  <c r="BT73"/>
  <c r="BS73"/>
  <c r="BR73"/>
  <c r="BQ73"/>
  <c r="BP73"/>
  <c r="BO73"/>
  <c r="BN73"/>
  <c r="BM73"/>
  <c r="BL73" s="1"/>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s="1"/>
  <c r="AX71"/>
  <c r="AW71"/>
  <c r="AV71"/>
  <c r="AC71"/>
  <c r="H71"/>
  <c r="G71" s="1"/>
  <c r="BT70"/>
  <c r="BS70"/>
  <c r="BR70"/>
  <c r="BQ70"/>
  <c r="BP70"/>
  <c r="BO70"/>
  <c r="BN70"/>
  <c r="BM70"/>
  <c r="BK70"/>
  <c r="BJ70"/>
  <c r="BI70"/>
  <c r="BH70"/>
  <c r="BG70"/>
  <c r="BF70"/>
  <c r="BE70"/>
  <c r="BD70"/>
  <c r="BC70"/>
  <c r="BB70"/>
  <c r="BA70"/>
  <c r="AX70"/>
  <c r="AW70"/>
  <c r="AV70"/>
  <c r="AC70"/>
  <c r="H70"/>
  <c r="BT69"/>
  <c r="BS69"/>
  <c r="BR69"/>
  <c r="BQ69"/>
  <c r="BP69"/>
  <c r="BO69"/>
  <c r="BN69"/>
  <c r="BM69"/>
  <c r="BL69"/>
  <c r="BK69"/>
  <c r="BJ69"/>
  <c r="BI69"/>
  <c r="BH69"/>
  <c r="BG69"/>
  <c r="BF69"/>
  <c r="BE69"/>
  <c r="BD69"/>
  <c r="BC69"/>
  <c r="BB69"/>
  <c r="BA69" s="1"/>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G67" s="1"/>
  <c r="BT66"/>
  <c r="BS66"/>
  <c r="BR66"/>
  <c r="BQ66"/>
  <c r="BP66"/>
  <c r="BO66"/>
  <c r="BN66"/>
  <c r="BM66"/>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s="1"/>
  <c r="AZ65" s="1"/>
  <c r="AX65"/>
  <c r="AW65"/>
  <c r="AV65"/>
  <c r="AC65"/>
  <c r="H65"/>
  <c r="G65" s="1"/>
  <c r="BT64"/>
  <c r="BS64"/>
  <c r="BR64"/>
  <c r="BQ64"/>
  <c r="BP64"/>
  <c r="BO64"/>
  <c r="BN64"/>
  <c r="BM64"/>
  <c r="BL64" s="1"/>
  <c r="BK64"/>
  <c r="BJ64"/>
  <c r="BI64"/>
  <c r="BH64"/>
  <c r="BG64"/>
  <c r="BF64"/>
  <c r="BE64"/>
  <c r="BD64"/>
  <c r="BC64"/>
  <c r="BB64"/>
  <c r="AX64"/>
  <c r="AW64"/>
  <c r="AV64"/>
  <c r="AC64"/>
  <c r="H64"/>
  <c r="G64" s="1"/>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G62" s="1"/>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G60" s="1"/>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G58" s="1"/>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G55" s="1"/>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G51" s="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G49" s="1"/>
  <c r="BT48"/>
  <c r="BS48"/>
  <c r="BR48"/>
  <c r="BQ48"/>
  <c r="BP48"/>
  <c r="BO48"/>
  <c r="BN48"/>
  <c r="BM48"/>
  <c r="BL48" s="1"/>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s="1"/>
  <c r="AZ46" s="1"/>
  <c r="AX46"/>
  <c r="AW46"/>
  <c r="AV46"/>
  <c r="AC46"/>
  <c r="H46"/>
  <c r="G46" s="1"/>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s="1"/>
  <c r="AX42"/>
  <c r="AW42"/>
  <c r="AV42"/>
  <c r="AC42"/>
  <c r="H42"/>
  <c r="G42" s="1"/>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s="1"/>
  <c r="AX39"/>
  <c r="AW39"/>
  <c r="AV39"/>
  <c r="AC39"/>
  <c r="H39"/>
  <c r="G39" s="1"/>
  <c r="BT38"/>
  <c r="BS38"/>
  <c r="BR38"/>
  <c r="BQ38"/>
  <c r="BP38"/>
  <c r="BO38"/>
  <c r="BN38"/>
  <c r="BM38"/>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BA37" s="1"/>
  <c r="AX37"/>
  <c r="AW37"/>
  <c r="AV37"/>
  <c r="AC37"/>
  <c r="H37"/>
  <c r="BT36"/>
  <c r="BS36"/>
  <c r="BR36"/>
  <c r="BQ36"/>
  <c r="BP36"/>
  <c r="BO36"/>
  <c r="BN36"/>
  <c r="BM36"/>
  <c r="BL36"/>
  <c r="BK36"/>
  <c r="BJ36"/>
  <c r="BI36"/>
  <c r="BH36"/>
  <c r="BG36"/>
  <c r="BF36"/>
  <c r="BE36"/>
  <c r="BD36"/>
  <c r="BC36"/>
  <c r="BB36"/>
  <c r="BA36" s="1"/>
  <c r="AZ36" s="1"/>
  <c r="AX36"/>
  <c r="AW36"/>
  <c r="AV36"/>
  <c r="AC36"/>
  <c r="H36"/>
  <c r="G36" s="1"/>
  <c r="BT35"/>
  <c r="BS35"/>
  <c r="BR35"/>
  <c r="BQ35"/>
  <c r="BP35"/>
  <c r="BO35"/>
  <c r="BN35"/>
  <c r="BM35"/>
  <c r="BK35"/>
  <c r="BJ35"/>
  <c r="BI35"/>
  <c r="BH35"/>
  <c r="BG35"/>
  <c r="BF35"/>
  <c r="BE35"/>
  <c r="BD35"/>
  <c r="BC35"/>
  <c r="BB35"/>
  <c r="BA35"/>
  <c r="AX35"/>
  <c r="AW35"/>
  <c r="AV35"/>
  <c r="AC35"/>
  <c r="H35"/>
  <c r="BT34"/>
  <c r="BS34"/>
  <c r="BR34"/>
  <c r="BQ34"/>
  <c r="BP34"/>
  <c r="BO34"/>
  <c r="BN34"/>
  <c r="BM34"/>
  <c r="BL34"/>
  <c r="BK34"/>
  <c r="BJ34"/>
  <c r="BI34"/>
  <c r="BH34"/>
  <c r="BG34"/>
  <c r="BF34"/>
  <c r="BE34"/>
  <c r="BD34"/>
  <c r="BC34"/>
  <c r="BB34"/>
  <c r="BA34" s="1"/>
  <c r="AZ34" s="1"/>
  <c r="AX34"/>
  <c r="AW34"/>
  <c r="AV34"/>
  <c r="AC34"/>
  <c r="H34"/>
  <c r="G34" s="1"/>
  <c r="BT33"/>
  <c r="BS33"/>
  <c r="BR33"/>
  <c r="BQ33"/>
  <c r="BP33"/>
  <c r="BO33"/>
  <c r="BN33"/>
  <c r="BM33"/>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s="1"/>
  <c r="AX32"/>
  <c r="AW32"/>
  <c r="AV32"/>
  <c r="AC32"/>
  <c r="H32"/>
  <c r="G32" s="1"/>
  <c r="BT31"/>
  <c r="BS31"/>
  <c r="BR31"/>
  <c r="BQ31"/>
  <c r="BP31"/>
  <c r="BO31"/>
  <c r="BN31"/>
  <c r="BM3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s="1"/>
  <c r="AZ30" s="1"/>
  <c r="AX30"/>
  <c r="AW30"/>
  <c r="AV30"/>
  <c r="AC30"/>
  <c r="H30"/>
  <c r="G30" s="1"/>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G27" s="1"/>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G24" s="1"/>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G21" s="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G19" s="1"/>
  <c r="BT18"/>
  <c r="BS18"/>
  <c r="BR18"/>
  <c r="BQ18"/>
  <c r="BP18"/>
  <c r="BO18"/>
  <c r="BN18"/>
  <c r="BM18"/>
  <c r="BL18" s="1"/>
  <c r="BK18"/>
  <c r="BJ18"/>
  <c r="BI18"/>
  <c r="BH18"/>
  <c r="BG18"/>
  <c r="BF18"/>
  <c r="BE18"/>
  <c r="BD18"/>
  <c r="BC18"/>
  <c r="BB18"/>
  <c r="AX18"/>
  <c r="AW18"/>
  <c r="AV18"/>
  <c r="AC18"/>
  <c r="H18"/>
  <c r="G18"/>
  <c r="BT207"/>
  <c r="BS207"/>
  <c r="BR207"/>
  <c r="BQ207"/>
  <c r="BP207"/>
  <c r="BO207"/>
  <c r="BN207"/>
  <c r="BM207"/>
  <c r="BL207" s="1"/>
  <c r="BK207"/>
  <c r="BJ207"/>
  <c r="BI207"/>
  <c r="BH207"/>
  <c r="BG207"/>
  <c r="BF207"/>
  <c r="BE207"/>
  <c r="BD207"/>
  <c r="BC207"/>
  <c r="BB207"/>
  <c r="BA207" s="1"/>
  <c r="AZ207" s="1"/>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s="1"/>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s="1"/>
  <c r="AX198"/>
  <c r="AW198"/>
  <c r="AV198"/>
  <c r="AC198"/>
  <c r="H198"/>
  <c r="G198" s="1"/>
  <c r="BT197"/>
  <c r="BS197"/>
  <c r="BR197"/>
  <c r="BQ197"/>
  <c r="BP197"/>
  <c r="BO197"/>
  <c r="BN197"/>
  <c r="BM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G190" s="1"/>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BA184" s="1"/>
  <c r="AX184"/>
  <c r="AW184"/>
  <c r="AV184"/>
  <c r="AC184"/>
  <c r="H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s="1"/>
  <c r="AX182"/>
  <c r="AW182"/>
  <c r="AV182"/>
  <c r="AC182"/>
  <c r="H182"/>
  <c r="G182" s="1"/>
  <c r="BT181"/>
  <c r="BS181"/>
  <c r="BR181"/>
  <c r="BQ181"/>
  <c r="BP181"/>
  <c r="BO181"/>
  <c r="BN181"/>
  <c r="BM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G174" s="1"/>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BA168" s="1"/>
  <c r="AX168"/>
  <c r="AW168"/>
  <c r="AV168"/>
  <c r="AC168"/>
  <c r="H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s="1"/>
  <c r="AX166"/>
  <c r="AW166"/>
  <c r="AV166"/>
  <c r="AC166"/>
  <c r="H166"/>
  <c r="G166" s="1"/>
  <c r="BT165"/>
  <c r="BS165"/>
  <c r="BR165"/>
  <c r="BQ165"/>
  <c r="BP165"/>
  <c r="BO165"/>
  <c r="BN165"/>
  <c r="BM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G158" s="1"/>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G155" s="1"/>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s="1"/>
  <c r="AX150"/>
  <c r="AW150"/>
  <c r="AV150"/>
  <c r="AC150"/>
  <c r="H150"/>
  <c r="G150" s="1"/>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AX148"/>
  <c r="AW148"/>
  <c r="AV148"/>
  <c r="AC148"/>
  <c r="H148"/>
  <c r="G148" s="1"/>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s="1"/>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s="1"/>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s="1"/>
  <c r="AZ122" s="1"/>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BT114"/>
  <c r="BS114"/>
  <c r="BR114"/>
  <c r="BQ114"/>
  <c r="BP114"/>
  <c r="BO114"/>
  <c r="BN114"/>
  <c r="BM114"/>
  <c r="BL114"/>
  <c r="BK114"/>
  <c r="BJ114"/>
  <c r="BI114"/>
  <c r="BH114"/>
  <c r="BG114"/>
  <c r="BF114"/>
  <c r="BE114"/>
  <c r="BD114"/>
  <c r="BC114"/>
  <c r="BB114"/>
  <c r="BA114" s="1"/>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s="1"/>
  <c r="AZ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G299" s="1"/>
  <c r="BT298"/>
  <c r="BS298"/>
  <c r="BR298"/>
  <c r="BQ298"/>
  <c r="BP298"/>
  <c r="BO298"/>
  <c r="BN298"/>
  <c r="BM298"/>
  <c r="BL298" s="1"/>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c r="AX297"/>
  <c r="AW297"/>
  <c r="AV297"/>
  <c r="AC297"/>
  <c r="H297"/>
  <c r="BT296"/>
  <c r="BS296"/>
  <c r="BR296"/>
  <c r="BQ296"/>
  <c r="BP296"/>
  <c r="BO296"/>
  <c r="BN296"/>
  <c r="BM296"/>
  <c r="BL296"/>
  <c r="BK296"/>
  <c r="BJ296"/>
  <c r="BI296"/>
  <c r="BH296"/>
  <c r="BG296"/>
  <c r="BF296"/>
  <c r="BE296"/>
  <c r="BD296"/>
  <c r="BC296"/>
  <c r="BB296"/>
  <c r="BA296" s="1"/>
  <c r="AX296"/>
  <c r="AW296"/>
  <c r="AV296"/>
  <c r="AC296"/>
  <c r="H296"/>
  <c r="BT295"/>
  <c r="BS295"/>
  <c r="BR295"/>
  <c r="BQ295"/>
  <c r="BP295"/>
  <c r="BO295"/>
  <c r="BN295"/>
  <c r="BM295"/>
  <c r="BL295"/>
  <c r="BK295"/>
  <c r="BJ295"/>
  <c r="BI295"/>
  <c r="BH295"/>
  <c r="BG295"/>
  <c r="BF295"/>
  <c r="BE295"/>
  <c r="BD295"/>
  <c r="BC295"/>
  <c r="BB295"/>
  <c r="BA295" s="1"/>
  <c r="AX295"/>
  <c r="AW295"/>
  <c r="AV295"/>
  <c r="AC295"/>
  <c r="H295"/>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G293" s="1"/>
  <c r="BT292"/>
  <c r="BS292"/>
  <c r="BR292"/>
  <c r="BQ292"/>
  <c r="BP292"/>
  <c r="BO292"/>
  <c r="BN292"/>
  <c r="BM292"/>
  <c r="BL292" s="1"/>
  <c r="BK292"/>
  <c r="BJ292"/>
  <c r="BI292"/>
  <c r="BH292"/>
  <c r="BG292"/>
  <c r="BF292"/>
  <c r="BE292"/>
  <c r="BD292"/>
  <c r="BC292"/>
  <c r="BB292"/>
  <c r="AX292"/>
  <c r="AW292"/>
  <c r="AV292"/>
  <c r="AC292"/>
  <c r="H292"/>
  <c r="G292" s="1"/>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G290" s="1"/>
  <c r="BT289"/>
  <c r="BS289"/>
  <c r="BR289"/>
  <c r="BQ289"/>
  <c r="BP289"/>
  <c r="BO289"/>
  <c r="BN289"/>
  <c r="BM289"/>
  <c r="BL289" s="1"/>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s="1"/>
  <c r="AX287"/>
  <c r="AW287"/>
  <c r="AV287"/>
  <c r="AC287"/>
  <c r="H287"/>
  <c r="G287" s="1"/>
  <c r="BT286"/>
  <c r="BS286"/>
  <c r="BR286"/>
  <c r="BQ286"/>
  <c r="BP286"/>
  <c r="BO286"/>
  <c r="BN286"/>
  <c r="BM286"/>
  <c r="BK286"/>
  <c r="BJ286"/>
  <c r="BI286"/>
  <c r="BH286"/>
  <c r="BG286"/>
  <c r="BF286"/>
  <c r="BE286"/>
  <c r="BD286"/>
  <c r="BC286"/>
  <c r="BB286"/>
  <c r="BA286"/>
  <c r="AX286"/>
  <c r="AW286"/>
  <c r="AV286"/>
  <c r="AC286"/>
  <c r="H286"/>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s="1"/>
  <c r="AZ284" s="1"/>
  <c r="AX284"/>
  <c r="AW284"/>
  <c r="AV284"/>
  <c r="AC284"/>
  <c r="H284"/>
  <c r="G284" s="1"/>
  <c r="BT283"/>
  <c r="BS283"/>
  <c r="BR283"/>
  <c r="BQ283"/>
  <c r="BP283"/>
  <c r="BO283"/>
  <c r="BN283"/>
  <c r="BM283"/>
  <c r="BL283" s="1"/>
  <c r="BK283"/>
  <c r="BJ283"/>
  <c r="BI283"/>
  <c r="BH283"/>
  <c r="BG283"/>
  <c r="BF283"/>
  <c r="BE283"/>
  <c r="BD283"/>
  <c r="BC283"/>
  <c r="BB283"/>
  <c r="AX283"/>
  <c r="AW283"/>
  <c r="AV283"/>
  <c r="AC283"/>
  <c r="H283"/>
  <c r="G283" s="1"/>
  <c r="BT282"/>
  <c r="BS282"/>
  <c r="BR282"/>
  <c r="BQ282"/>
  <c r="BP282"/>
  <c r="BO282"/>
  <c r="BN282"/>
  <c r="BM282"/>
  <c r="BL282" s="1"/>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c r="AX281"/>
  <c r="AW281"/>
  <c r="AV281"/>
  <c r="AC281"/>
  <c r="H281"/>
  <c r="BT280"/>
  <c r="BS280"/>
  <c r="BR280"/>
  <c r="BQ280"/>
  <c r="BP280"/>
  <c r="BO280"/>
  <c r="BN280"/>
  <c r="BM280"/>
  <c r="BL280"/>
  <c r="BK280"/>
  <c r="BJ280"/>
  <c r="BI280"/>
  <c r="BH280"/>
  <c r="BG280"/>
  <c r="BF280"/>
  <c r="BE280"/>
  <c r="BD280"/>
  <c r="BC280"/>
  <c r="BB280"/>
  <c r="BA280" s="1"/>
  <c r="AX280"/>
  <c r="AW280"/>
  <c r="AV280"/>
  <c r="AC280"/>
  <c r="H280"/>
  <c r="BT279"/>
  <c r="BS279"/>
  <c r="BR279"/>
  <c r="BQ279"/>
  <c r="BP279"/>
  <c r="BO279"/>
  <c r="BN279"/>
  <c r="BM279"/>
  <c r="BL279"/>
  <c r="BK279"/>
  <c r="BJ279"/>
  <c r="BI279"/>
  <c r="BH279"/>
  <c r="BG279"/>
  <c r="BF279"/>
  <c r="BE279"/>
  <c r="BD279"/>
  <c r="BC279"/>
  <c r="BB279"/>
  <c r="BA279" s="1"/>
  <c r="AX279"/>
  <c r="AW279"/>
  <c r="AV279"/>
  <c r="AC279"/>
  <c r="H279"/>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G277" s="1"/>
  <c r="BT276"/>
  <c r="BS276"/>
  <c r="BR276"/>
  <c r="BQ276"/>
  <c r="BP276"/>
  <c r="BO276"/>
  <c r="BN276"/>
  <c r="BM276"/>
  <c r="BL276" s="1"/>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G274" s="1"/>
  <c r="BT273"/>
  <c r="BS273"/>
  <c r="BR273"/>
  <c r="BQ273"/>
  <c r="BP273"/>
  <c r="BO273"/>
  <c r="BN273"/>
  <c r="BM273"/>
  <c r="BL273" s="1"/>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G270" s="1"/>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s="1"/>
  <c r="AX263"/>
  <c r="AW263"/>
  <c r="AV263"/>
  <c r="AC263"/>
  <c r="H263"/>
  <c r="G263" s="1"/>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s="1"/>
  <c r="AX259"/>
  <c r="AW259"/>
  <c r="AV259"/>
  <c r="AC259"/>
  <c r="H259"/>
  <c r="G259" s="1"/>
  <c r="BT258"/>
  <c r="BS258"/>
  <c r="BR258"/>
  <c r="BQ258"/>
  <c r="BP258"/>
  <c r="BO258"/>
  <c r="BN258"/>
  <c r="BM258"/>
  <c r="BK258"/>
  <c r="BJ258"/>
  <c r="BI258"/>
  <c r="BH258"/>
  <c r="BG258"/>
  <c r="BF258"/>
  <c r="BE258"/>
  <c r="BD258"/>
  <c r="BC258"/>
  <c r="BB258"/>
  <c r="BA258"/>
  <c r="AX258"/>
  <c r="AW258"/>
  <c r="AV258"/>
  <c r="AC258"/>
  <c r="H258"/>
  <c r="BT257"/>
  <c r="BS257"/>
  <c r="BR257"/>
  <c r="BQ257"/>
  <c r="BP257"/>
  <c r="BO257"/>
  <c r="BN257"/>
  <c r="BM257"/>
  <c r="BL257"/>
  <c r="BK257"/>
  <c r="BJ257"/>
  <c r="BI257"/>
  <c r="BH257"/>
  <c r="BG257"/>
  <c r="BF257"/>
  <c r="BE257"/>
  <c r="BD257"/>
  <c r="BC257"/>
  <c r="BB257"/>
  <c r="BA257" s="1"/>
  <c r="AX257"/>
  <c r="AW257"/>
  <c r="AV257"/>
  <c r="AC257"/>
  <c r="H257"/>
  <c r="BT256"/>
  <c r="BS256"/>
  <c r="BR256"/>
  <c r="BQ256"/>
  <c r="BP256"/>
  <c r="BO256"/>
  <c r="BN256"/>
  <c r="BM256"/>
  <c r="BL256"/>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G254" s="1"/>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G252"/>
  <c r="BT251"/>
  <c r="BS251"/>
  <c r="BR251"/>
  <c r="BQ251"/>
  <c r="BP251"/>
  <c r="BO251"/>
  <c r="BN251"/>
  <c r="BM251"/>
  <c r="BL251" s="1"/>
  <c r="BK251"/>
  <c r="BJ251"/>
  <c r="BI251"/>
  <c r="BH251"/>
  <c r="BG251"/>
  <c r="BF251"/>
  <c r="BE251"/>
  <c r="BD251"/>
  <c r="BC251"/>
  <c r="BB251"/>
  <c r="BA251" s="1"/>
  <c r="AX251"/>
  <c r="AW251"/>
  <c r="AV251"/>
  <c r="AC251"/>
  <c r="H251"/>
  <c r="G251" s="1"/>
  <c r="BT250"/>
  <c r="BS250"/>
  <c r="BR250"/>
  <c r="BQ250"/>
  <c r="BP250"/>
  <c r="BO250"/>
  <c r="BN250"/>
  <c r="BM250"/>
  <c r="BK250"/>
  <c r="BJ250"/>
  <c r="BI250"/>
  <c r="BH250"/>
  <c r="BG250"/>
  <c r="BF250"/>
  <c r="BE250"/>
  <c r="BD250"/>
  <c r="BC250"/>
  <c r="BB250"/>
  <c r="BA250"/>
  <c r="AX250"/>
  <c r="AW250"/>
  <c r="AV250"/>
  <c r="AC250"/>
  <c r="H250"/>
  <c r="BT249"/>
  <c r="BS249"/>
  <c r="BR249"/>
  <c r="BQ249"/>
  <c r="BP249"/>
  <c r="BO249"/>
  <c r="BN249"/>
  <c r="BM249"/>
  <c r="BL249"/>
  <c r="BK249"/>
  <c r="BJ249"/>
  <c r="BI249"/>
  <c r="BH249"/>
  <c r="BG249"/>
  <c r="BF249"/>
  <c r="BE249"/>
  <c r="BD249"/>
  <c r="BC249"/>
  <c r="BB249"/>
  <c r="BA249" s="1"/>
  <c r="AX249"/>
  <c r="AW249"/>
  <c r="AV249"/>
  <c r="AC249"/>
  <c r="H249"/>
  <c r="BT248"/>
  <c r="BS248"/>
  <c r="BR248"/>
  <c r="BQ248"/>
  <c r="BP248"/>
  <c r="BO248"/>
  <c r="BN248"/>
  <c r="BM248"/>
  <c r="BL248"/>
  <c r="BK248"/>
  <c r="BJ248"/>
  <c r="BI248"/>
  <c r="BH248"/>
  <c r="BG248"/>
  <c r="BF248"/>
  <c r="BE248"/>
  <c r="BD248"/>
  <c r="BC248"/>
  <c r="BB248"/>
  <c r="BA248" s="1"/>
  <c r="AX248"/>
  <c r="AW248"/>
  <c r="AV248"/>
  <c r="AC248"/>
  <c r="H248"/>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s="1"/>
  <c r="AZ246" s="1"/>
  <c r="AX246"/>
  <c r="AW246"/>
  <c r="AV246"/>
  <c r="AC246"/>
  <c r="H246"/>
  <c r="G246" s="1"/>
  <c r="BT245"/>
  <c r="BS245"/>
  <c r="BR245"/>
  <c r="BQ245"/>
  <c r="BP245"/>
  <c r="BO245"/>
  <c r="BN245"/>
  <c r="BM245"/>
  <c r="BL245" s="1"/>
  <c r="BK245"/>
  <c r="BJ245"/>
  <c r="BI245"/>
  <c r="BH245"/>
  <c r="BG245"/>
  <c r="BF245"/>
  <c r="BE245"/>
  <c r="BD245"/>
  <c r="BC245"/>
  <c r="BB245"/>
  <c r="AX245"/>
  <c r="AW245"/>
  <c r="AV245"/>
  <c r="AC245"/>
  <c r="H245"/>
  <c r="G245" s="1"/>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s="1"/>
  <c r="AZ242" s="1"/>
  <c r="AX242"/>
  <c r="AW242"/>
  <c r="AV242"/>
  <c r="AC242"/>
  <c r="H242"/>
  <c r="G242" s="1"/>
  <c r="BT241"/>
  <c r="BS241"/>
  <c r="BR241"/>
  <c r="BQ241"/>
  <c r="BP241"/>
  <c r="BO241"/>
  <c r="BN241"/>
  <c r="BM241"/>
  <c r="BL241" s="1"/>
  <c r="BK241"/>
  <c r="BJ241"/>
  <c r="BI241"/>
  <c r="BH241"/>
  <c r="BG241"/>
  <c r="BF241"/>
  <c r="BE241"/>
  <c r="BD241"/>
  <c r="BC241"/>
  <c r="BB241"/>
  <c r="AX241"/>
  <c r="AW241"/>
  <c r="AV241"/>
  <c r="AC241"/>
  <c r="H241"/>
  <c r="G241" s="1"/>
  <c r="BT240"/>
  <c r="BS240"/>
  <c r="BR240"/>
  <c r="BQ240"/>
  <c r="BP240"/>
  <c r="BO240"/>
  <c r="BN240"/>
  <c r="BM240"/>
  <c r="BL240" s="1"/>
  <c r="BK240"/>
  <c r="BJ240"/>
  <c r="BI240"/>
  <c r="BH240"/>
  <c r="BG240"/>
  <c r="BF240"/>
  <c r="BE240"/>
  <c r="BD240"/>
  <c r="BC240"/>
  <c r="BB240"/>
  <c r="AX240"/>
  <c r="AW240"/>
  <c r="AV240"/>
  <c r="AC240"/>
  <c r="H240"/>
  <c r="G240" s="1"/>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BA238"/>
  <c r="AX238"/>
  <c r="AW238"/>
  <c r="AV238"/>
  <c r="AC238"/>
  <c r="H238"/>
  <c r="BT237"/>
  <c r="BS237"/>
  <c r="BR237"/>
  <c r="BQ237"/>
  <c r="BP237"/>
  <c r="BO237"/>
  <c r="BN237"/>
  <c r="BM237"/>
  <c r="BL237"/>
  <c r="BK237"/>
  <c r="BJ237"/>
  <c r="BI237"/>
  <c r="BH237"/>
  <c r="BG237"/>
  <c r="BF237"/>
  <c r="BE237"/>
  <c r="BD237"/>
  <c r="BC237"/>
  <c r="BB237"/>
  <c r="BA237" s="1"/>
  <c r="AX237"/>
  <c r="AW237"/>
  <c r="AV237"/>
  <c r="AC237"/>
  <c r="H237"/>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BA234"/>
  <c r="AX234"/>
  <c r="AW234"/>
  <c r="AV234"/>
  <c r="AC234"/>
  <c r="H234"/>
  <c r="BT233"/>
  <c r="BS233"/>
  <c r="BR233"/>
  <c r="BQ233"/>
  <c r="BP233"/>
  <c r="BO233"/>
  <c r="BN233"/>
  <c r="BM233"/>
  <c r="BL233"/>
  <c r="BK233"/>
  <c r="BJ233"/>
  <c r="BI233"/>
  <c r="BH233"/>
  <c r="BG233"/>
  <c r="BF233"/>
  <c r="BE233"/>
  <c r="BD233"/>
  <c r="BC233"/>
  <c r="BB233"/>
  <c r="BA233" s="1"/>
  <c r="AX233"/>
  <c r="AW233"/>
  <c r="AV233"/>
  <c r="AC233"/>
  <c r="H233"/>
  <c r="BT232"/>
  <c r="BS232"/>
  <c r="BR232"/>
  <c r="BQ232"/>
  <c r="BP232"/>
  <c r="BO232"/>
  <c r="BN232"/>
  <c r="BM232"/>
  <c r="BL232"/>
  <c r="BK232"/>
  <c r="BJ232"/>
  <c r="BI232"/>
  <c r="BH232"/>
  <c r="BG232"/>
  <c r="BF232"/>
  <c r="BE232"/>
  <c r="BD232"/>
  <c r="BC232"/>
  <c r="BB232"/>
  <c r="BA232" s="1"/>
  <c r="AX232"/>
  <c r="AW232"/>
  <c r="AV232"/>
  <c r="AC232"/>
  <c r="H232"/>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s="1"/>
  <c r="AZ230" s="1"/>
  <c r="AX230"/>
  <c r="AW230"/>
  <c r="AV230"/>
  <c r="AC230"/>
  <c r="H230"/>
  <c r="G230" s="1"/>
  <c r="BT229"/>
  <c r="BS229"/>
  <c r="BR229"/>
  <c r="BQ229"/>
  <c r="BP229"/>
  <c r="BO229"/>
  <c r="BN229"/>
  <c r="BM229"/>
  <c r="BL229" s="1"/>
  <c r="BK229"/>
  <c r="BJ229"/>
  <c r="BI229"/>
  <c r="BH229"/>
  <c r="BG229"/>
  <c r="BF229"/>
  <c r="BE229"/>
  <c r="BD229"/>
  <c r="BC229"/>
  <c r="BB229"/>
  <c r="AX229"/>
  <c r="AW229"/>
  <c r="AV229"/>
  <c r="AC229"/>
  <c r="H229"/>
  <c r="G229" s="1"/>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s="1"/>
  <c r="AZ226" s="1"/>
  <c r="AX226"/>
  <c r="AW226"/>
  <c r="AV226"/>
  <c r="AC226"/>
  <c r="H226"/>
  <c r="G226" s="1"/>
  <c r="BT225"/>
  <c r="BS225"/>
  <c r="BR225"/>
  <c r="BQ225"/>
  <c r="BP225"/>
  <c r="BO225"/>
  <c r="BN225"/>
  <c r="BM225"/>
  <c r="BL225" s="1"/>
  <c r="BK225"/>
  <c r="BJ225"/>
  <c r="BI225"/>
  <c r="BH225"/>
  <c r="BG225"/>
  <c r="BF225"/>
  <c r="BE225"/>
  <c r="BD225"/>
  <c r="BC225"/>
  <c r="BB225"/>
  <c r="AX225"/>
  <c r="AW225"/>
  <c r="AV225"/>
  <c r="AC225"/>
  <c r="H225"/>
  <c r="G225" s="1"/>
  <c r="BT224"/>
  <c r="BS224"/>
  <c r="BR224"/>
  <c r="BQ224"/>
  <c r="BP224"/>
  <c r="BO224"/>
  <c r="BN224"/>
  <c r="BM224"/>
  <c r="BK224"/>
  <c r="BJ224"/>
  <c r="BI224"/>
  <c r="BH224"/>
  <c r="BG224"/>
  <c r="BF224"/>
  <c r="BE224"/>
  <c r="BD224"/>
  <c r="BC224"/>
  <c r="BB224"/>
  <c r="BA224"/>
  <c r="AX224"/>
  <c r="AW224"/>
  <c r="AV224"/>
  <c r="AC224"/>
  <c r="H224"/>
  <c r="BT223"/>
  <c r="BS223"/>
  <c r="BR223"/>
  <c r="BQ223"/>
  <c r="BP223"/>
  <c r="BO223"/>
  <c r="BN223"/>
  <c r="BM223"/>
  <c r="BL223"/>
  <c r="BK223"/>
  <c r="BJ223"/>
  <c r="BI223"/>
  <c r="BH223"/>
  <c r="BG223"/>
  <c r="BF223"/>
  <c r="BE223"/>
  <c r="BD223"/>
  <c r="BC223"/>
  <c r="BB223"/>
  <c r="BA223" s="1"/>
  <c r="AX223"/>
  <c r="AW223"/>
  <c r="AV223"/>
  <c r="AC223"/>
  <c r="H223"/>
  <c r="BT222"/>
  <c r="BS222"/>
  <c r="BR222"/>
  <c r="BQ222"/>
  <c r="BP222"/>
  <c r="BO222"/>
  <c r="BN222"/>
  <c r="BM222"/>
  <c r="BL222"/>
  <c r="BK222"/>
  <c r="BJ222"/>
  <c r="BI222"/>
  <c r="BH222"/>
  <c r="BG222"/>
  <c r="BF222"/>
  <c r="BE222"/>
  <c r="BD222"/>
  <c r="BC222"/>
  <c r="BB222"/>
  <c r="BA222" s="1"/>
  <c r="AX222"/>
  <c r="AW222"/>
  <c r="AV222"/>
  <c r="AC222"/>
  <c r="H222"/>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s="1"/>
  <c r="AZ220" s="1"/>
  <c r="AX220"/>
  <c r="AW220"/>
  <c r="AV220"/>
  <c r="AC220"/>
  <c r="H220"/>
  <c r="G220" s="1"/>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s="1"/>
  <c r="AZ217" s="1"/>
  <c r="AX217"/>
  <c r="AW217"/>
  <c r="AV217"/>
  <c r="AC217"/>
  <c r="H217"/>
  <c r="G217" s="1"/>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BA213"/>
  <c r="AX213"/>
  <c r="AW213"/>
  <c r="AV213"/>
  <c r="AC213"/>
  <c r="H213"/>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s="1"/>
  <c r="AZ211" s="1"/>
  <c r="AX211"/>
  <c r="AW211"/>
  <c r="AV211"/>
  <c r="AC211"/>
  <c r="H211"/>
  <c r="G211" s="1"/>
  <c r="BT210"/>
  <c r="BS210"/>
  <c r="BR210"/>
  <c r="BQ210"/>
  <c r="BP210"/>
  <c r="BO210"/>
  <c r="BN210"/>
  <c r="BM210"/>
  <c r="BL210" s="1"/>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s="1"/>
  <c r="AZ208" s="1"/>
  <c r="AX208"/>
  <c r="AW208"/>
  <c r="AV208"/>
  <c r="AC208"/>
  <c r="H208"/>
  <c r="G208" s="1"/>
  <c r="BT397"/>
  <c r="BS397"/>
  <c r="BR397"/>
  <c r="BQ397"/>
  <c r="BP397"/>
  <c r="BO397"/>
  <c r="BN397"/>
  <c r="BM397"/>
  <c r="BL397" s="1"/>
  <c r="BK397"/>
  <c r="BJ397"/>
  <c r="BI397"/>
  <c r="BH397"/>
  <c r="BG397"/>
  <c r="BF397"/>
  <c r="BE397"/>
  <c r="BD397"/>
  <c r="BC397"/>
  <c r="BB397"/>
  <c r="AX397"/>
  <c r="AW397"/>
  <c r="AV397"/>
  <c r="AC397"/>
  <c r="H397"/>
  <c r="G397" s="1"/>
  <c r="BT396"/>
  <c r="BS396"/>
  <c r="BR396"/>
  <c r="BQ396"/>
  <c r="BP396"/>
  <c r="BO396"/>
  <c r="BN396"/>
  <c r="BM396"/>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s="1"/>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G366" s="1"/>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AX354"/>
  <c r="AW354"/>
  <c r="AV354"/>
  <c r="AC354"/>
  <c r="H354"/>
  <c r="BT353"/>
  <c r="BS353"/>
  <c r="BR353"/>
  <c r="BQ353"/>
  <c r="BP353"/>
  <c r="BO353"/>
  <c r="BN353"/>
  <c r="BM353"/>
  <c r="BL353" s="1"/>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s="1"/>
  <c r="BK333"/>
  <c r="BJ333"/>
  <c r="BI333"/>
  <c r="BH333"/>
  <c r="BG333"/>
  <c r="BF333"/>
  <c r="BE333"/>
  <c r="BD333"/>
  <c r="BC333"/>
  <c r="BB333"/>
  <c r="AX333"/>
  <c r="AW333"/>
  <c r="AV333"/>
  <c r="AC333"/>
  <c r="H333"/>
  <c r="BT332"/>
  <c r="BS332"/>
  <c r="BR332"/>
  <c r="BQ332"/>
  <c r="BP332"/>
  <c r="BO332"/>
  <c r="BN332"/>
  <c r="BM332"/>
  <c r="BL332" s="1"/>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L316" s="1"/>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s="1"/>
  <c r="AX315"/>
  <c r="AW315"/>
  <c r="AV315"/>
  <c r="AC315"/>
  <c r="H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s="1"/>
  <c r="AX491"/>
  <c r="AW491"/>
  <c r="AV491"/>
  <c r="AC491"/>
  <c r="H491"/>
  <c r="G491" s="1"/>
  <c r="BT490"/>
  <c r="BS490"/>
  <c r="BR490"/>
  <c r="BQ490"/>
  <c r="BP490"/>
  <c r="BO490"/>
  <c r="BN490"/>
  <c r="BM490"/>
  <c r="BK490"/>
  <c r="BJ490"/>
  <c r="BI490"/>
  <c r="BH490"/>
  <c r="BG490"/>
  <c r="BF490"/>
  <c r="BE490"/>
  <c r="BD490"/>
  <c r="BC490"/>
  <c r="BB490"/>
  <c r="BA490"/>
  <c r="AX490"/>
  <c r="AW490"/>
  <c r="AV490"/>
  <c r="AC490"/>
  <c r="H490"/>
  <c r="BT489"/>
  <c r="BS489"/>
  <c r="BR489"/>
  <c r="BQ489"/>
  <c r="BP489"/>
  <c r="BO489"/>
  <c r="BN489"/>
  <c r="BM489"/>
  <c r="BL489"/>
  <c r="BK489"/>
  <c r="BJ489"/>
  <c r="BI489"/>
  <c r="BH489"/>
  <c r="BG489"/>
  <c r="BF489"/>
  <c r="BE489"/>
  <c r="BD489"/>
  <c r="BC489"/>
  <c r="BB489"/>
  <c r="BA489" s="1"/>
  <c r="AZ489" s="1"/>
  <c r="AX489"/>
  <c r="AW489"/>
  <c r="AV489"/>
  <c r="AC489"/>
  <c r="H489"/>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BK487"/>
  <c r="BJ487"/>
  <c r="BI487"/>
  <c r="BH487"/>
  <c r="BG487"/>
  <c r="BF487"/>
  <c r="BE487"/>
  <c r="BD487"/>
  <c r="BC487"/>
  <c r="BB487"/>
  <c r="BA487" s="1"/>
  <c r="AX487"/>
  <c r="AW487"/>
  <c r="AV487"/>
  <c r="AC487"/>
  <c r="H487"/>
  <c r="G487" s="1"/>
  <c r="BT486"/>
  <c r="BS486"/>
  <c r="BR486"/>
  <c r="BQ486"/>
  <c r="BP486"/>
  <c r="BO486"/>
  <c r="BN486"/>
  <c r="BM486"/>
  <c r="BK486"/>
  <c r="BJ486"/>
  <c r="BI486"/>
  <c r="BH486"/>
  <c r="BG486"/>
  <c r="BF486"/>
  <c r="BE486"/>
  <c r="BD486"/>
  <c r="BC486"/>
  <c r="BB486"/>
  <c r="BA486"/>
  <c r="AX486"/>
  <c r="AW486"/>
  <c r="AV486"/>
  <c r="AC486"/>
  <c r="H486"/>
  <c r="BT485"/>
  <c r="BS485"/>
  <c r="BR485"/>
  <c r="BQ485"/>
  <c r="BP485"/>
  <c r="BO485"/>
  <c r="BN485"/>
  <c r="BM485"/>
  <c r="BL485"/>
  <c r="BK485"/>
  <c r="BJ485"/>
  <c r="BI485"/>
  <c r="BH485"/>
  <c r="BG485"/>
  <c r="BF485"/>
  <c r="BE485"/>
  <c r="BD485"/>
  <c r="BC485"/>
  <c r="BB485"/>
  <c r="BA485" s="1"/>
  <c r="AZ485" s="1"/>
  <c r="AX485"/>
  <c r="AW485"/>
  <c r="AV485"/>
  <c r="AC485"/>
  <c r="H485"/>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s="1"/>
  <c r="BK483"/>
  <c r="BJ483"/>
  <c r="BI483"/>
  <c r="BH483"/>
  <c r="BG483"/>
  <c r="BF483"/>
  <c r="BE483"/>
  <c r="BD483"/>
  <c r="BC483"/>
  <c r="BB483"/>
  <c r="AX483"/>
  <c r="AW483"/>
  <c r="AV483"/>
  <c r="AC483"/>
  <c r="H483"/>
  <c r="G483" s="1"/>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s="1"/>
  <c r="AZ480" s="1"/>
  <c r="AX480"/>
  <c r="AW480"/>
  <c r="AV480"/>
  <c r="AC480"/>
  <c r="H480"/>
  <c r="G480" s="1"/>
  <c r="BT479"/>
  <c r="BS479"/>
  <c r="BR479"/>
  <c r="BQ479"/>
  <c r="BP479"/>
  <c r="BO479"/>
  <c r="BN479"/>
  <c r="BM479"/>
  <c r="BL479" s="1"/>
  <c r="BK479"/>
  <c r="BJ479"/>
  <c r="BI479"/>
  <c r="BH479"/>
  <c r="BG479"/>
  <c r="BF479"/>
  <c r="BE479"/>
  <c r="BD479"/>
  <c r="BC479"/>
  <c r="BB479"/>
  <c r="AX479"/>
  <c r="AW479"/>
  <c r="AV479"/>
  <c r="AC479"/>
  <c r="H479"/>
  <c r="G479" s="1"/>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s="1"/>
  <c r="AZ476" s="1"/>
  <c r="AX476"/>
  <c r="AW476"/>
  <c r="AV476"/>
  <c r="AC476"/>
  <c r="H476"/>
  <c r="G476" s="1"/>
  <c r="BT475"/>
  <c r="BS475"/>
  <c r="BR475"/>
  <c r="BQ475"/>
  <c r="BP475"/>
  <c r="BO475"/>
  <c r="BN475"/>
  <c r="BM475"/>
  <c r="BL475" s="1"/>
  <c r="BK475"/>
  <c r="BJ475"/>
  <c r="BI475"/>
  <c r="BH475"/>
  <c r="BG475"/>
  <c r="BF475"/>
  <c r="BE475"/>
  <c r="BD475"/>
  <c r="BC475"/>
  <c r="BB475"/>
  <c r="AX475"/>
  <c r="AW475"/>
  <c r="AV475"/>
  <c r="AC475"/>
  <c r="H475"/>
  <c r="G475" s="1"/>
  <c r="BT474"/>
  <c r="BS474"/>
  <c r="BR474"/>
  <c r="BQ474"/>
  <c r="BP474"/>
  <c r="BO474"/>
  <c r="BN474"/>
  <c r="BM474"/>
  <c r="BL474" s="1"/>
  <c r="BK474"/>
  <c r="BJ474"/>
  <c r="BI474"/>
  <c r="BH474"/>
  <c r="BG474"/>
  <c r="BF474"/>
  <c r="BE474"/>
  <c r="BD474"/>
  <c r="BC474"/>
  <c r="BB474"/>
  <c r="AX474"/>
  <c r="AW474"/>
  <c r="AV474"/>
  <c r="AC474"/>
  <c r="H474"/>
  <c r="G474" s="1"/>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M472"/>
  <c r="BL472"/>
  <c r="BK472"/>
  <c r="BJ472"/>
  <c r="BI472"/>
  <c r="BH472"/>
  <c r="BG472"/>
  <c r="BF472"/>
  <c r="BE472"/>
  <c r="BD472"/>
  <c r="BC472"/>
  <c r="BB472"/>
  <c r="BA472" s="1"/>
  <c r="AZ472" s="1"/>
  <c r="AX472"/>
  <c r="AW472"/>
  <c r="AV472"/>
  <c r="AC472"/>
  <c r="H472"/>
  <c r="BT471"/>
  <c r="BS471"/>
  <c r="BR471"/>
  <c r="BQ471"/>
  <c r="BP471"/>
  <c r="BO471"/>
  <c r="BN471"/>
  <c r="BM471"/>
  <c r="BL471"/>
  <c r="BK471"/>
  <c r="BJ471"/>
  <c r="BI471"/>
  <c r="BH471"/>
  <c r="BG471"/>
  <c r="BF471"/>
  <c r="BE471"/>
  <c r="BD471"/>
  <c r="BC471"/>
  <c r="BB471"/>
  <c r="BA471" s="1"/>
  <c r="AZ471" s="1"/>
  <c r="AX471"/>
  <c r="AW471"/>
  <c r="AV471"/>
  <c r="AC471"/>
  <c r="H47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BA468"/>
  <c r="AX468"/>
  <c r="AW468"/>
  <c r="AV468"/>
  <c r="AC468"/>
  <c r="H468"/>
  <c r="BT467"/>
  <c r="BS467"/>
  <c r="BR467"/>
  <c r="BQ467"/>
  <c r="BP467"/>
  <c r="BO467"/>
  <c r="BN467"/>
  <c r="BM467"/>
  <c r="BL467"/>
  <c r="BK467"/>
  <c r="BJ467"/>
  <c r="BI467"/>
  <c r="BH467"/>
  <c r="BG467"/>
  <c r="BF467"/>
  <c r="BE467"/>
  <c r="BD467"/>
  <c r="BC467"/>
  <c r="BB467"/>
  <c r="BA467" s="1"/>
  <c r="AZ467" s="1"/>
  <c r="AX467"/>
  <c r="AW467"/>
  <c r="AV467"/>
  <c r="AC467"/>
  <c r="H467"/>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s="1"/>
  <c r="AX465"/>
  <c r="AW465"/>
  <c r="AV465"/>
  <c r="AC465"/>
  <c r="H465"/>
  <c r="G465" s="1"/>
  <c r="BT464"/>
  <c r="BS464"/>
  <c r="BR464"/>
  <c r="BQ464"/>
  <c r="BP464"/>
  <c r="BO464"/>
  <c r="BN464"/>
  <c r="BM464"/>
  <c r="BL464" s="1"/>
  <c r="BK464"/>
  <c r="BJ464"/>
  <c r="BI464"/>
  <c r="BH464"/>
  <c r="BG464"/>
  <c r="BF464"/>
  <c r="BE464"/>
  <c r="BD464"/>
  <c r="BC464"/>
  <c r="BB464"/>
  <c r="AX464"/>
  <c r="AW464"/>
  <c r="AV464"/>
  <c r="AC464"/>
  <c r="H464"/>
  <c r="G464" s="1"/>
  <c r="BT463"/>
  <c r="BS463"/>
  <c r="BR463"/>
  <c r="BQ463"/>
  <c r="BP463"/>
  <c r="BO463"/>
  <c r="BN463"/>
  <c r="BM463"/>
  <c r="BL463" s="1"/>
  <c r="BK463"/>
  <c r="BJ463"/>
  <c r="BI463"/>
  <c r="BH463"/>
  <c r="BG463"/>
  <c r="BF463"/>
  <c r="BE463"/>
  <c r="BD463"/>
  <c r="BC463"/>
  <c r="BB463"/>
  <c r="AX463"/>
  <c r="AW463"/>
  <c r="AV463"/>
  <c r="AC463"/>
  <c r="H463"/>
  <c r="G463" s="1"/>
  <c r="BT462"/>
  <c r="BS462"/>
  <c r="BR462"/>
  <c r="BQ462"/>
  <c r="BP462"/>
  <c r="BO462"/>
  <c r="BN462"/>
  <c r="BM462"/>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s="1"/>
  <c r="AZ461" s="1"/>
  <c r="AX461"/>
  <c r="AW461"/>
  <c r="AV461"/>
  <c r="AC461"/>
  <c r="H461"/>
  <c r="G461" s="1"/>
  <c r="BT460"/>
  <c r="BS460"/>
  <c r="BR460"/>
  <c r="BQ460"/>
  <c r="BP460"/>
  <c r="BO460"/>
  <c r="BN460"/>
  <c r="BM460"/>
  <c r="BL460" s="1"/>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s="1"/>
  <c r="AX458"/>
  <c r="AW458"/>
  <c r="AV458"/>
  <c r="AC458"/>
  <c r="H458"/>
  <c r="G458" s="1"/>
  <c r="BT457"/>
  <c r="BS457"/>
  <c r="BR457"/>
  <c r="BQ457"/>
  <c r="BP457"/>
  <c r="BO457"/>
  <c r="BN457"/>
  <c r="BM457"/>
  <c r="BK457"/>
  <c r="BJ457"/>
  <c r="BI457"/>
  <c r="BH457"/>
  <c r="BG457"/>
  <c r="BF457"/>
  <c r="BE457"/>
  <c r="BD457"/>
  <c r="BC457"/>
  <c r="BB457"/>
  <c r="BA457"/>
  <c r="AX457"/>
  <c r="AW457"/>
  <c r="AV457"/>
  <c r="AC457"/>
  <c r="H457"/>
  <c r="BT456"/>
  <c r="BS456"/>
  <c r="BR456"/>
  <c r="BQ456"/>
  <c r="BP456"/>
  <c r="BO456"/>
  <c r="BN456"/>
  <c r="BM456"/>
  <c r="BL456"/>
  <c r="BK456"/>
  <c r="BJ456"/>
  <c r="BI456"/>
  <c r="BH456"/>
  <c r="BG456"/>
  <c r="BF456"/>
  <c r="BE456"/>
  <c r="BD456"/>
  <c r="BC456"/>
  <c r="BB456"/>
  <c r="BA456" s="1"/>
  <c r="AZ456" s="1"/>
  <c r="AX456"/>
  <c r="AW456"/>
  <c r="AV456"/>
  <c r="AC456"/>
  <c r="H456"/>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BK454"/>
  <c r="BJ454"/>
  <c r="BI454"/>
  <c r="BH454"/>
  <c r="BG454"/>
  <c r="BF454"/>
  <c r="BE454"/>
  <c r="BD454"/>
  <c r="BC454"/>
  <c r="BB454"/>
  <c r="BA454" s="1"/>
  <c r="AX454"/>
  <c r="AW454"/>
  <c r="AV454"/>
  <c r="AC454"/>
  <c r="H454"/>
  <c r="G454" s="1"/>
  <c r="BT453"/>
  <c r="BS453"/>
  <c r="BR453"/>
  <c r="BQ453"/>
  <c r="BP453"/>
  <c r="BO453"/>
  <c r="BN453"/>
  <c r="BM453"/>
  <c r="BK453"/>
  <c r="BJ453"/>
  <c r="BI453"/>
  <c r="BH453"/>
  <c r="BG453"/>
  <c r="BF453"/>
  <c r="BE453"/>
  <c r="BD453"/>
  <c r="BC453"/>
  <c r="BB453"/>
  <c r="BA453"/>
  <c r="AX453"/>
  <c r="AW453"/>
  <c r="AV453"/>
  <c r="AC453"/>
  <c r="H453"/>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s="1"/>
  <c r="AZ449" s="1"/>
  <c r="AX449"/>
  <c r="AW449"/>
  <c r="AV449"/>
  <c r="AC449"/>
  <c r="H449"/>
  <c r="G449" s="1"/>
  <c r="BT448"/>
  <c r="BS448"/>
  <c r="BR448"/>
  <c r="BQ448"/>
  <c r="BP448"/>
  <c r="BO448"/>
  <c r="BN448"/>
  <c r="BM448"/>
  <c r="BL448" s="1"/>
  <c r="BK448"/>
  <c r="BJ448"/>
  <c r="BI448"/>
  <c r="BH448"/>
  <c r="BG448"/>
  <c r="BF448"/>
  <c r="BE448"/>
  <c r="BD448"/>
  <c r="BC448"/>
  <c r="BB448"/>
  <c r="AX448"/>
  <c r="AW448"/>
  <c r="AV448"/>
  <c r="AC448"/>
  <c r="H448"/>
  <c r="G448" s="1"/>
  <c r="BT447"/>
  <c r="BS447"/>
  <c r="BR447"/>
  <c r="BQ447"/>
  <c r="BP447"/>
  <c r="BO447"/>
  <c r="BN447"/>
  <c r="BM447"/>
  <c r="BL447" s="1"/>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s="1"/>
  <c r="AZ445" s="1"/>
  <c r="AX445"/>
  <c r="AW445"/>
  <c r="AV445"/>
  <c r="AC445"/>
  <c r="H445"/>
  <c r="G445" s="1"/>
  <c r="BT444"/>
  <c r="BS444"/>
  <c r="BR444"/>
  <c r="BQ444"/>
  <c r="BP444"/>
  <c r="BO444"/>
  <c r="BN444"/>
  <c r="BM444"/>
  <c r="BL444" s="1"/>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BA443"/>
  <c r="AX443"/>
  <c r="AW443"/>
  <c r="AV443"/>
  <c r="AC443"/>
  <c r="H443"/>
  <c r="G443"/>
  <c r="BT442"/>
  <c r="BS442"/>
  <c r="BR442"/>
  <c r="BQ442"/>
  <c r="BP442"/>
  <c r="BO442"/>
  <c r="BN442"/>
  <c r="BM442"/>
  <c r="BL442" s="1"/>
  <c r="BK442"/>
  <c r="BJ442"/>
  <c r="BI442"/>
  <c r="BH442"/>
  <c r="BG442"/>
  <c r="BF442"/>
  <c r="BE442"/>
  <c r="BD442"/>
  <c r="BC442"/>
  <c r="BB442"/>
  <c r="BA442" s="1"/>
  <c r="AX442"/>
  <c r="AW442"/>
  <c r="AV442"/>
  <c r="AC442"/>
  <c r="H442"/>
  <c r="G442" s="1"/>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M440"/>
  <c r="BL440"/>
  <c r="BK440"/>
  <c r="BJ440"/>
  <c r="BI440"/>
  <c r="BH440"/>
  <c r="BG440"/>
  <c r="BF440"/>
  <c r="BE440"/>
  <c r="BD440"/>
  <c r="BC440"/>
  <c r="BB440"/>
  <c r="BA440" s="1"/>
  <c r="AZ440" s="1"/>
  <c r="AX440"/>
  <c r="AW440"/>
  <c r="AV440"/>
  <c r="AC440"/>
  <c r="H440"/>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BA437"/>
  <c r="AX437"/>
  <c r="AW437"/>
  <c r="AV437"/>
  <c r="AC437"/>
  <c r="H437"/>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BK435"/>
  <c r="BJ435"/>
  <c r="BI435"/>
  <c r="BH435"/>
  <c r="BG435"/>
  <c r="BF435"/>
  <c r="BE435"/>
  <c r="BD435"/>
  <c r="BC435"/>
  <c r="BB435"/>
  <c r="BA435" s="1"/>
  <c r="AX435"/>
  <c r="AW435"/>
  <c r="AV435"/>
  <c r="AC435"/>
  <c r="H435"/>
  <c r="G435" s="1"/>
  <c r="BT434"/>
  <c r="BS434"/>
  <c r="BR434"/>
  <c r="BQ434"/>
  <c r="BP434"/>
  <c r="BO434"/>
  <c r="BN434"/>
  <c r="BM434"/>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s="1"/>
  <c r="AX433"/>
  <c r="AW433"/>
  <c r="AV433"/>
  <c r="AC433"/>
  <c r="H433"/>
  <c r="G433" s="1"/>
  <c r="BT432"/>
  <c r="BS432"/>
  <c r="BR432"/>
  <c r="BQ432"/>
  <c r="BP432"/>
  <c r="BO432"/>
  <c r="BN432"/>
  <c r="BM432"/>
  <c r="BL432" s="1"/>
  <c r="BK432"/>
  <c r="BJ432"/>
  <c r="BI432"/>
  <c r="BH432"/>
  <c r="BG432"/>
  <c r="BF432"/>
  <c r="BE432"/>
  <c r="BD432"/>
  <c r="BC432"/>
  <c r="BB432"/>
  <c r="AX432"/>
  <c r="AW432"/>
  <c r="AV432"/>
  <c r="AC432"/>
  <c r="H432"/>
  <c r="G432" s="1"/>
  <c r="BT431"/>
  <c r="BS431"/>
  <c r="BR431"/>
  <c r="BQ431"/>
  <c r="BP431"/>
  <c r="BO431"/>
  <c r="BN431"/>
  <c r="BM431"/>
  <c r="BK431"/>
  <c r="BJ431"/>
  <c r="BI431"/>
  <c r="BH431"/>
  <c r="BG431"/>
  <c r="BF431"/>
  <c r="BE431"/>
  <c r="BD431"/>
  <c r="BC431"/>
  <c r="BB431"/>
  <c r="BA431"/>
  <c r="AX431"/>
  <c r="AW431"/>
  <c r="AV431"/>
  <c r="AC431"/>
  <c r="H431"/>
  <c r="BT430"/>
  <c r="BS430"/>
  <c r="BR430"/>
  <c r="BQ430"/>
  <c r="BP430"/>
  <c r="BO430"/>
  <c r="BN430"/>
  <c r="BM430"/>
  <c r="BL430"/>
  <c r="BK430"/>
  <c r="BJ430"/>
  <c r="BI430"/>
  <c r="BH430"/>
  <c r="BG430"/>
  <c r="BF430"/>
  <c r="BE430"/>
  <c r="BD430"/>
  <c r="BC430"/>
  <c r="BB430"/>
  <c r="BA430" s="1"/>
  <c r="AZ430" s="1"/>
  <c r="AX430"/>
  <c r="AW430"/>
  <c r="AV430"/>
  <c r="AC430"/>
  <c r="H430"/>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s="1"/>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s="1"/>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K425"/>
  <c r="BJ425"/>
  <c r="BI425"/>
  <c r="BH425"/>
  <c r="BG425"/>
  <c r="BF425"/>
  <c r="BE425"/>
  <c r="BD425"/>
  <c r="BC425"/>
  <c r="BB425"/>
  <c r="BA425"/>
  <c r="AX425"/>
  <c r="AW425"/>
  <c r="AV425"/>
  <c r="AC425"/>
  <c r="H425"/>
  <c r="BT424"/>
  <c r="BS424"/>
  <c r="BR424"/>
  <c r="BQ424"/>
  <c r="BP424"/>
  <c r="BO424"/>
  <c r="BN424"/>
  <c r="BM424"/>
  <c r="BL424"/>
  <c r="BK424"/>
  <c r="BJ424"/>
  <c r="BI424"/>
  <c r="BH424"/>
  <c r="BG424"/>
  <c r="BF424"/>
  <c r="BE424"/>
  <c r="BD424"/>
  <c r="BC424"/>
  <c r="BB424"/>
  <c r="BA424" s="1"/>
  <c r="AZ424" s="1"/>
  <c r="AX424"/>
  <c r="AW424"/>
  <c r="AV424"/>
  <c r="AC424"/>
  <c r="H424"/>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BK422"/>
  <c r="BJ422"/>
  <c r="BI422"/>
  <c r="BH422"/>
  <c r="BG422"/>
  <c r="BF422"/>
  <c r="BE422"/>
  <c r="BD422"/>
  <c r="BC422"/>
  <c r="BB422"/>
  <c r="BA422" s="1"/>
  <c r="AX422"/>
  <c r="AW422"/>
  <c r="AV422"/>
  <c r="AC422"/>
  <c r="H422"/>
  <c r="G422" s="1"/>
  <c r="BT421"/>
  <c r="BS421"/>
  <c r="BR421"/>
  <c r="BQ421"/>
  <c r="BP421"/>
  <c r="BO421"/>
  <c r="BN421"/>
  <c r="BM421"/>
  <c r="BL421" s="1"/>
  <c r="BK421"/>
  <c r="BJ421"/>
  <c r="BI421"/>
  <c r="BH421"/>
  <c r="BG421"/>
  <c r="BF421"/>
  <c r="BE421"/>
  <c r="BD421"/>
  <c r="BC421"/>
  <c r="BB421"/>
  <c r="BA421" s="1"/>
  <c r="AZ421" s="1"/>
  <c r="AX421"/>
  <c r="AW421"/>
  <c r="AV421"/>
  <c r="AC421"/>
  <c r="H42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s="1"/>
  <c r="AX419"/>
  <c r="AW419"/>
  <c r="AV419"/>
  <c r="AC419"/>
  <c r="H419"/>
  <c r="G419" s="1"/>
  <c r="BT418"/>
  <c r="BS418"/>
  <c r="BR418"/>
  <c r="BQ418"/>
  <c r="BP418"/>
  <c r="BO418"/>
  <c r="BN418"/>
  <c r="BM418"/>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s="1"/>
  <c r="AX417"/>
  <c r="AW417"/>
  <c r="AV417"/>
  <c r="AC417"/>
  <c r="H417"/>
  <c r="G417" s="1"/>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BA415"/>
  <c r="AX415"/>
  <c r="AW415"/>
  <c r="AV415"/>
  <c r="AC415"/>
  <c r="H415"/>
  <c r="BT414"/>
  <c r="BS414"/>
  <c r="BR414"/>
  <c r="BQ414"/>
  <c r="BP414"/>
  <c r="BO414"/>
  <c r="BN414"/>
  <c r="BM414"/>
  <c r="BL414"/>
  <c r="BK414"/>
  <c r="BJ414"/>
  <c r="BI414"/>
  <c r="BH414"/>
  <c r="BG414"/>
  <c r="BF414"/>
  <c r="BE414"/>
  <c r="BD414"/>
  <c r="BC414"/>
  <c r="BB414"/>
  <c r="BA414" s="1"/>
  <c r="AZ414" s="1"/>
  <c r="AX414"/>
  <c r="AW414"/>
  <c r="AV414"/>
  <c r="AC414"/>
  <c r="H414"/>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s="1"/>
  <c r="AX412"/>
  <c r="AW412"/>
  <c r="AV412"/>
  <c r="AC412"/>
  <c r="H412"/>
  <c r="G412" s="1"/>
  <c r="BT411"/>
  <c r="BS411"/>
  <c r="BR411"/>
  <c r="BQ411"/>
  <c r="BP411"/>
  <c r="BO411"/>
  <c r="BN411"/>
  <c r="BM411"/>
  <c r="BL411" s="1"/>
  <c r="BK411"/>
  <c r="BJ411"/>
  <c r="BI411"/>
  <c r="BH411"/>
  <c r="BG411"/>
  <c r="BF411"/>
  <c r="BE411"/>
  <c r="BD411"/>
  <c r="BC411"/>
  <c r="BB411"/>
  <c r="AX411"/>
  <c r="AW411"/>
  <c r="AV411"/>
  <c r="AC411"/>
  <c r="H411"/>
  <c r="G411" s="1"/>
  <c r="BT410"/>
  <c r="BS410"/>
  <c r="BR410"/>
  <c r="BQ410"/>
  <c r="BP410"/>
  <c r="BO410"/>
  <c r="BN410"/>
  <c r="BM410"/>
  <c r="BL410" s="1"/>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BA408"/>
  <c r="AX408"/>
  <c r="AW408"/>
  <c r="AV408"/>
  <c r="AC408"/>
  <c r="H408"/>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BA405"/>
  <c r="AX405"/>
  <c r="AW405"/>
  <c r="AV405"/>
  <c r="AC405"/>
  <c r="H405"/>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s="1"/>
  <c r="AX401"/>
  <c r="AW401"/>
  <c r="AV401"/>
  <c r="AC401"/>
  <c r="H401"/>
  <c r="G401" s="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BA399"/>
  <c r="AX399"/>
  <c r="AW399"/>
  <c r="AV399"/>
  <c r="AC399"/>
  <c r="H399"/>
  <c r="BT398"/>
  <c r="BS398"/>
  <c r="BR398"/>
  <c r="BQ398"/>
  <c r="BP398"/>
  <c r="BO398"/>
  <c r="BN398"/>
  <c r="BM398"/>
  <c r="BL398"/>
  <c r="BK398"/>
  <c r="BJ398"/>
  <c r="BI398"/>
  <c r="BH398"/>
  <c r="BG398"/>
  <c r="BF398"/>
  <c r="BE398"/>
  <c r="BD398"/>
  <c r="BC398"/>
  <c r="BB398"/>
  <c r="BA398" s="1"/>
  <c r="AZ398" s="1"/>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S27" s="1"/>
  <c r="R28"/>
  <c r="R29"/>
  <c r="S29" s="1"/>
  <c r="R30"/>
  <c r="R31"/>
  <c r="S31" s="1"/>
  <c r="R32"/>
  <c r="R33"/>
  <c r="S33" s="1"/>
  <c r="R34"/>
  <c r="R35"/>
  <c r="S35" s="1"/>
  <c r="R36"/>
  <c r="R37"/>
  <c r="S37" s="1"/>
  <c r="R38"/>
  <c r="R39"/>
  <c r="S39" s="1"/>
  <c r="R40"/>
  <c r="R41"/>
  <c r="S41" s="1"/>
  <c r="R42"/>
  <c r="R43"/>
  <c r="S43" s="1"/>
  <c r="R44"/>
  <c r="R45"/>
  <c r="S45" s="1"/>
  <c r="R46"/>
  <c r="R47"/>
  <c r="S47" s="1"/>
  <c r="R48"/>
  <c r="R49"/>
  <c r="S49" s="1"/>
  <c r="R50"/>
  <c r="R51"/>
  <c r="S51" s="1"/>
  <c r="R52"/>
  <c r="R53"/>
  <c r="S53" s="1"/>
  <c r="R54"/>
  <c r="R55"/>
  <c r="S55" s="1"/>
  <c r="R56"/>
  <c r="R57"/>
  <c r="S57" s="1"/>
  <c r="R58"/>
  <c r="R59"/>
  <c r="S59" s="1"/>
  <c r="R60"/>
  <c r="R61"/>
  <c r="S61" s="1"/>
  <c r="R62"/>
  <c r="R63"/>
  <c r="S63" s="1"/>
  <c r="R64"/>
  <c r="R65"/>
  <c r="S65" s="1"/>
  <c r="R66"/>
  <c r="R67"/>
  <c r="S67" s="1"/>
  <c r="R68"/>
  <c r="R69"/>
  <c r="S69" s="1"/>
  <c r="R70"/>
  <c r="R71"/>
  <c r="S71" s="1"/>
  <c r="R72"/>
  <c r="R73"/>
  <c r="S73" s="1"/>
  <c r="R74"/>
  <c r="R75"/>
  <c r="S75" s="1"/>
  <c r="R76"/>
  <c r="R77"/>
  <c r="S77" s="1"/>
  <c r="R78"/>
  <c r="R79"/>
  <c r="S79" s="1"/>
  <c r="R80"/>
  <c r="R81"/>
  <c r="S81" s="1"/>
  <c r="R82"/>
  <c r="R83"/>
  <c r="S83" s="1"/>
  <c r="R84"/>
  <c r="R85"/>
  <c r="S85" s="1"/>
  <c r="R86"/>
  <c r="R87"/>
  <c r="S87" s="1"/>
  <c r="R88"/>
  <c r="R89"/>
  <c r="S89" s="1"/>
  <c r="R90"/>
  <c r="R91"/>
  <c r="S91" s="1"/>
  <c r="R92"/>
  <c r="R93"/>
  <c r="S93" s="1"/>
  <c r="R94"/>
  <c r="R95"/>
  <c r="S95" s="1"/>
  <c r="R96"/>
  <c r="R97"/>
  <c r="S97" s="1"/>
  <c r="R98"/>
  <c r="R99"/>
  <c r="S99" s="1"/>
  <c r="R100"/>
  <c r="R101"/>
  <c r="S101" s="1"/>
  <c r="R102"/>
  <c r="R103"/>
  <c r="S103" s="1"/>
  <c r="R104"/>
  <c r="R105"/>
  <c r="S105" s="1"/>
  <c r="R106"/>
  <c r="R107"/>
  <c r="S107" s="1"/>
  <c r="R108"/>
  <c r="R109"/>
  <c r="S109" s="1"/>
  <c r="R110"/>
  <c r="R111"/>
  <c r="S111" s="1"/>
  <c r="R112"/>
  <c r="R113"/>
  <c r="S113" s="1"/>
  <c r="R114"/>
  <c r="R115"/>
  <c r="S115" s="1"/>
  <c r="R116"/>
  <c r="R117"/>
  <c r="S117" s="1"/>
  <c r="R118"/>
  <c r="R119"/>
  <c r="S119" s="1"/>
  <c r="R120"/>
  <c r="R121"/>
  <c r="S121" s="1"/>
  <c r="R122"/>
  <c r="R123"/>
  <c r="R124"/>
  <c r="R125"/>
  <c r="R126"/>
  <c r="R127"/>
  <c r="R128"/>
  <c r="R129"/>
  <c r="R130"/>
  <c r="R131"/>
  <c r="R132"/>
  <c r="R133"/>
  <c r="R134"/>
  <c r="R135"/>
  <c r="R136"/>
  <c r="R137"/>
  <c r="R138"/>
  <c r="R139"/>
  <c r="R140"/>
  <c r="R141"/>
  <c r="R142"/>
  <c r="R143"/>
  <c r="R144"/>
  <c r="R145"/>
  <c r="R146"/>
  <c r="R147"/>
  <c r="R148"/>
  <c r="R149"/>
  <c r="S149" s="1"/>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S223" s="1"/>
  <c r="R224"/>
  <c r="R225"/>
  <c r="S225" s="1"/>
  <c r="R226"/>
  <c r="R227"/>
  <c r="S227" s="1"/>
  <c r="R228"/>
  <c r="R229"/>
  <c r="S229" s="1"/>
  <c r="R230"/>
  <c r="R231"/>
  <c r="S231" s="1"/>
  <c r="R232"/>
  <c r="R233"/>
  <c r="S233" s="1"/>
  <c r="R234"/>
  <c r="R235"/>
  <c r="S235" s="1"/>
  <c r="R236"/>
  <c r="R237"/>
  <c r="S237" s="1"/>
  <c r="R238"/>
  <c r="R239"/>
  <c r="S239" s="1"/>
  <c r="R240"/>
  <c r="R241"/>
  <c r="S241" s="1"/>
  <c r="R242"/>
  <c r="R243"/>
  <c r="S243" s="1"/>
  <c r="R244"/>
  <c r="R245"/>
  <c r="S245" s="1"/>
  <c r="R246"/>
  <c r="R247"/>
  <c r="S247" s="1"/>
  <c r="R248"/>
  <c r="R249"/>
  <c r="S249" s="1"/>
  <c r="R250"/>
  <c r="R251"/>
  <c r="S251" s="1"/>
  <c r="R252"/>
  <c r="R253"/>
  <c r="S253" s="1"/>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S431" s="1"/>
  <c r="R432"/>
  <c r="R433"/>
  <c r="S433" s="1"/>
  <c r="R434"/>
  <c r="R435"/>
  <c r="S435" s="1"/>
  <c r="R436"/>
  <c r="R437"/>
  <c r="S437" s="1"/>
  <c r="R438"/>
  <c r="R439"/>
  <c r="S439" s="1"/>
  <c r="R440"/>
  <c r="R441"/>
  <c r="S441" s="1"/>
  <c r="R442"/>
  <c r="R443"/>
  <c r="S443" s="1"/>
  <c r="R444"/>
  <c r="R445"/>
  <c r="R446"/>
  <c r="R447"/>
  <c r="R448"/>
  <c r="R449"/>
  <c r="R450"/>
  <c r="R451"/>
  <c r="R452"/>
  <c r="R453"/>
  <c r="R454"/>
  <c r="R455"/>
  <c r="R456"/>
  <c r="R457"/>
  <c r="R458"/>
  <c r="R459"/>
  <c r="R460"/>
  <c r="R461"/>
  <c r="R462"/>
  <c r="R463"/>
  <c r="R464"/>
  <c r="R465"/>
  <c r="R466"/>
  <c r="R467"/>
  <c r="R468"/>
  <c r="R469"/>
  <c r="S469" s="1"/>
  <c r="R470"/>
  <c r="R47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S507" s="1"/>
  <c r="R508"/>
  <c r="R509"/>
  <c r="S509" s="1"/>
  <c r="R510"/>
  <c r="R511"/>
  <c r="S511" s="1"/>
  <c r="R512"/>
  <c r="R513"/>
  <c r="S513" s="1"/>
  <c r="R514"/>
  <c r="R515"/>
  <c r="S515" s="1"/>
  <c r="R516"/>
  <c r="R517"/>
  <c r="S517" s="1"/>
  <c r="R518"/>
  <c r="R519"/>
  <c r="S519" s="1"/>
  <c r="R520"/>
  <c r="R521"/>
  <c r="R522"/>
  <c r="R523"/>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E15"/>
  <c r="D15"/>
  <c r="L21"/>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M18" i="78" s="1"/>
  <c r="B118" s="1"/>
  <c r="E21" i="6"/>
  <c r="K8" i="1" s="1"/>
  <c r="M8" s="1"/>
  <c r="F23" i="15"/>
  <c r="D24" s="1"/>
  <c r="O8" i="1"/>
  <c r="P8"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2"/>
  <c r="S250"/>
  <c r="S248"/>
  <c r="S246"/>
  <c r="S244"/>
  <c r="S242"/>
  <c r="S240"/>
  <c r="S238"/>
  <c r="S236"/>
  <c r="S234"/>
  <c r="S232"/>
  <c r="S230"/>
  <c r="S228"/>
  <c r="S226"/>
  <c r="S224"/>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8"/>
  <c r="S147"/>
  <c r="S146"/>
  <c r="S145"/>
  <c r="S144"/>
  <c r="S143"/>
  <c r="S142"/>
  <c r="S141"/>
  <c r="S140"/>
  <c r="S139"/>
  <c r="S138"/>
  <c r="S137"/>
  <c r="S136"/>
  <c r="S135"/>
  <c r="S134"/>
  <c r="S133"/>
  <c r="S132"/>
  <c r="S131"/>
  <c r="S130"/>
  <c r="S129"/>
  <c r="S128"/>
  <c r="S127"/>
  <c r="S126"/>
  <c r="S125"/>
  <c r="S124"/>
  <c r="S123"/>
  <c r="S496"/>
  <c r="S494"/>
  <c r="S492"/>
  <c r="S490"/>
  <c r="S488"/>
  <c r="S486"/>
  <c r="S484"/>
  <c r="S482"/>
  <c r="S480"/>
  <c r="S478"/>
  <c r="S476"/>
  <c r="S474"/>
  <c r="S472"/>
  <c r="S470"/>
  <c r="S468"/>
  <c r="S444"/>
  <c r="S442"/>
  <c r="S440"/>
  <c r="S438"/>
  <c r="S436"/>
  <c r="S434"/>
  <c r="S432"/>
  <c r="S430"/>
  <c r="S122"/>
  <c r="S120"/>
  <c r="S118"/>
  <c r="S116"/>
  <c r="S114"/>
  <c r="S112"/>
  <c r="S506"/>
  <c r="S504"/>
  <c r="S502"/>
  <c r="S500"/>
  <c r="S498"/>
  <c r="S467"/>
  <c r="S466"/>
  <c r="S465"/>
  <c r="S464"/>
  <c r="S463"/>
  <c r="S462"/>
  <c r="S461"/>
  <c r="S460"/>
  <c r="S459"/>
  <c r="S458"/>
  <c r="S457"/>
  <c r="S456"/>
  <c r="S455"/>
  <c r="S454"/>
  <c r="S453"/>
  <c r="S452"/>
  <c r="S451"/>
  <c r="S450"/>
  <c r="S54"/>
  <c r="S52"/>
  <c r="S50"/>
  <c r="S48"/>
  <c r="S46"/>
  <c r="S44"/>
  <c r="S42"/>
  <c r="S40"/>
  <c r="S38"/>
  <c r="S36"/>
  <c r="S34"/>
  <c r="S32"/>
  <c r="S76"/>
  <c r="S74"/>
  <c r="S72"/>
  <c r="S70"/>
  <c r="S68"/>
  <c r="S66"/>
  <c r="S64"/>
  <c r="S62"/>
  <c r="S60"/>
  <c r="S58"/>
  <c r="S56"/>
  <c r="S96"/>
  <c r="S94"/>
  <c r="S92"/>
  <c r="S90"/>
  <c r="S88"/>
  <c r="S86"/>
  <c r="S84"/>
  <c r="S82"/>
  <c r="S80"/>
  <c r="S78"/>
  <c r="S30"/>
  <c r="S98"/>
  <c r="S100"/>
  <c r="S102"/>
  <c r="S104"/>
  <c r="S106"/>
  <c r="S108"/>
  <c r="S110"/>
  <c r="S445"/>
  <c r="S446"/>
  <c r="S447"/>
  <c r="S448"/>
  <c r="S449"/>
  <c r="S508"/>
  <c r="S510"/>
  <c r="S512"/>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6" i="31"/>
  <c r="S518"/>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c r="Q16"/>
  <c r="Z16" s="1"/>
  <c r="Q14"/>
  <c r="Z14" s="1"/>
  <c r="Q13"/>
  <c r="Z13" s="1"/>
  <c r="Q12"/>
  <c r="Z12" s="1"/>
  <c r="Q11"/>
  <c r="Z11" s="1"/>
  <c r="Q10"/>
  <c r="Z10" s="1"/>
  <c r="F10"/>
  <c r="AA10" s="1"/>
  <c r="Q9"/>
  <c r="Z9" s="1"/>
  <c r="J9"/>
  <c r="AC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H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9" s="1"/>
  <c r="AB9" s="1"/>
  <c r="H54"/>
  <c r="F54"/>
  <c r="P49"/>
  <c r="P48"/>
  <c r="V47"/>
  <c r="T47"/>
  <c r="R47"/>
  <c r="P47"/>
  <c r="Q46"/>
  <c r="Z46" s="1"/>
  <c r="Q45"/>
  <c r="Z45" s="1"/>
  <c r="Q44"/>
  <c r="Z44" s="1"/>
  <c r="Q43"/>
  <c r="Z43" s="1"/>
  <c r="Q42"/>
  <c r="Z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W28"/>
  <c r="S30"/>
  <c r="AA31"/>
  <c r="AC31"/>
  <c r="W31"/>
  <c r="U31"/>
  <c r="J33"/>
  <c r="W33" s="1"/>
  <c r="H22" i="35"/>
  <c r="AB22" s="1"/>
  <c r="AC27"/>
  <c r="W28"/>
  <c r="U31"/>
  <c r="S34"/>
  <c r="W34"/>
  <c r="W22"/>
  <c r="S31"/>
  <c r="F36" i="34"/>
  <c r="J35"/>
  <c r="U34"/>
  <c r="H39" i="33"/>
  <c r="AB39" s="1"/>
  <c r="U35"/>
  <c r="S40"/>
  <c r="H39" i="37"/>
  <c r="AB39" s="1"/>
  <c r="S27" i="35"/>
  <c r="F11" i="40"/>
  <c r="AA11" s="1"/>
  <c r="H11"/>
  <c r="AB11" s="1"/>
  <c r="W8"/>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S34"/>
  <c r="C25" i="39"/>
  <c r="H11"/>
  <c r="S40"/>
  <c r="C15"/>
  <c r="H32" i="33"/>
  <c r="AB32" s="1"/>
  <c r="H11" i="21"/>
  <c r="U11" s="1"/>
  <c r="J11"/>
  <c r="W11" s="1"/>
  <c r="H37" i="40"/>
  <c r="U37" s="1"/>
  <c r="H36"/>
  <c r="AB36" s="1"/>
  <c r="F35"/>
  <c r="AA35" s="1"/>
  <c r="H23"/>
  <c r="AB23" s="1"/>
  <c r="H17"/>
  <c r="U17" s="1"/>
  <c r="J15"/>
  <c r="W15" s="1"/>
  <c r="J11"/>
  <c r="W11" s="1"/>
  <c r="AB8" i="39"/>
  <c r="AB12" i="33"/>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AA12" s="1"/>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F28"/>
  <c r="AA28" s="1"/>
  <c r="F27"/>
  <c r="AA27" s="1"/>
  <c r="F25"/>
  <c r="S25" s="1"/>
  <c r="H23"/>
  <c r="U23" s="1"/>
  <c r="J23"/>
  <c r="F19"/>
  <c r="H17"/>
  <c r="U17" s="1"/>
  <c r="F15"/>
  <c r="S15" s="1"/>
  <c r="J15"/>
  <c r="W15" s="1"/>
  <c r="H15"/>
  <c r="AB15" s="1"/>
  <c r="J28"/>
  <c r="W28" s="1"/>
  <c r="F41" i="33"/>
  <c r="AA41" s="1"/>
  <c r="S38"/>
  <c r="E113"/>
  <c r="F32"/>
  <c r="AA32" s="1"/>
  <c r="J19"/>
  <c r="AC19" s="1"/>
  <c r="J15"/>
  <c r="AC15" s="1"/>
  <c r="F11"/>
  <c r="AA11" s="1"/>
  <c r="U40"/>
  <c r="W40"/>
  <c r="U8"/>
  <c r="S8"/>
  <c r="F37" i="40"/>
  <c r="AA37" s="1"/>
  <c r="F36"/>
  <c r="AA36" s="1"/>
  <c r="H28"/>
  <c r="U28" s="1"/>
  <c r="F23"/>
  <c r="AA23" s="1"/>
  <c r="F17"/>
  <c r="AA17" s="1"/>
  <c r="J17"/>
  <c r="W17" s="1"/>
  <c r="F15"/>
  <c r="S15" s="1"/>
  <c r="H15"/>
  <c r="AB15" s="1"/>
  <c r="S12" i="36"/>
  <c r="AB30"/>
  <c r="U30" i="35"/>
  <c r="U33"/>
  <c r="F29"/>
  <c r="S29" s="1"/>
  <c r="H29"/>
  <c r="AB29" s="1"/>
  <c r="H33" i="37"/>
  <c r="AB33" s="1"/>
  <c r="F33"/>
  <c r="AA33" s="1"/>
  <c r="U34"/>
  <c r="S34"/>
  <c r="AA34"/>
  <c r="J43" i="34"/>
  <c r="AB42"/>
  <c r="J40"/>
  <c r="F114"/>
  <c r="G114" s="1"/>
  <c r="H114" s="1"/>
  <c r="I114" s="1"/>
  <c r="J114" s="1"/>
  <c r="K114" s="1"/>
  <c r="L114" s="1"/>
  <c r="M114" s="1"/>
  <c r="H38"/>
  <c r="AB38" s="1"/>
  <c r="J36"/>
  <c r="W36" s="1"/>
  <c r="H37"/>
  <c r="U37" s="1"/>
  <c r="H25"/>
  <c r="AB25" s="1"/>
  <c r="J25"/>
  <c r="AC25" s="1"/>
  <c r="F23"/>
  <c r="AA23" s="1"/>
  <c r="J19"/>
  <c r="AC19" s="1"/>
  <c r="F17"/>
  <c r="AA17" s="1"/>
  <c r="J17"/>
  <c r="W17" s="1"/>
  <c r="AA15"/>
  <c r="S41" i="33"/>
  <c r="F113"/>
  <c r="G113" s="1"/>
  <c r="H113" s="1"/>
  <c r="I113" s="1"/>
  <c r="J113" s="1"/>
  <c r="K113" s="1"/>
  <c r="L113" s="1"/>
  <c r="M113" s="1"/>
  <c r="H37"/>
  <c r="AB37" s="1"/>
  <c r="H15"/>
  <c r="AB15" s="1"/>
  <c r="H11"/>
  <c r="AB11" s="1"/>
  <c r="F28" i="40"/>
  <c r="AA28" s="1"/>
  <c r="AA29" i="35"/>
  <c r="AA42" i="34"/>
  <c r="S42"/>
  <c r="AC38"/>
  <c r="AA38"/>
  <c r="J37"/>
  <c r="AC37" s="1"/>
  <c r="J11" i="33"/>
  <c r="W11" s="1"/>
  <c r="U23" i="40"/>
  <c r="G123" i="21"/>
  <c r="H123" s="1"/>
  <c r="I123" s="1"/>
  <c r="J123" s="1"/>
  <c r="K123" s="1"/>
  <c r="L123" s="1"/>
  <c r="M123" s="1"/>
  <c r="J42"/>
  <c r="AC42" s="1"/>
  <c r="H42"/>
  <c r="U42" s="1"/>
  <c r="J44" i="34"/>
  <c r="AC44" s="1"/>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U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U31" i="34"/>
  <c r="AA14" i="33"/>
  <c r="J36" i="37"/>
  <c r="AC36" s="1"/>
  <c r="G105"/>
  <c r="AB11" i="35"/>
  <c r="J10" i="36"/>
  <c r="AC10" s="1"/>
  <c r="AB26" i="33"/>
  <c r="AB30" i="21"/>
  <c r="AA14" i="37"/>
  <c r="W31" i="34"/>
  <c r="AC13" i="36"/>
  <c r="W13"/>
  <c r="S11"/>
  <c r="W11"/>
  <c r="W11" i="35"/>
  <c r="AC30" i="34"/>
  <c r="S45" i="33"/>
  <c r="AB31"/>
  <c r="W29"/>
  <c r="AC28" i="21"/>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AZ574" s="1"/>
  <c r="BA572"/>
  <c r="AZ572" s="1"/>
  <c r="BA570"/>
  <c r="AZ570" s="1"/>
  <c r="BA568"/>
  <c r="AZ568" s="1"/>
  <c r="BA566"/>
  <c r="AZ566" s="1"/>
  <c r="BA564"/>
  <c r="AZ564" s="1"/>
  <c r="BA562"/>
  <c r="AZ562" s="1"/>
  <c r="BA560"/>
  <c r="AZ560" s="1"/>
  <c r="BA558"/>
  <c r="BA556"/>
  <c r="AZ556" s="1"/>
  <c r="BA554"/>
  <c r="BA552"/>
  <c r="AZ552" s="1"/>
  <c r="BA548"/>
  <c r="BA546"/>
  <c r="BA544"/>
  <c r="BA542"/>
  <c r="AZ542" s="1"/>
  <c r="BA540"/>
  <c r="AZ540" s="1"/>
  <c r="BA538"/>
  <c r="AZ538" s="1"/>
  <c r="BA536"/>
  <c r="BA534"/>
  <c r="AZ534" s="1"/>
  <c r="BA532"/>
  <c r="BA530"/>
  <c r="BA528"/>
  <c r="AZ528"/>
  <c r="BA526"/>
  <c r="AZ526"/>
  <c r="BA524"/>
  <c r="BA522"/>
  <c r="BA520"/>
  <c r="BA518"/>
  <c r="AZ518" s="1"/>
  <c r="BA516"/>
  <c r="BA514"/>
  <c r="BA512"/>
  <c r="AZ512"/>
  <c r="BA510"/>
  <c r="AZ510"/>
  <c r="BA508"/>
  <c r="BA506"/>
  <c r="BA504"/>
  <c r="AZ504"/>
  <c r="BA502"/>
  <c r="BA500"/>
  <c r="BA498"/>
  <c r="AZ498"/>
  <c r="BA496"/>
  <c r="BA494"/>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c r="BQ579"/>
  <c r="BL579"/>
  <c r="AZ579" s="1"/>
  <c r="BQ577"/>
  <c r="BL577" s="1"/>
  <c r="BQ575"/>
  <c r="BL575" s="1"/>
  <c r="AZ575" s="1"/>
  <c r="BQ573"/>
  <c r="BL573" s="1"/>
  <c r="AZ573" s="1"/>
  <c r="BQ571"/>
  <c r="BL571"/>
  <c r="AZ571" s="1"/>
  <c r="BQ569"/>
  <c r="BL569" s="1"/>
  <c r="BQ567"/>
  <c r="BL567" s="1"/>
  <c r="AZ567" s="1"/>
  <c r="BQ565"/>
  <c r="BL565" s="1"/>
  <c r="AZ565" s="1"/>
  <c r="BQ563"/>
  <c r="BL563"/>
  <c r="BQ561"/>
  <c r="BL561"/>
  <c r="AZ561" s="1"/>
  <c r="BQ559"/>
  <c r="BL559" s="1"/>
  <c r="AZ559" s="1"/>
  <c r="G559"/>
  <c r="G555"/>
  <c r="G553"/>
  <c r="G549"/>
  <c r="G547"/>
  <c r="G545"/>
  <c r="G543"/>
  <c r="G541"/>
  <c r="G539"/>
  <c r="G537"/>
  <c r="BQ555"/>
  <c r="BL555" s="1"/>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c r="BQ521"/>
  <c r="BL521"/>
  <c r="BL520"/>
  <c r="AZ520" s="1"/>
  <c r="G519"/>
  <c r="G517"/>
  <c r="G515"/>
  <c r="G513"/>
  <c r="G511"/>
  <c r="BQ519"/>
  <c r="BL519"/>
  <c r="AZ519" s="1"/>
  <c r="BQ517"/>
  <c r="BL517" s="1"/>
  <c r="AZ517" s="1"/>
  <c r="BQ515"/>
  <c r="BL515" s="1"/>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s="1"/>
  <c r="AZ501" s="1"/>
  <c r="BQ499"/>
  <c r="BL499" s="1"/>
  <c r="AZ499" s="1"/>
  <c r="BQ497"/>
  <c r="BL497" s="1"/>
  <c r="AZ497" s="1"/>
  <c r="BQ495"/>
  <c r="BL495" s="1"/>
  <c r="AZ495" s="1"/>
  <c r="BQ493"/>
  <c r="S505" i="31"/>
  <c r="S501"/>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U32" i="33"/>
  <c r="AA36" i="39"/>
  <c r="F39" i="33"/>
  <c r="AA39" s="1"/>
  <c r="E123"/>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J43"/>
  <c r="AC43" s="1"/>
  <c r="S28" i="31"/>
  <c r="S26"/>
  <c r="U14" i="40"/>
  <c r="AC32" i="36"/>
  <c r="AC33"/>
  <c r="U35" i="35"/>
  <c r="AA12"/>
  <c r="W14" i="37"/>
  <c r="AB28"/>
  <c r="U33"/>
  <c r="U39"/>
  <c r="W26"/>
  <c r="AC8"/>
  <c r="U26"/>
  <c r="W47" i="34"/>
  <c r="AB13"/>
  <c r="W37"/>
  <c r="AC31" i="33"/>
  <c r="AC45"/>
  <c r="W44"/>
  <c r="U11"/>
  <c r="U19" i="21"/>
  <c r="W44"/>
  <c r="U26"/>
  <c r="AC46"/>
  <c r="U12"/>
  <c r="AB38"/>
  <c r="F43" i="33"/>
  <c r="AA43" s="1"/>
  <c r="AC15" i="34"/>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19"/>
  <c r="S19" s="1"/>
  <c r="S14"/>
  <c r="AC13"/>
  <c r="AB33"/>
  <c r="W23" i="39"/>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G4" i="4"/>
  <c r="I4"/>
  <c r="K5"/>
  <c r="B47" i="48" s="1"/>
  <c r="A2" i="9"/>
  <c r="N2" i="43"/>
  <c r="F59" s="1"/>
  <c r="AZ24" i="3"/>
  <c r="AZ32"/>
  <c r="BL549"/>
  <c r="AZ494"/>
  <c r="AZ502"/>
  <c r="AZ514"/>
  <c r="AZ522"/>
  <c r="AZ530"/>
  <c r="AZ546"/>
  <c r="G546"/>
  <c r="G524"/>
  <c r="G303"/>
  <c r="BL304"/>
  <c r="G305"/>
  <c r="BL306"/>
  <c r="BA308"/>
  <c r="AZ308" s="1"/>
  <c r="BA309"/>
  <c r="BL309"/>
  <c r="AZ309" s="1"/>
  <c r="G310"/>
  <c r="BA311"/>
  <c r="G319"/>
  <c r="BL320"/>
  <c r="G321"/>
  <c r="BL322"/>
  <c r="BA324"/>
  <c r="AZ324" s="1"/>
  <c r="BA325"/>
  <c r="AZ325" s="1"/>
  <c r="BL325"/>
  <c r="G326"/>
  <c r="BA327"/>
  <c r="G335"/>
  <c r="BL336"/>
  <c r="G337"/>
  <c r="BL338"/>
  <c r="BA340"/>
  <c r="AZ340" s="1"/>
  <c r="BA341"/>
  <c r="BL341"/>
  <c r="AZ341" s="1"/>
  <c r="BA343"/>
  <c r="BA345"/>
  <c r="BL355"/>
  <c r="G356"/>
  <c r="BL357"/>
  <c r="BA359"/>
  <c r="AZ359" s="1"/>
  <c r="BA360"/>
  <c r="BL360"/>
  <c r="G361"/>
  <c r="BA362"/>
  <c r="G370"/>
  <c r="BL371"/>
  <c r="G372"/>
  <c r="BL373"/>
  <c r="BA375"/>
  <c r="AZ375" s="1"/>
  <c r="BA376"/>
  <c r="BL376"/>
  <c r="AZ376" s="1"/>
  <c r="G377"/>
  <c r="BA378"/>
  <c r="AZ378" s="1"/>
  <c r="BL378"/>
  <c r="G379"/>
  <c r="BA380"/>
  <c r="G388"/>
  <c r="BL389"/>
  <c r="G390"/>
  <c r="BL391"/>
  <c r="BA393"/>
  <c r="BA394"/>
  <c r="AZ394" s="1"/>
  <c r="BL394"/>
  <c r="G113"/>
  <c r="BA115"/>
  <c r="AZ115"/>
  <c r="BL116"/>
  <c r="AZ116"/>
  <c r="G117"/>
  <c r="BA119"/>
  <c r="BL120"/>
  <c r="G121"/>
  <c r="BA123"/>
  <c r="AZ123" s="1"/>
  <c r="BL124"/>
  <c r="AZ124" s="1"/>
  <c r="G125"/>
  <c r="BA127"/>
  <c r="AZ127" s="1"/>
  <c r="BL128"/>
  <c r="AZ128" s="1"/>
  <c r="G129"/>
  <c r="BA131"/>
  <c r="AZ131" s="1"/>
  <c r="BL132"/>
  <c r="AZ132" s="1"/>
  <c r="G133"/>
  <c r="BA135"/>
  <c r="BL136"/>
  <c r="G137"/>
  <c r="BA139"/>
  <c r="BL140"/>
  <c r="AZ140" s="1"/>
  <c r="G141"/>
  <c r="BA143"/>
  <c r="BL144"/>
  <c r="G145"/>
  <c r="BA147"/>
  <c r="AZ147"/>
  <c r="BL148"/>
  <c r="G149"/>
  <c r="BA151"/>
  <c r="AZ151" s="1"/>
  <c r="BL152"/>
  <c r="G153"/>
  <c r="BA155"/>
  <c r="AZ155" s="1"/>
  <c r="BL156"/>
  <c r="G157"/>
  <c r="BA159"/>
  <c r="AZ159" s="1"/>
  <c r="BL160"/>
  <c r="AZ160" s="1"/>
  <c r="G161"/>
  <c r="BA163"/>
  <c r="AZ163" s="1"/>
  <c r="BL164"/>
  <c r="G165"/>
  <c r="BA167"/>
  <c r="AZ167" s="1"/>
  <c r="BL168"/>
  <c r="G169"/>
  <c r="BA171"/>
  <c r="AZ171" s="1"/>
  <c r="BL172"/>
  <c r="G173"/>
  <c r="BA175"/>
  <c r="AZ175"/>
  <c r="BL176"/>
  <c r="G177"/>
  <c r="BA179"/>
  <c r="AZ179"/>
  <c r="BL180"/>
  <c r="G181"/>
  <c r="BA183"/>
  <c r="AZ183" s="1"/>
  <c r="BL184"/>
  <c r="G185"/>
  <c r="BA187"/>
  <c r="AZ187" s="1"/>
  <c r="BL188"/>
  <c r="G189"/>
  <c r="BA191"/>
  <c r="AZ191" s="1"/>
  <c r="BL192"/>
  <c r="AZ192" s="1"/>
  <c r="G193"/>
  <c r="BA195"/>
  <c r="AZ195" s="1"/>
  <c r="BL196"/>
  <c r="G197"/>
  <c r="BA199"/>
  <c r="AZ199" s="1"/>
  <c r="BL200"/>
  <c r="G201"/>
  <c r="BA203"/>
  <c r="AZ203" s="1"/>
  <c r="BL204"/>
  <c r="AZ39"/>
  <c r="AZ51"/>
  <c r="AZ55"/>
  <c r="AZ67"/>
  <c r="AZ71"/>
  <c r="AZ79"/>
  <c r="AZ83"/>
  <c r="AZ136"/>
  <c r="AZ144"/>
  <c r="AZ152"/>
  <c r="AZ168"/>
  <c r="AZ176"/>
  <c r="AZ184"/>
  <c r="AZ200"/>
  <c r="AZ85"/>
  <c r="AZ89"/>
  <c r="AZ97"/>
  <c r="AZ105"/>
  <c r="AZ120"/>
  <c r="G534"/>
  <c r="G530"/>
  <c r="G522"/>
  <c r="G516"/>
  <c r="G512"/>
  <c r="G506"/>
  <c r="G498"/>
  <c r="G494"/>
  <c r="G16"/>
  <c r="G15"/>
  <c r="BA304"/>
  <c r="AZ304" s="1"/>
  <c r="BA305"/>
  <c r="BL305"/>
  <c r="G306"/>
  <c r="G309"/>
  <c r="BL310"/>
  <c r="BA312"/>
  <c r="AZ312" s="1"/>
  <c r="BA313"/>
  <c r="BL313"/>
  <c r="G314"/>
  <c r="G317"/>
  <c r="BL318"/>
  <c r="BA320"/>
  <c r="BA321"/>
  <c r="AZ321" s="1"/>
  <c r="BL321"/>
  <c r="G322"/>
  <c r="G325"/>
  <c r="BL326"/>
  <c r="BA328"/>
  <c r="AZ328"/>
  <c r="BA329"/>
  <c r="BL329"/>
  <c r="AZ329" s="1"/>
  <c r="G330"/>
  <c r="G333"/>
  <c r="BL334"/>
  <c r="BA336"/>
  <c r="AZ336" s="1"/>
  <c r="BA337"/>
  <c r="BL337"/>
  <c r="G338"/>
  <c r="G341"/>
  <c r="BA342"/>
  <c r="BL342"/>
  <c r="AZ342" s="1"/>
  <c r="BA344"/>
  <c r="BL344"/>
  <c r="BA346"/>
  <c r="AZ346" s="1"/>
  <c r="BA347"/>
  <c r="BL347"/>
  <c r="G350"/>
  <c r="BA351"/>
  <c r="AZ351" s="1"/>
  <c r="BL351"/>
  <c r="G352"/>
  <c r="G354"/>
  <c r="BA355"/>
  <c r="AZ355" s="1"/>
  <c r="BA356"/>
  <c r="AZ356" s="1"/>
  <c r="BL356"/>
  <c r="G357"/>
  <c r="G360"/>
  <c r="BL361"/>
  <c r="BA363"/>
  <c r="AZ363"/>
  <c r="BA364"/>
  <c r="BL364"/>
  <c r="AZ364" s="1"/>
  <c r="G365"/>
  <c r="G368"/>
  <c r="BL369"/>
  <c r="BA371"/>
  <c r="AZ371" s="1"/>
  <c r="BA372"/>
  <c r="BL372"/>
  <c r="G373"/>
  <c r="G376"/>
  <c r="BL377"/>
  <c r="BL379"/>
  <c r="BA381"/>
  <c r="BA382"/>
  <c r="BL382"/>
  <c r="AZ382" s="1"/>
  <c r="G383"/>
  <c r="G386"/>
  <c r="BL387"/>
  <c r="BA389"/>
  <c r="AZ389" s="1"/>
  <c r="BA390"/>
  <c r="BL390"/>
  <c r="G391"/>
  <c r="G394"/>
  <c r="AZ150"/>
  <c r="AZ158"/>
  <c r="AZ166"/>
  <c r="AZ174"/>
  <c r="AZ182"/>
  <c r="AZ190"/>
  <c r="AZ198"/>
  <c r="AZ500"/>
  <c r="BA16"/>
  <c r="AZ16" s="1"/>
  <c r="BL303"/>
  <c r="G304"/>
  <c r="BA306"/>
  <c r="AZ306"/>
  <c r="BL307"/>
  <c r="AZ307"/>
  <c r="G308"/>
  <c r="BA310"/>
  <c r="AZ310" s="1"/>
  <c r="BL311"/>
  <c r="G312"/>
  <c r="BA314"/>
  <c r="AZ314" s="1"/>
  <c r="BL315"/>
  <c r="AZ315" s="1"/>
  <c r="G316"/>
  <c r="BA318"/>
  <c r="AZ318" s="1"/>
  <c r="BL319"/>
  <c r="AZ319" s="1"/>
  <c r="G320"/>
  <c r="BA322"/>
  <c r="AZ322" s="1"/>
  <c r="BL323"/>
  <c r="AZ323" s="1"/>
  <c r="G324"/>
  <c r="BA326"/>
  <c r="BL327"/>
  <c r="AZ327" s="1"/>
  <c r="G328"/>
  <c r="BA330"/>
  <c r="AZ330" s="1"/>
  <c r="BL331"/>
  <c r="AZ331" s="1"/>
  <c r="G332"/>
  <c r="BA334"/>
  <c r="AZ334"/>
  <c r="BL335"/>
  <c r="G336"/>
  <c r="BA338"/>
  <c r="AZ338"/>
  <c r="BL339"/>
  <c r="AZ339"/>
  <c r="G340"/>
  <c r="BL343"/>
  <c r="G344"/>
  <c r="G348"/>
  <c r="G355"/>
  <c r="AZ214"/>
  <c r="AZ222"/>
  <c r="AZ303"/>
  <c r="AZ335"/>
  <c r="G342"/>
  <c r="BL345"/>
  <c r="AZ345" s="1"/>
  <c r="G346"/>
  <c r="BL349"/>
  <c r="BL352"/>
  <c r="G353"/>
  <c r="BA357"/>
  <c r="AZ357"/>
  <c r="BL358"/>
  <c r="AZ358"/>
  <c r="G359"/>
  <c r="BA361"/>
  <c r="AZ361" s="1"/>
  <c r="BL362"/>
  <c r="G363"/>
  <c r="BA365"/>
  <c r="AZ365" s="1"/>
  <c r="BL366"/>
  <c r="G367"/>
  <c r="BA369"/>
  <c r="AZ369" s="1"/>
  <c r="BL370"/>
  <c r="G371"/>
  <c r="BA373"/>
  <c r="AZ373" s="1"/>
  <c r="BL374"/>
  <c r="AZ374" s="1"/>
  <c r="G375"/>
  <c r="BA377"/>
  <c r="AZ377" s="1"/>
  <c r="AZ233"/>
  <c r="AZ237"/>
  <c r="AZ249"/>
  <c r="AZ257"/>
  <c r="AZ261"/>
  <c r="AZ265"/>
  <c r="AZ370"/>
  <c r="BA379"/>
  <c r="AZ379"/>
  <c r="BL380"/>
  <c r="G381"/>
  <c r="BA383"/>
  <c r="AZ383"/>
  <c r="BL384"/>
  <c r="G385"/>
  <c r="BA387"/>
  <c r="AZ387"/>
  <c r="BL388"/>
  <c r="G389"/>
  <c r="BA391"/>
  <c r="AZ391"/>
  <c r="BL392"/>
  <c r="G393"/>
  <c r="AZ263"/>
  <c r="AZ279"/>
  <c r="AZ287"/>
  <c r="AZ295"/>
  <c r="BO5"/>
  <c r="BM5"/>
  <c r="F29" i="6" s="1"/>
  <c r="BJ5" i="3"/>
  <c r="BH5"/>
  <c r="BF5"/>
  <c r="BD5"/>
  <c r="BQ5"/>
  <c r="AC5"/>
  <c r="AZ549"/>
  <c r="AZ506"/>
  <c r="AZ496"/>
  <c r="G548"/>
  <c r="G538"/>
  <c r="G520"/>
  <c r="G502"/>
  <c r="BS5"/>
  <c r="BP5"/>
  <c r="BN5"/>
  <c r="AZ343"/>
  <c r="BK5"/>
  <c r="BI5"/>
  <c r="BG5"/>
  <c r="BE5"/>
  <c r="BC5"/>
  <c r="G17"/>
  <c r="BA17"/>
  <c r="BT5"/>
  <c r="AZ350"/>
  <c r="AZ352"/>
  <c r="AZ360"/>
  <c r="AZ368"/>
  <c r="BA15"/>
  <c r="BB5"/>
  <c r="E8" i="6" s="1"/>
  <c r="F27" s="1"/>
  <c r="BR5" i="3"/>
  <c r="AZ380"/>
  <c r="AZ384"/>
  <c r="AZ388"/>
  <c r="AZ392"/>
  <c r="AZ509"/>
  <c r="G509"/>
  <c r="BL493"/>
  <c r="AZ491"/>
  <c r="AZ390"/>
  <c r="AZ493"/>
  <c r="U36" i="40"/>
  <c r="N4" i="43"/>
  <c r="F36"/>
  <c r="F81"/>
  <c r="H83" s="1"/>
  <c r="H113"/>
  <c r="F48"/>
  <c r="H52" s="1"/>
  <c r="N7"/>
  <c r="F70"/>
  <c r="H73" s="1"/>
  <c r="M6"/>
  <c r="M11"/>
  <c r="E17"/>
  <c r="F39"/>
  <c r="I17"/>
  <c r="F35"/>
  <c r="J17"/>
  <c r="F6" i="1"/>
  <c r="U17" i="39"/>
  <c r="S14" i="35"/>
  <c r="U43" i="21"/>
  <c r="U35"/>
  <c r="AC35"/>
  <c r="U10"/>
  <c r="G8" i="1"/>
  <c r="G9"/>
  <c r="G10"/>
  <c r="F48" i="9"/>
  <c r="O52" s="1"/>
  <c r="AC11" i="39"/>
  <c r="AZ563" i="3"/>
  <c r="W37" i="37"/>
  <c r="W44" i="34"/>
  <c r="S15" i="37"/>
  <c r="U13"/>
  <c r="U12" i="40"/>
  <c r="AA12"/>
  <c r="J37" i="33"/>
  <c r="W37" s="1"/>
  <c r="J34"/>
  <c r="W34" s="1"/>
  <c r="F33" i="34"/>
  <c r="S33" s="1"/>
  <c r="H20" i="36"/>
  <c r="U20" s="1"/>
  <c r="J20"/>
  <c r="W20" s="1"/>
  <c r="J27"/>
  <c r="W27" s="1"/>
  <c r="AB25" i="37"/>
  <c r="AC33" i="40"/>
  <c r="F111"/>
  <c r="G111" s="1"/>
  <c r="H111" s="1"/>
  <c r="I111" s="1"/>
  <c r="J111" s="1"/>
  <c r="K111" s="1"/>
  <c r="L111" s="1"/>
  <c r="M111" s="1"/>
  <c r="H35"/>
  <c r="AB35" s="1"/>
  <c r="AC29" i="35"/>
  <c r="W29"/>
  <c r="H35" i="37"/>
  <c r="U35" s="1"/>
  <c r="AC14" i="35"/>
  <c r="H20"/>
  <c r="U20" s="1"/>
  <c r="F20"/>
  <c r="AA20" s="1"/>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C40" i="11"/>
  <c r="AZ223" i="3"/>
  <c r="AZ232"/>
  <c r="AZ235"/>
  <c r="AZ248"/>
  <c r="AZ251"/>
  <c r="AZ256"/>
  <c r="AZ259"/>
  <c r="AZ280"/>
  <c r="AZ296"/>
  <c r="AZ114"/>
  <c r="AZ130"/>
  <c r="AZ21"/>
  <c r="AZ37"/>
  <c r="AZ42"/>
  <c r="AZ53"/>
  <c r="AZ58"/>
  <c r="AZ69"/>
  <c r="AZ82"/>
  <c r="AZ102"/>
  <c r="H75" i="43"/>
  <c r="H74"/>
  <c r="H50"/>
  <c r="H49"/>
  <c r="H48"/>
  <c r="I20"/>
  <c r="F23" i="39"/>
  <c r="AA23" s="1"/>
  <c r="H27" i="36"/>
  <c r="U27" s="1"/>
  <c r="F27"/>
  <c r="AA27" s="1"/>
  <c r="H33" i="34"/>
  <c r="U33" s="1"/>
  <c r="F32" i="37"/>
  <c r="AA32" s="1"/>
  <c r="G96"/>
  <c r="H96" s="1"/>
  <c r="I96" s="1"/>
  <c r="J96" s="1"/>
  <c r="K96" s="1"/>
  <c r="L96" s="1"/>
  <c r="M96" s="1"/>
  <c r="F20" i="36"/>
  <c r="AA20" s="1"/>
  <c r="J33" i="34"/>
  <c r="AC33" s="1"/>
  <c r="H23" i="39"/>
  <c r="U23" s="1"/>
  <c r="D48" i="9"/>
  <c r="M52" s="1"/>
  <c r="H86" i="43"/>
  <c r="H82"/>
  <c r="H87"/>
  <c r="K9" i="1"/>
  <c r="M9" s="1"/>
  <c r="O9" s="1"/>
  <c r="P9" s="1"/>
  <c r="AE9"/>
  <c r="H42" i="33" l="1"/>
  <c r="AB42" s="1"/>
  <c r="F42"/>
  <c r="AA42" s="1"/>
  <c r="J42"/>
  <c r="AC42" s="1"/>
  <c r="C21" i="39"/>
  <c r="C27"/>
  <c r="U33" i="33"/>
  <c r="S34" i="34"/>
  <c r="W12"/>
  <c r="AC12"/>
  <c r="U12" i="35"/>
  <c r="AB12"/>
  <c r="AB34"/>
  <c r="U34"/>
  <c r="AC12" i="36"/>
  <c r="W12"/>
  <c r="AB44" i="39"/>
  <c r="U44"/>
  <c r="AC37"/>
  <c r="W37"/>
  <c r="AC12" i="40"/>
  <c r="W12"/>
  <c r="U23" i="35"/>
  <c r="AB23"/>
  <c r="AB9" i="36"/>
  <c r="U9"/>
  <c r="AC24"/>
  <c r="W24"/>
  <c r="AC43" i="39"/>
  <c r="W43"/>
  <c r="U45"/>
  <c r="AB45"/>
  <c r="AZ521" i="3"/>
  <c r="AZ581"/>
  <c r="BA551"/>
  <c r="BL550"/>
  <c r="BA550"/>
  <c r="BL548"/>
  <c r="AZ548" s="1"/>
  <c r="F7" i="1"/>
  <c r="G7" s="1"/>
  <c r="AZ403" i="3"/>
  <c r="AZ406"/>
  <c r="AZ419"/>
  <c r="AZ422"/>
  <c r="AZ435"/>
  <c r="AZ438"/>
  <c r="AZ442"/>
  <c r="AZ469"/>
  <c r="G28" i="6"/>
  <c r="AZ326" i="3"/>
  <c r="AZ311"/>
  <c r="AZ372"/>
  <c r="AZ347"/>
  <c r="AZ344"/>
  <c r="AZ337"/>
  <c r="AZ320"/>
  <c r="AZ313"/>
  <c r="AZ305"/>
  <c r="AZ362"/>
  <c r="AZ569"/>
  <c r="AZ577"/>
  <c r="AZ557"/>
  <c r="AZ516"/>
  <c r="AZ524"/>
  <c r="AZ532"/>
  <c r="AZ536"/>
  <c r="AZ544"/>
  <c r="AZ554"/>
  <c r="AZ558"/>
  <c r="AZ582"/>
  <c r="U13" i="33"/>
  <c r="AB45"/>
  <c r="AA14" i="34"/>
  <c r="AB46"/>
  <c r="AB11" i="36"/>
  <c r="U46" i="33"/>
  <c r="AA13" i="35"/>
  <c r="W33" i="37"/>
  <c r="AC34" i="36"/>
  <c r="AC11" i="40"/>
  <c r="U34" i="21"/>
  <c r="W33" i="33"/>
  <c r="F26"/>
  <c r="BL586" i="3"/>
  <c r="BL585"/>
  <c r="AZ585" s="1"/>
  <c r="F9" i="33"/>
  <c r="AA9" s="1"/>
  <c r="F12" i="34"/>
  <c r="J23" i="35"/>
  <c r="J36"/>
  <c r="H12" i="36"/>
  <c r="H24"/>
  <c r="AB24" s="1"/>
  <c r="H39" i="40"/>
  <c r="G574" i="3"/>
  <c r="G558"/>
  <c r="G398"/>
  <c r="G399"/>
  <c r="BL399"/>
  <c r="AZ399" s="1"/>
  <c r="BA400"/>
  <c r="AZ400" s="1"/>
  <c r="BL402"/>
  <c r="AZ402" s="1"/>
  <c r="G405"/>
  <c r="BL405"/>
  <c r="AZ405" s="1"/>
  <c r="G408"/>
  <c r="BL408"/>
  <c r="BA409"/>
  <c r="AZ409" s="1"/>
  <c r="BA410"/>
  <c r="AZ410" s="1"/>
  <c r="BA411"/>
  <c r="AZ411" s="1"/>
  <c r="G414"/>
  <c r="G415"/>
  <c r="BL415"/>
  <c r="AZ415" s="1"/>
  <c r="BA416"/>
  <c r="AZ416" s="1"/>
  <c r="BL418"/>
  <c r="AZ418" s="1"/>
  <c r="G421"/>
  <c r="G424"/>
  <c r="G425"/>
  <c r="BL425"/>
  <c r="AZ425" s="1"/>
  <c r="BA426"/>
  <c r="AZ426" s="1"/>
  <c r="BA427"/>
  <c r="AZ427" s="1"/>
  <c r="G430"/>
  <c r="G431"/>
  <c r="BL431"/>
  <c r="AZ431" s="1"/>
  <c r="BA432"/>
  <c r="AZ432" s="1"/>
  <c r="BL434"/>
  <c r="AZ434" s="1"/>
  <c r="G437"/>
  <c r="BL437"/>
  <c r="G440"/>
  <c r="G441"/>
  <c r="BL441"/>
  <c r="BL443"/>
  <c r="AZ443" s="1"/>
  <c r="BA444"/>
  <c r="AZ444" s="1"/>
  <c r="BL446"/>
  <c r="AZ446" s="1"/>
  <c r="BA447"/>
  <c r="AZ447" s="1"/>
  <c r="BA448"/>
  <c r="AZ448" s="1"/>
  <c r="BL450"/>
  <c r="AZ450" s="1"/>
  <c r="AZ451"/>
  <c r="AZ454"/>
  <c r="AZ458"/>
  <c r="G453"/>
  <c r="BL453"/>
  <c r="AZ453" s="1"/>
  <c r="G456"/>
  <c r="G457"/>
  <c r="BL457"/>
  <c r="BL459"/>
  <c r="AZ459" s="1"/>
  <c r="BA460"/>
  <c r="AZ460" s="1"/>
  <c r="BL462"/>
  <c r="AZ462" s="1"/>
  <c r="BA463"/>
  <c r="AZ463" s="1"/>
  <c r="BA464"/>
  <c r="AZ464" s="1"/>
  <c r="G467"/>
  <c r="G468"/>
  <c r="BL468"/>
  <c r="AZ468" s="1"/>
  <c r="G471"/>
  <c r="G472"/>
  <c r="G473"/>
  <c r="BL473"/>
  <c r="BA474"/>
  <c r="AZ474" s="1"/>
  <c r="BA475"/>
  <c r="AZ475" s="1"/>
  <c r="BL477"/>
  <c r="AZ477" s="1"/>
  <c r="BA478"/>
  <c r="AZ478" s="1"/>
  <c r="BA479"/>
  <c r="AZ479" s="1"/>
  <c r="BL481"/>
  <c r="AZ481" s="1"/>
  <c r="BA482"/>
  <c r="AZ482" s="1"/>
  <c r="BA483"/>
  <c r="AZ483" s="1"/>
  <c r="G485"/>
  <c r="G486"/>
  <c r="BL486"/>
  <c r="G489"/>
  <c r="G490"/>
  <c r="BL490"/>
  <c r="G311"/>
  <c r="G315"/>
  <c r="BA317"/>
  <c r="AZ317" s="1"/>
  <c r="G327"/>
  <c r="G331"/>
  <c r="BA333"/>
  <c r="AZ333" s="1"/>
  <c r="G343"/>
  <c r="BA348"/>
  <c r="AZ348" s="1"/>
  <c r="BA349"/>
  <c r="AZ349" s="1"/>
  <c r="G351"/>
  <c r="BA354"/>
  <c r="AZ354" s="1"/>
  <c r="G364"/>
  <c r="BA366"/>
  <c r="AZ366" s="1"/>
  <c r="BL367"/>
  <c r="G369"/>
  <c r="BL381"/>
  <c r="AZ381" s="1"/>
  <c r="BL386"/>
  <c r="AZ386" s="1"/>
  <c r="G392"/>
  <c r="BL393"/>
  <c r="AZ393" s="1"/>
  <c r="BL396"/>
  <c r="AZ396" s="1"/>
  <c r="BA397"/>
  <c r="AZ397" s="1"/>
  <c r="BL209"/>
  <c r="AZ209" s="1"/>
  <c r="BA210"/>
  <c r="AZ210" s="1"/>
  <c r="G213"/>
  <c r="BL213"/>
  <c r="BL215"/>
  <c r="AZ215" s="1"/>
  <c r="BA216"/>
  <c r="AZ216" s="1"/>
  <c r="BL218"/>
  <c r="AZ218" s="1"/>
  <c r="BA219"/>
  <c r="AZ219" s="1"/>
  <c r="G222"/>
  <c r="G223"/>
  <c r="G224"/>
  <c r="BL224"/>
  <c r="BA225"/>
  <c r="AZ225" s="1"/>
  <c r="BL227"/>
  <c r="AZ227" s="1"/>
  <c r="BA228"/>
  <c r="AZ228" s="1"/>
  <c r="BA229"/>
  <c r="AZ229" s="1"/>
  <c r="G232"/>
  <c r="G233"/>
  <c r="G234"/>
  <c r="BL234"/>
  <c r="G237"/>
  <c r="G238"/>
  <c r="BL238"/>
  <c r="BA239"/>
  <c r="AZ239" s="1"/>
  <c r="BA240"/>
  <c r="AZ240" s="1"/>
  <c r="BA241"/>
  <c r="AZ241" s="1"/>
  <c r="BL243"/>
  <c r="AZ243" s="1"/>
  <c r="BA244"/>
  <c r="AZ244" s="1"/>
  <c r="BA245"/>
  <c r="AZ245" s="1"/>
  <c r="G248"/>
  <c r="G249"/>
  <c r="G250"/>
  <c r="BL250"/>
  <c r="AZ486"/>
  <c r="AZ487"/>
  <c r="BA252"/>
  <c r="AZ252" s="1"/>
  <c r="BA253"/>
  <c r="AZ253" s="1"/>
  <c r="G256"/>
  <c r="G257"/>
  <c r="G258"/>
  <c r="BL258"/>
  <c r="AZ258" s="1"/>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BL202"/>
  <c r="AZ202" s="1"/>
  <c r="BA204"/>
  <c r="AZ204" s="1"/>
  <c r="BA205"/>
  <c r="AZ205" s="1"/>
  <c r="BA206"/>
  <c r="AZ206" s="1"/>
  <c r="BL20"/>
  <c r="AZ20" s="1"/>
  <c r="G23"/>
  <c r="BL23"/>
  <c r="AZ23" s="1"/>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M47" i="78"/>
  <c r="J51" i="77"/>
  <c r="BA61" i="3"/>
  <c r="AZ61" s="1"/>
  <c r="BL63"/>
  <c r="AZ63" s="1"/>
  <c r="BA64"/>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G1" i="77"/>
  <c r="I20" i="66"/>
  <c r="C51" i="10"/>
  <c r="A13" i="51" s="1"/>
  <c r="B11" i="72" s="1"/>
  <c r="A118" i="78"/>
  <c r="A2"/>
  <c r="G14" i="3"/>
  <c r="I4" i="6"/>
  <c r="G3" i="43" s="1"/>
  <c r="M20" i="15"/>
  <c r="M20" i="77"/>
  <c r="F34"/>
  <c r="F62" s="1"/>
  <c r="D78" i="9"/>
  <c r="D93" i="78"/>
  <c r="D78"/>
  <c r="AC17" i="34"/>
  <c r="S44"/>
  <c r="AA41"/>
  <c r="AC36"/>
  <c r="S35"/>
  <c r="S28"/>
  <c r="AB23"/>
  <c r="AB17"/>
  <c r="U43" i="33"/>
  <c r="W39"/>
  <c r="AA13"/>
  <c r="S9"/>
  <c r="AB37" i="34"/>
  <c r="W9"/>
  <c r="S9"/>
  <c r="W8"/>
  <c r="BA18" i="3"/>
  <c r="AZ18" s="1"/>
  <c r="BL15"/>
  <c r="AZ15"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27" i="6" s="1"/>
  <c r="E11"/>
  <c r="E61" i="39" s="1"/>
  <c r="BL17" i="3"/>
  <c r="AZ17" s="1"/>
  <c r="BL13"/>
  <c r="G30" i="6"/>
  <c r="G31" s="1"/>
  <c r="J56" i="9"/>
  <c r="J57" s="1"/>
  <c r="A24" i="51"/>
  <c r="B18" i="72" s="1"/>
  <c r="U29" i="34"/>
  <c r="E14" i="6"/>
  <c r="E64" i="39" s="1"/>
  <c r="E5" i="6"/>
  <c r="D9" i="11" s="1"/>
  <c r="C9" s="1"/>
  <c r="J105" i="43"/>
  <c r="G102"/>
  <c r="P10" i="1"/>
  <c r="H22" i="43"/>
  <c r="L101"/>
  <c r="L109" s="1"/>
  <c r="H101"/>
  <c r="D101"/>
  <c r="D109" s="1"/>
  <c r="M101"/>
  <c r="M109" s="1"/>
  <c r="I101"/>
  <c r="I109" s="1"/>
  <c r="E101"/>
  <c r="G22"/>
  <c r="E32" i="6"/>
  <c r="L19" s="1"/>
  <c r="G1" i="68"/>
  <c r="K1" i="12"/>
  <c r="F30" i="6"/>
  <c r="F31" s="1"/>
  <c r="E28"/>
  <c r="N103" i="43"/>
  <c r="N105"/>
  <c r="N106"/>
  <c r="J107"/>
  <c r="J103"/>
  <c r="J102"/>
  <c r="F106"/>
  <c r="K107"/>
  <c r="K102"/>
  <c r="K104"/>
  <c r="G107"/>
  <c r="G103"/>
  <c r="G104"/>
  <c r="I118"/>
  <c r="J118" s="1"/>
  <c r="K118" s="1"/>
  <c r="L118" s="1"/>
  <c r="M118" s="1"/>
  <c r="B116"/>
  <c r="C116" s="1"/>
  <c r="E57" i="40"/>
  <c r="D115" i="43"/>
  <c r="E115" s="1"/>
  <c r="F115" s="1"/>
  <c r="G115" s="1"/>
  <c r="H115" s="1"/>
  <c r="G106"/>
  <c r="K106"/>
  <c r="K105"/>
  <c r="C102"/>
  <c r="J106"/>
  <c r="N104"/>
  <c r="N107"/>
  <c r="AR12" i="1"/>
  <c r="AQ12"/>
  <c r="T12"/>
  <c r="AR10"/>
  <c r="E19" i="69"/>
  <c r="E19" i="68"/>
  <c r="E19" i="11"/>
  <c r="E1" i="73"/>
  <c r="K1" s="1"/>
  <c r="G41" i="69"/>
  <c r="G22"/>
  <c r="G41" i="68"/>
  <c r="G22"/>
  <c r="G27" i="12"/>
  <c r="G26"/>
  <c r="G41" i="11"/>
  <c r="G22"/>
  <c r="G25" i="12"/>
  <c r="J109" i="43"/>
  <c r="C100"/>
  <c r="K109"/>
  <c r="E11"/>
  <c r="E10"/>
  <c r="E9"/>
  <c r="E8"/>
  <c r="C7" s="1"/>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M20" s="1"/>
  <c r="T35" i="4"/>
  <c r="A19" i="51" s="1"/>
  <c r="B14" i="72" s="1"/>
  <c r="C46" i="36"/>
  <c r="D46" s="1"/>
  <c r="E46" s="1"/>
  <c r="C59" i="34"/>
  <c r="D59" s="1"/>
  <c r="C52" i="37"/>
  <c r="D52" s="1"/>
  <c r="A4" i="51"/>
  <c r="B6" i="72" s="1"/>
  <c r="C48" i="35"/>
  <c r="D48" s="1"/>
  <c r="C58" i="21"/>
  <c r="D58"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J15" i="67"/>
  <c r="M9" i="15"/>
  <c r="M8" i="67"/>
  <c r="F37"/>
  <c r="F16"/>
  <c r="M6"/>
  <c r="F40" i="15"/>
  <c r="F9" i="67"/>
  <c r="M29"/>
  <c r="F13"/>
  <c r="F9" i="15"/>
  <c r="F6" i="67"/>
  <c r="F38" i="15"/>
  <c r="M6"/>
  <c r="C76" i="67"/>
  <c r="F7" i="77"/>
  <c r="M29"/>
  <c r="F42" i="67"/>
  <c r="G1" i="73"/>
  <c r="M22" i="15"/>
  <c r="M8"/>
  <c r="F7" i="67"/>
  <c r="F43" i="15"/>
  <c r="F16"/>
  <c r="F43" i="67"/>
  <c r="M26" i="15"/>
  <c r="L47" i="67"/>
  <c r="M23" i="15"/>
  <c r="M28" i="67"/>
  <c r="F36"/>
  <c r="L48" i="15"/>
  <c r="L47"/>
  <c r="F6"/>
  <c r="F36"/>
  <c r="M9" i="67"/>
  <c r="F38"/>
  <c r="F13" i="15"/>
  <c r="L48" i="67"/>
  <c r="M24"/>
  <c r="F26"/>
  <c r="M26"/>
  <c r="F37" i="15"/>
  <c r="M23" i="67"/>
  <c r="F7" i="15"/>
  <c r="M24"/>
  <c r="F43" i="77"/>
  <c r="J15" i="15"/>
  <c r="M29"/>
  <c r="F40" i="67"/>
  <c r="M28" i="15"/>
  <c r="F8"/>
  <c r="F26"/>
  <c r="M22" i="67"/>
  <c r="F42" i="15"/>
  <c r="C76"/>
  <c r="F8" i="67"/>
  <c r="C77" i="78" l="1"/>
  <c r="C74" s="1"/>
  <c r="U39" i="40"/>
  <c r="AB39"/>
  <c r="U12" i="36"/>
  <c r="AB12"/>
  <c r="AC23" i="35"/>
  <c r="W23"/>
  <c r="AC36"/>
  <c r="W36"/>
  <c r="S12" i="34"/>
  <c r="AA12"/>
  <c r="AA26" i="33"/>
  <c r="S26"/>
  <c r="F53" i="9"/>
  <c r="F52" i="78"/>
  <c r="F32" i="77"/>
  <c r="F60" s="1"/>
  <c r="F28"/>
  <c r="C28" s="1"/>
  <c r="D68" i="78"/>
  <c r="F54"/>
  <c r="F53"/>
  <c r="M18" i="77"/>
  <c r="F50"/>
  <c r="M7"/>
  <c r="F71"/>
  <c r="AA11" i="34"/>
  <c r="F105" i="43"/>
  <c r="B117"/>
  <c r="C117" s="1"/>
  <c r="I117"/>
  <c r="J117" s="1"/>
  <c r="K117" s="1"/>
  <c r="L117" s="1"/>
  <c r="M117" s="1"/>
  <c r="D118"/>
  <c r="E118" s="1"/>
  <c r="F118" s="1"/>
  <c r="C105"/>
  <c r="F107"/>
  <c r="I115"/>
  <c r="J115" s="1"/>
  <c r="K115" s="1"/>
  <c r="L115" s="1"/>
  <c r="M115" s="1"/>
  <c r="C106"/>
  <c r="E56" i="40"/>
  <c r="D22" i="43"/>
  <c r="C109"/>
  <c r="T10" i="1"/>
  <c r="F103" i="43"/>
  <c r="I116"/>
  <c r="J116" s="1"/>
  <c r="K116" s="1"/>
  <c r="L116" s="1"/>
  <c r="M116" s="1"/>
  <c r="B118"/>
  <c r="C118" s="1"/>
  <c r="G118"/>
  <c r="H118" s="1"/>
  <c r="D116"/>
  <c r="E116" s="1"/>
  <c r="F116" s="1"/>
  <c r="G116" s="1"/>
  <c r="H116" s="1"/>
  <c r="C103"/>
  <c r="C107"/>
  <c r="F102"/>
  <c r="E65" i="39"/>
  <c r="E4" i="4"/>
  <c r="K4" s="1"/>
  <c r="B46" i="48" s="1"/>
  <c r="C10" i="15"/>
  <c r="C53"/>
  <c r="C53" i="67"/>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E66" s="1"/>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s="1"/>
  <c r="C30" i="69"/>
  <c r="D9" i="68"/>
  <c r="C9" s="1"/>
  <c r="K20" i="6"/>
  <c r="S7" i="1"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B40"/>
  <c r="F24" i="77" s="1"/>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S21" i="6"/>
  <c r="L27"/>
  <c r="S22"/>
  <c r="G16" i="1"/>
  <c r="H10" i="40" s="1"/>
  <c r="U10" s="1"/>
  <c r="C27" i="67"/>
  <c r="L56"/>
  <c r="J57"/>
  <c r="J55" s="1"/>
  <c r="J58" s="1"/>
  <c r="Q50" s="1"/>
  <c r="F70"/>
  <c r="F51"/>
  <c r="F68"/>
  <c r="F71"/>
  <c r="F66"/>
  <c r="F50"/>
  <c r="M7"/>
  <c r="Q71"/>
  <c r="F64"/>
  <c r="C6"/>
  <c r="C10" s="1"/>
  <c r="F65"/>
  <c r="F71" i="15"/>
  <c r="C27"/>
  <c r="Q71"/>
  <c r="F64"/>
  <c r="F51"/>
  <c r="F65"/>
  <c r="J57"/>
  <c r="J55" s="1"/>
  <c r="J58" s="1"/>
  <c r="Q50" s="1"/>
  <c r="F68"/>
  <c r="M7"/>
  <c r="F50"/>
  <c r="F66"/>
  <c r="C6"/>
  <c r="AP7" i="1"/>
  <c r="M7"/>
  <c r="O7" s="1"/>
  <c r="Q16"/>
  <c r="F27" i="69" s="1"/>
  <c r="H16" i="1"/>
  <c r="K16"/>
  <c r="AB45" i="21"/>
  <c r="AC33"/>
  <c r="W33"/>
  <c r="S33"/>
  <c r="AA33"/>
  <c r="W32"/>
  <c r="AC32"/>
  <c r="AB9"/>
  <c r="U9"/>
  <c r="AA32"/>
  <c r="S32"/>
  <c r="W9"/>
  <c r="AC9"/>
  <c r="AB32"/>
  <c r="U32"/>
  <c r="AA10"/>
  <c r="S10"/>
  <c r="C36" i="69"/>
  <c r="F59" i="15"/>
  <c r="F31" i="67"/>
  <c r="M17" i="15"/>
  <c r="F31"/>
  <c r="F59" i="67"/>
  <c r="M17"/>
  <c r="C16"/>
  <c r="F9" i="77"/>
  <c r="M23"/>
  <c r="F16"/>
  <c r="M8"/>
  <c r="F26"/>
  <c r="F38"/>
  <c r="F8"/>
  <c r="F36"/>
  <c r="F6"/>
  <c r="C16" i="15"/>
  <c r="L48" i="77"/>
  <c r="C17"/>
  <c r="F37"/>
  <c r="M24"/>
  <c r="M28"/>
  <c r="F40"/>
  <c r="C76"/>
  <c r="M22"/>
  <c r="F42"/>
  <c r="M9"/>
  <c r="C14"/>
  <c r="M26"/>
  <c r="F13"/>
  <c r="M27"/>
  <c r="L47"/>
  <c r="J15"/>
  <c r="C17" i="15"/>
  <c r="M6" i="77"/>
  <c r="F66" l="1"/>
  <c r="F70"/>
  <c r="F68"/>
  <c r="F51"/>
  <c r="C49" s="1"/>
  <c r="C48" s="1"/>
  <c r="C60" s="1"/>
  <c r="C27"/>
  <c r="L56"/>
  <c r="L57"/>
  <c r="L60"/>
  <c r="J53"/>
  <c r="J57"/>
  <c r="J55" s="1"/>
  <c r="J58" s="1"/>
  <c r="Q50" s="1"/>
  <c r="I54"/>
  <c r="F65"/>
  <c r="F64"/>
  <c r="C6"/>
  <c r="C10" s="1"/>
  <c r="C5" s="1"/>
  <c r="C38" s="1"/>
  <c r="M59"/>
  <c r="L59"/>
  <c r="N59"/>
  <c r="L58"/>
  <c r="Q71"/>
  <c r="J6"/>
  <c r="J5" s="1"/>
  <c r="J24" s="1"/>
  <c r="M20" i="6"/>
  <c r="I20" s="1"/>
  <c r="L18" i="78" s="1"/>
  <c r="B15" i="74" s="1"/>
  <c r="B71" i="72"/>
  <c r="B4"/>
  <c r="C18" i="77"/>
  <c r="C15"/>
  <c r="E7" i="70"/>
  <c r="C24" i="77"/>
  <c r="B5" i="62"/>
  <c r="D113" i="43"/>
  <c r="J22" s="1"/>
  <c r="S5"/>
  <c r="S7"/>
  <c r="S4"/>
  <c r="S6"/>
  <c r="T6" s="1"/>
  <c r="V6" s="1"/>
  <c r="S3"/>
  <c r="C23"/>
  <c r="C21" s="1"/>
  <c r="C29" s="1"/>
  <c r="S2"/>
  <c r="M19" i="6"/>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B43" i="7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T11" i="43"/>
  <c r="V11" s="1"/>
  <c r="T16"/>
  <c r="V16" s="1"/>
  <c r="T14"/>
  <c r="V14" s="1"/>
  <c r="T12"/>
  <c r="V12" s="1"/>
  <c r="T9"/>
  <c r="V9" s="1"/>
  <c r="T3"/>
  <c r="V3" s="1"/>
  <c r="T7"/>
  <c r="V7" s="1"/>
  <c r="T2"/>
  <c r="V2" s="1"/>
  <c r="T8"/>
  <c r="V8" s="1"/>
  <c r="T15"/>
  <c r="V15" s="1"/>
  <c r="T13"/>
  <c r="V13" s="1"/>
  <c r="T10"/>
  <c r="V10" s="1"/>
  <c r="T5"/>
  <c r="V5"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S20" i="6"/>
  <c r="I19"/>
  <c r="L18" i="9" s="1"/>
  <c r="H10" i="39"/>
  <c r="J10"/>
  <c r="C49" i="15"/>
  <c r="Q60"/>
  <c r="M16" i="1"/>
  <c r="N16" s="1"/>
  <c r="Q60" i="67"/>
  <c r="Q73"/>
  <c r="F27" i="11"/>
  <c r="Q61" i="67"/>
  <c r="Q74"/>
  <c r="C49"/>
  <c r="F1"/>
  <c r="Q52"/>
  <c r="C16" i="77"/>
  <c r="C66" l="1"/>
  <c r="C32"/>
  <c r="J18"/>
  <c r="J26"/>
  <c r="Q60"/>
  <c r="Q73"/>
  <c r="Q61"/>
  <c r="Q74"/>
  <c r="F1"/>
  <c r="Q52"/>
  <c r="Q66"/>
  <c r="Q57"/>
  <c r="M27" i="6"/>
  <c r="B73" i="72"/>
  <c r="C19" i="77"/>
  <c r="C20" s="1"/>
  <c r="C26" s="1"/>
  <c r="Q61" i="15"/>
  <c r="E37" i="43"/>
  <c r="AA7" i="36"/>
  <c r="R36" s="1"/>
  <c r="E36" s="1"/>
  <c r="E40" s="1"/>
  <c r="F40" s="1"/>
  <c r="AC11" i="37"/>
  <c r="W11"/>
  <c r="AB7"/>
  <c r="T42" s="1"/>
  <c r="G42" s="1"/>
  <c r="G46" s="1"/>
  <c r="H46" s="1"/>
  <c r="W11" i="34"/>
  <c r="AC11"/>
  <c r="J5" i="67"/>
  <c r="J5" i="15"/>
  <c r="H20" i="6"/>
  <c r="AB7" i="36"/>
  <c r="T36" s="1"/>
  <c r="C23" i="68"/>
  <c r="C38" i="15"/>
  <c r="E38" i="43"/>
  <c r="E6" i="3"/>
  <c r="C47" i="68"/>
  <c r="D45" s="1"/>
  <c r="AA10" i="39"/>
  <c r="D10" i="68"/>
  <c r="D10" i="11"/>
  <c r="C10" s="1"/>
  <c r="D20" i="12"/>
  <c r="C20" s="1"/>
  <c r="C18" s="1"/>
  <c r="D19" i="6"/>
  <c r="M19" i="9" s="1"/>
  <c r="C118" s="1"/>
  <c r="C14" i="74"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F63" i="40"/>
  <c r="E65"/>
  <c r="E70" i="39"/>
  <c r="F70"/>
  <c r="S10" i="40"/>
  <c r="C38" i="67"/>
  <c r="H19" i="6"/>
  <c r="L19" i="9" s="1"/>
  <c r="S19" i="6"/>
  <c r="S27" s="1"/>
  <c r="I27"/>
  <c r="W10" i="39"/>
  <c r="AC10"/>
  <c r="U10"/>
  <c r="AB10"/>
  <c r="F50" i="11"/>
  <c r="F50" i="69"/>
  <c r="F50" i="68"/>
  <c r="C47" i="11"/>
  <c r="D45" s="1"/>
  <c r="C29"/>
  <c r="D27" s="1"/>
  <c r="C28"/>
  <c r="C27" s="1"/>
  <c r="L16" i="1"/>
  <c r="R25" i="6" l="1"/>
  <c r="C23" i="77"/>
  <c r="C29" s="1"/>
  <c r="L19" i="78"/>
  <c r="C15" i="74" s="1"/>
  <c r="B2" s="1"/>
  <c r="M19" i="78"/>
  <c r="C118" s="1"/>
  <c r="AA7" i="34"/>
  <c r="R49" s="1"/>
  <c r="E49" s="1"/>
  <c r="C34" i="11"/>
  <c r="C38" s="1"/>
  <c r="R20" i="6"/>
  <c r="R7" i="1" s="1"/>
  <c r="C36" i="11"/>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G70" i="39"/>
  <c r="H27" i="6"/>
  <c r="R19"/>
  <c r="C35" i="11"/>
  <c r="C14" i="12"/>
  <c r="C23"/>
  <c r="E6" i="76"/>
  <c r="C57" i="77" l="1"/>
  <c r="C61" s="1"/>
  <c r="J59"/>
  <c r="J60" s="1"/>
  <c r="Q49"/>
  <c r="C36"/>
  <c r="C13"/>
  <c r="C75" s="1"/>
  <c r="C33"/>
  <c r="J14"/>
  <c r="J13" s="1"/>
  <c r="J23" s="1"/>
  <c r="J19"/>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67"/>
  <c r="M21" i="15"/>
  <c r="F35" i="67"/>
  <c r="B6" i="76"/>
  <c r="F35" i="15"/>
  <c r="F35" i="77"/>
  <c r="M21"/>
  <c r="C64" l="1"/>
  <c r="Q48"/>
  <c r="L46"/>
  <c r="J22"/>
  <c r="C37"/>
  <c r="Q70"/>
  <c r="C56"/>
  <c r="C65" s="1"/>
  <c r="F63"/>
  <c r="C62" s="1"/>
  <c r="C59" s="1"/>
  <c r="C34"/>
  <c r="C31" s="1"/>
  <c r="C30" s="1"/>
  <c r="C39" s="1"/>
  <c r="C80" s="1"/>
  <c r="C79" s="1"/>
  <c r="J20"/>
  <c r="J17" s="1"/>
  <c r="I5" i="6"/>
  <c r="B2" i="76"/>
  <c r="B3" s="1"/>
  <c r="B3" i="43"/>
  <c r="C49" i="21"/>
  <c r="F63" i="67"/>
  <c r="C62" s="1"/>
  <c r="C34"/>
  <c r="J20"/>
  <c r="C24" i="68"/>
  <c r="C20"/>
  <c r="C28" s="1"/>
  <c r="C27" s="1"/>
  <c r="J20" i="15"/>
  <c r="F63"/>
  <c r="C62" s="1"/>
  <c r="C34"/>
  <c r="R16" i="1"/>
  <c r="C22" i="12"/>
  <c r="C30" s="1"/>
  <c r="C28" s="1"/>
  <c r="C33" i="68"/>
  <c r="I63" i="40"/>
  <c r="H65"/>
  <c r="C39" i="11"/>
  <c r="C43" s="1"/>
  <c r="C41" s="1"/>
  <c r="I70" i="39"/>
  <c r="J16" i="77" l="1"/>
  <c r="J25" s="1"/>
  <c r="C58"/>
  <c r="C67" s="1"/>
  <c r="Q69"/>
  <c r="Q68" s="1"/>
  <c r="C25" i="68"/>
  <c r="C22" s="1"/>
  <c r="C31" s="1"/>
  <c r="C27" i="12"/>
  <c r="C25" s="1"/>
  <c r="C32" s="1"/>
  <c r="B2" s="1"/>
  <c r="B3" s="1"/>
  <c r="C39" i="68"/>
  <c r="C43" s="1"/>
  <c r="C42"/>
  <c r="J63" i="40"/>
  <c r="I65"/>
  <c r="C46" i="11"/>
  <c r="C45" s="1"/>
  <c r="C49" s="1"/>
  <c r="C51" s="1"/>
  <c r="C52" s="1"/>
  <c r="B2" s="1"/>
  <c r="B3" s="1"/>
  <c r="J70" i="39"/>
  <c r="L51" i="77"/>
  <c r="Q67" l="1"/>
  <c r="C41" i="68"/>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C14" i="15"/>
  <c r="L51" i="67"/>
  <c r="AE7" i="1"/>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M27"/>
  <c r="L51"/>
  <c r="F41"/>
  <c r="F41" i="67"/>
  <c r="M27"/>
  <c r="F41" i="77"/>
  <c r="J29" l="1"/>
  <c r="F69"/>
  <c r="C68" s="1"/>
  <c r="C71" s="1"/>
  <c r="C40"/>
  <c r="L57" i="15"/>
  <c r="L60" s="1"/>
  <c r="Q66" s="1"/>
  <c r="Q67"/>
  <c r="J26"/>
  <c r="J29" s="1"/>
  <c r="J26" i="67"/>
  <c r="J29" s="1"/>
  <c r="C58" i="15"/>
  <c r="C67" s="1"/>
  <c r="F69"/>
  <c r="C40"/>
  <c r="C43" s="1"/>
  <c r="L46"/>
  <c r="F69" i="67"/>
  <c r="C68" s="1"/>
  <c r="C71" s="1"/>
  <c r="C40"/>
  <c r="C83" s="1"/>
  <c r="C82" s="1"/>
  <c r="Q65" i="77" l="1"/>
  <c r="Q75" s="1"/>
  <c r="C43"/>
  <c r="C83"/>
  <c r="C82" s="1"/>
  <c r="Q56"/>
  <c r="Q62" s="1"/>
  <c r="D2"/>
  <c r="B2" s="1"/>
  <c r="Q47"/>
  <c r="Q53" s="1"/>
  <c r="C45"/>
  <c r="C46" s="1"/>
  <c r="Q57" i="15"/>
  <c r="B3" i="77"/>
  <c r="C68" i="15"/>
  <c r="C71" s="1"/>
  <c r="C83"/>
  <c r="C82" s="1"/>
  <c r="Q65"/>
  <c r="Q75" s="1"/>
  <c r="Q47"/>
  <c r="Q53" s="1"/>
  <c r="Q56"/>
  <c r="Q62" s="1"/>
  <c r="B2"/>
  <c r="C43" i="67"/>
  <c r="C45"/>
  <c r="C46" s="1"/>
  <c r="Q65"/>
  <c r="Q75" s="1"/>
  <c r="Q56"/>
  <c r="Q62" s="1"/>
  <c r="Q47"/>
  <c r="Q53" s="1"/>
  <c r="D2"/>
  <c r="B2" s="1"/>
  <c r="AO6" i="1"/>
  <c r="AO8"/>
  <c r="AO7"/>
  <c r="D19" i="78"/>
  <c r="E2" i="69"/>
  <c r="B3" i="15" l="1"/>
  <c r="D21" i="78"/>
  <c r="D102"/>
  <c r="B8" i="70"/>
  <c r="B7"/>
  <c r="B6"/>
  <c r="C46" i="15"/>
  <c r="B2" i="69"/>
  <c r="B3" s="1"/>
  <c r="B2" i="68"/>
  <c r="B3" i="67"/>
  <c r="D2" i="21"/>
  <c r="D2" i="36"/>
  <c r="D2" i="37"/>
  <c r="D2" i="33"/>
  <c r="D2" i="34"/>
  <c r="F20" i="31"/>
  <c r="D35" i="78"/>
  <c r="D34"/>
  <c r="D2" i="35"/>
  <c r="D20" i="78"/>
  <c r="E2" i="68"/>
  <c r="D103" i="78" l="1"/>
  <c r="B2" i="36"/>
  <c r="B3" s="1"/>
  <c r="B2" i="35"/>
  <c r="B3" s="1"/>
  <c r="B2" i="37"/>
  <c r="B3" s="1"/>
  <c r="B2" i="34"/>
  <c r="B2" i="21"/>
  <c r="B3" s="1"/>
  <c r="B2" i="70"/>
  <c r="B3" s="1"/>
  <c r="B3" i="68"/>
  <c r="D20" i="9"/>
  <c r="D19"/>
  <c r="C19" i="78"/>
  <c r="C21" l="1"/>
  <c r="C102"/>
  <c r="D22"/>
  <c r="G19"/>
  <c r="B3" i="34"/>
  <c r="D102" i="9"/>
  <c r="D21"/>
  <c r="D103"/>
  <c r="C20" i="78"/>
  <c r="C103" l="1"/>
  <c r="G20"/>
  <c r="G21"/>
  <c r="C32"/>
  <c r="H109" i="9"/>
  <c r="C35" i="78" l="1"/>
  <c r="H118"/>
  <c r="H110" i="9"/>
  <c r="D18" i="53" s="1"/>
  <c r="B35" i="72" s="1"/>
  <c r="D124" i="9"/>
  <c r="D16" i="53"/>
  <c r="B34" i="72" s="1"/>
  <c r="F118" i="78" l="1"/>
  <c r="C34"/>
  <c r="D118" s="1"/>
  <c r="D119" s="1"/>
  <c r="I118"/>
  <c r="H119"/>
  <c r="C104"/>
  <c r="H101"/>
  <c r="D10" i="52"/>
  <c r="H14" i="74"/>
  <c r="D17" i="53"/>
  <c r="B36" i="72" s="1"/>
  <c r="D125" i="9"/>
  <c r="D11" i="52" s="1"/>
  <c r="D45" i="78" l="1"/>
  <c r="H107"/>
  <c r="M48"/>
  <c r="H102"/>
  <c r="C105"/>
  <c r="F119"/>
  <c r="G118"/>
  <c r="E118" s="1"/>
  <c r="B7" i="74"/>
  <c r="D7" s="1"/>
  <c r="C78" i="78" l="1"/>
  <c r="C73" s="1"/>
  <c r="C93"/>
  <c r="C86" s="1"/>
  <c r="C72"/>
  <c r="D55"/>
  <c r="M53" s="1"/>
  <c r="D52"/>
  <c r="C85"/>
  <c r="C64"/>
  <c r="C63" s="1"/>
  <c r="C67" s="1"/>
  <c r="C68" s="1"/>
  <c r="D54" s="1"/>
  <c r="D53"/>
  <c r="D122"/>
  <c r="D123" s="1"/>
  <c r="H108"/>
  <c r="C7" i="74"/>
  <c r="C79" i="78" l="1"/>
  <c r="C80" s="1"/>
  <c r="E80" s="1"/>
  <c r="E81" s="1"/>
  <c r="C95"/>
  <c r="C96" s="1"/>
  <c r="E96" s="1"/>
  <c r="E97" s="1"/>
  <c r="C81"/>
  <c r="J7" i="33"/>
  <c r="W7" s="1"/>
  <c r="F7"/>
  <c r="S7" s="1"/>
  <c r="H7"/>
  <c r="AB7" s="1"/>
  <c r="T48" s="1"/>
  <c r="G48" s="1"/>
  <c r="C97" i="78" l="1"/>
  <c r="D58" s="1"/>
  <c r="D56" s="1"/>
  <c r="M54" s="1"/>
  <c r="N57" s="1"/>
  <c r="P57" s="1"/>
  <c r="G52" i="33"/>
  <c r="H52" s="1"/>
  <c r="AA7"/>
  <c r="R48" s="1"/>
  <c r="U7"/>
  <c r="AC7"/>
  <c r="V48" s="1"/>
  <c r="I48" s="1"/>
  <c r="N58" i="78" l="1"/>
  <c r="N59"/>
  <c r="N61" s="1"/>
  <c r="I52" i="33"/>
  <c r="J52" s="1"/>
  <c r="R49"/>
  <c r="E48"/>
  <c r="G53"/>
  <c r="H53" s="1"/>
  <c r="N60" i="78" l="1"/>
  <c r="E53" i="33"/>
  <c r="F53" s="1"/>
  <c r="E52"/>
  <c r="F52" s="1"/>
  <c r="I53"/>
  <c r="J53" s="1"/>
  <c r="C48"/>
  <c r="C49"/>
  <c r="B2" s="1"/>
  <c r="J7" i="39"/>
  <c r="AC7" s="1"/>
  <c r="V47" s="1"/>
  <c r="I47" s="1"/>
  <c r="F7"/>
  <c r="S7" s="1"/>
  <c r="H7"/>
  <c r="AB7" s="1"/>
  <c r="T47" s="1"/>
  <c r="G47" s="1"/>
  <c r="C19" i="9"/>
  <c r="C102" l="1"/>
  <c r="C21"/>
  <c r="G19"/>
  <c r="D22"/>
  <c r="B3" i="33"/>
  <c r="G52" i="39"/>
  <c r="H52" s="1"/>
  <c r="G51"/>
  <c r="H51" s="1"/>
  <c r="I51"/>
  <c r="J51" s="1"/>
  <c r="W7"/>
  <c r="U7"/>
  <c r="AA7"/>
  <c r="R47" s="1"/>
  <c r="C20" i="9"/>
  <c r="C103" l="1"/>
  <c r="G20"/>
  <c r="G21"/>
  <c r="R48" i="39"/>
  <c r="E47"/>
  <c r="C32" i="9" l="1"/>
  <c r="C48" i="39"/>
  <c r="C47"/>
  <c r="E51"/>
  <c r="F51" s="1"/>
  <c r="E52"/>
  <c r="F52" s="1"/>
  <c r="I52"/>
  <c r="J52" s="1"/>
  <c r="B61" l="1"/>
  <c r="F61" s="1"/>
  <c r="B60"/>
  <c r="F60" s="1"/>
  <c r="B56"/>
  <c r="F56" s="1"/>
  <c r="B58"/>
  <c r="F58" s="1"/>
  <c r="B59"/>
  <c r="F59" s="1"/>
  <c r="B64"/>
  <c r="F64" s="1"/>
  <c r="B65"/>
  <c r="F65" s="1"/>
  <c r="B57"/>
  <c r="F57" s="1"/>
  <c r="B63"/>
  <c r="F63" s="1"/>
  <c r="B62"/>
  <c r="F62" s="1"/>
  <c r="F66" l="1"/>
  <c r="B2" s="1"/>
  <c r="B3" s="1"/>
  <c r="D35" i="9"/>
  <c r="C35" l="1"/>
  <c r="C34" s="1"/>
  <c r="D34"/>
  <c r="H112" l="1"/>
  <c r="D21" i="53" s="1"/>
  <c r="B39" i="72" s="1"/>
  <c r="H111" i="9"/>
  <c r="D126" s="1"/>
  <c r="D59"/>
  <c r="M55" s="1"/>
  <c r="D19" i="53" l="1"/>
  <c r="B38" i="72" s="1"/>
  <c r="D20" i="53"/>
  <c r="B40" i="72" s="1"/>
  <c r="I14" i="74"/>
  <c r="B8" s="1"/>
  <c r="D127" i="9"/>
  <c r="D13" i="52" s="1"/>
  <c r="D12"/>
  <c r="D8" i="74" l="1"/>
  <c r="C8"/>
  <c r="H118" i="9" l="1"/>
  <c r="I118" s="1"/>
  <c r="C105" s="1"/>
  <c r="R24" i="31" s="1"/>
  <c r="S24" l="1"/>
  <c r="R25"/>
  <c r="S25" s="1"/>
  <c r="D15" i="74" s="1"/>
  <c r="H102" i="9"/>
  <c r="D7" i="53" s="1"/>
  <c r="B21" i="72" s="1"/>
  <c r="I4" i="52"/>
  <c r="C104" i="9"/>
  <c r="H101"/>
  <c r="H119"/>
  <c r="H5" i="52" s="1"/>
  <c r="H4"/>
  <c r="D14" i="74"/>
  <c r="S22" i="31" l="1"/>
  <c r="R22" s="1"/>
  <c r="B21" s="1"/>
  <c r="G15" i="74"/>
  <c r="E15"/>
  <c r="F15"/>
  <c r="B5"/>
  <c r="E14"/>
  <c r="F14"/>
  <c r="M48" i="9"/>
  <c r="H107"/>
  <c r="D45"/>
  <c r="D5" i="53"/>
  <c r="B20" i="31" l="1"/>
  <c r="D53" i="9"/>
  <c r="C93"/>
  <c r="C86" s="1"/>
  <c r="C78"/>
  <c r="C73" s="1"/>
  <c r="C72"/>
  <c r="C64"/>
  <c r="C63" s="1"/>
  <c r="C67" s="1"/>
  <c r="C68" s="1"/>
  <c r="D54" s="1"/>
  <c r="D52"/>
  <c r="C85"/>
  <c r="D55"/>
  <c r="M53" s="1"/>
  <c r="B20" i="72"/>
  <c r="D6" i="53"/>
  <c r="B22" i="72" s="1"/>
  <c r="M49" i="9"/>
  <c r="D122"/>
  <c r="D13" i="53"/>
  <c r="H108" i="9"/>
  <c r="D15" i="53" s="1"/>
  <c r="B31" i="72" s="1"/>
  <c r="D5" i="74"/>
  <c r="C5"/>
  <c r="L68" i="9" l="1"/>
  <c r="M68" s="1"/>
  <c r="L63"/>
  <c r="M63" s="1"/>
  <c r="M69" s="1"/>
  <c r="N69" s="1"/>
  <c r="L64"/>
  <c r="M64" s="1"/>
  <c r="L66"/>
  <c r="M66" s="1"/>
  <c r="L65"/>
  <c r="M65" s="1"/>
  <c r="L67"/>
  <c r="M67" s="1"/>
  <c r="C79"/>
  <c r="C80" s="1"/>
  <c r="E80" s="1"/>
  <c r="E81" s="1"/>
  <c r="C95"/>
  <c r="C96" s="1"/>
  <c r="E96" s="1"/>
  <c r="E97" s="1"/>
  <c r="G14" i="74"/>
  <c r="B6" s="1"/>
  <c r="D8" i="52"/>
  <c r="D123" i="9"/>
  <c r="D9" i="52" s="1"/>
  <c r="D14" i="53"/>
  <c r="B32" i="72" s="1"/>
  <c r="B30"/>
  <c r="C97" i="9"/>
  <c r="D58" s="1"/>
  <c r="D56" s="1"/>
  <c r="M54" s="1"/>
  <c r="N57" s="1"/>
  <c r="P57" s="1"/>
  <c r="C81" l="1"/>
  <c r="D6" i="74"/>
  <c r="C6"/>
  <c r="N59" i="9"/>
  <c r="N60" s="1"/>
  <c r="N58"/>
  <c r="AD3" i="71"/>
  <c r="P21" i="43" s="1"/>
  <c r="N61" i="9" l="1"/>
  <c r="P22" i="43"/>
  <c r="P23"/>
  <c r="B71" i="39" s="1"/>
  <c r="P24" i="43"/>
  <c r="B66" i="40" s="1"/>
  <c r="P25" i="43"/>
  <c r="D118" i="9" l="1"/>
  <c r="F118"/>
  <c r="G118" s="1"/>
  <c r="E118" s="1"/>
  <c r="E4" i="52" s="1"/>
  <c r="B48" i="72" s="1"/>
  <c r="G4" i="52" l="1"/>
  <c r="B52" i="72" s="1"/>
  <c r="F4" i="52"/>
  <c r="B51" i="72" s="1"/>
  <c r="F119" i="9"/>
  <c r="F5" i="52" s="1"/>
  <c r="B53" i="72" s="1"/>
  <c r="D4" i="52"/>
  <c r="B47"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<sst xmlns="http://schemas.openxmlformats.org/spreadsheetml/2006/main" count="8218" uniqueCount="3183">
  <si>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</si>
  <si>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</si>
  <si>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</si>
  <si>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</si>
  <si>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</si>
  <si>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</si>
  <si>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</si>
  <si>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</si>
  <si>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</si>
  <si>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</si>
  <si>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</si>
  <si>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</si>
  <si>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</si>
  <si>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</si>
  <si>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</si>
  <si>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</si>
  <si>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</si>
  <si>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</si>
  <si>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</si>
  <si>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</si>
  <si>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</si>
  <si>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</si>
  <si>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</si>
  <si>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</si>
  <si>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</si>
  <si>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</si>
  <si>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</si>
  <si>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</si>
  <si>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</si>
  <si>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</si>
  <si>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</si>
  <si>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</si>
  <si>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</si>
  <si>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</si>
  <si>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</si>
  <si>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</si>
  <si>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</si>
  <si>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</si>
  <si>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</si>
  <si>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</si>
  <si>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</si>
  <si>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</si>
  <si>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</si>
  <si>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</si>
  <si>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</si>
  <si>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</si>
  <si>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</si>
  <si>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</si>
  <si>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</si>
  <si>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</si>
  <si>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</si>
  <si>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</si>
  <si>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</si>
  <si>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</si>
  <si>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</si>
  <si>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</si>
  <si>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</si>
  <si>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</si>
  <si>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</si>
  <si>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</si>
  <si>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</si>
  <si>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</si>
  <si>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</si>
  <si>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</si>
  <si>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</si>
  <si>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</si>
  <si>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</si>
  <si>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</si>
  <si>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</si>
  <si>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</si>
  <si>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</si>
  <si>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</si>
  <si>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</si>
  <si>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</si>
  <si>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</si>
  <si>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</si>
  <si>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</si>
  <si>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</si>
  <si>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</si>
  <si>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</si>
  <si>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</si>
  <si>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</si>
  <si>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</si>
  <si>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</si>
  <si>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</si>
  <si>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</si>
  <si>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</si>
  <si>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</si>
  <si>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</si>
  <si>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</si>
  <si>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</si>
  <si>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</si>
  <si>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</si>
  <si>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</si>
  <si>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</si>
  <si>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</si>
  <si>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</si>
  <si>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</si>
  <si>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</si>
  <si>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</si>
  <si>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</si>
  <si>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</si>
  <si>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</si>
  <si>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</si>
  <si>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</si>
  <si>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</si>
  <si>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</si>
  <si>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</si>
  <si>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</si>
  <si>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</si>
  <si>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</si>
  <si>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</si>
  <si>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</si>
  <si>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</si>
  <si>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</si>
  <si>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</si>
  <si>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</si>
  <si>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</si>
  <si>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</si>
  <si>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</si>
  <si>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</si>
  <si>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</si>
  <si>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</si>
  <si>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</si>
  <si>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</si>
  <si>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</si>
  <si>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</si>
  <si>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</si>
  <si>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</si>
  <si>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</si>
  <si>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</si>
  <si>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</si>
  <si>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</si>
  <si>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</si>
  <si>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</si>
  <si>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</si>
  <si>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</si>
  <si>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</si>
  <si>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</si>
  <si>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</si>
  <si>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</si>
  <si>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</si>
  <si>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</si>
  <si>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</si>
  <si>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</si>
  <si>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</si>
  <si>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</si>
  <si>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</si>
  <si>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</si>
  <si>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</si>
  <si>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</si>
  <si>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</si>
  <si>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</si>
  <si>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</si>
  <si>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</si>
  <si>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</si>
  <si>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</si>
  <si>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</si>
  <si>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</si>
  <si>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</si>
  <si>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</si>
  <si>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</si>
  <si>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</si>
  <si>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</si>
  <si>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</si>
  <si>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</si>
  <si>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</si>
  <si>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</si>
  <si>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</si>
  <si>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</si>
  <si>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</si>
  <si>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</si>
  <si>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</si>
  <si>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</si>
  <si>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</si>
  <si>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</si>
  <si>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</si>
  <si>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</si>
  <si>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</si>
  <si>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</si>
  <si>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</si>
  <si>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</si>
  <si>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</si>
  <si>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</si>
  <si>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</si>
  <si>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</si>
  <si>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</si>
  <si>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</si>
  <si>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</si>
  <si>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</si>
  <si>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</si>
  <si>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</si>
  <si>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</si>
  <si>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</si>
  <si>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</si>
  <si>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</si>
  <si>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</si>
  <si>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</si>
  <si>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</si>
  <si>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</si>
  <si>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</si>
  <si>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</si>
  <si>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</si>
  <si>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</si>
  <si>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</si>
  <si>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</si>
  <si>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</si>
  <si>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</si>
  <si>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</si>
  <si>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</si>
  <si>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</si>
  <si>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</si>
  <si>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</si>
  <si>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</si>
  <si>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</si>
  <si>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</si>
  <si>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</si>
  <si>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</si>
  <si>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</si>
  <si>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</si>
  <si>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</si>
  <si>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</si>
  <si>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</si>
  <si>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</si>
  <si>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</si>
  <si>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</si>
  <si>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</si>
  <si>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</si>
  <si>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</si>
  <si>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</si>
  <si>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</si>
  <si>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</si>
  <si>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</si>
  <si>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</si>
  <si>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</si>
  <si>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</si>
  <si>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</si>
  <si>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</si>
  <si>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</si>
  <si>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</si>
  <si>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</si>
  <si>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</si>
  <si>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</si>
  <si>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</si>
  <si>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</si>
  <si>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</si>
  <si>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</si>
  <si>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</si>
  <si>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</si>
  <si>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</si>
  <si>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</si>
  <si>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</si>
  <si>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</si>
  <si>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</si>
  <si>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</si>
  <si>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</si>
  <si>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</si>
  <si>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</si>
  <si>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</si>
  <si>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</si>
  <si>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</si>
  <si>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</si>
  <si>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</si>
  <si>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</si>
  <si>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</si>
  <si>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</si>
  <si>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</si>
  <si>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</si>
  <si>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</si>
  <si>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</si>
  <si>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</si>
  <si>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</si>
  <si>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</si>
  <si>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</si>
  <si>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</si>
  <si>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</si>
  <si>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</si>
  <si>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</si>
  <si>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</si>
  <si>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</si>
  <si>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</si>
  <si>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</si>
  <si>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</si>
  <si>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</si>
  <si>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</si>
  <si>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</si>
  <si>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</si>
  <si>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</si>
  <si>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</si>
  <si>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</si>
  <si>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</si>
  <si>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</si>
  <si>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</si>
  <si>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</si>
  <si>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</si>
  <si>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</si>
  <si>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</si>
  <si>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</si>
  <si>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</si>
  <si>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</si>
  <si>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</si>
  <si>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</si>
  <si>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</si>
  <si>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</si>
  <si>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</si>
  <si>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</si>
  <si>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</si>
  <si>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</si>
  <si>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</si>
  <si>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</si>
  <si>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</si>
  <si>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</si>
  <si>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</si>
  <si>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</si>
  <si>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</si>
  <si>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</si>
  <si>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</si>
  <si>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</si>
  <si>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</si>
  <si>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</si>
  <si>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</si>
  <si>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</si>
  <si>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</si>
  <si>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</si>
  <si>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</si>
  <si>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</si>
  <si>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</si>
  <si>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</si>
  <si>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</si>
  <si>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</si>
  <si>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</si>
  <si>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</si>
  <si>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</si>
  <si>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</si>
  <si>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</si>
  <si>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</si>
  <si>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</si>
  <si>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</si>
  <si>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</si>
  <si>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</si>
  <si>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</si>
  <si>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</si>
  <si>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</si>
  <si>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</si>
  <si>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</si>
  <si>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</si>
  <si>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</si>
  <si>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</si>
  <si>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</si>
  <si>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</si>
  <si>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</si>
  <si>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</si>
  <si>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</si>
  <si>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</si>
  <si>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</si>
  <si>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</si>
  <si>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</si>
  <si>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</si>
  <si>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</si>
  <si>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</si>
  <si>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</si>
  <si>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</si>
  <si>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</si>
  <si>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</si>
  <si>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</si>
  <si>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</si>
  <si>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</si>
  <si>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</si>
  <si>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</si>
  <si>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</si>
  <si>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</si>
  <si>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</si>
  <si>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</si>
  <si>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</si>
  <si>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</si>
  <si>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</si>
  <si>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</si>
  <si>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</si>
  <si>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</si>
  <si>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</si>
  <si>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</si>
  <si>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</si>
  <si>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</si>
  <si>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</si>
  <si>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</si>
  <si>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</si>
  <si>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</si>
  <si>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</si>
  <si>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</si>
  <si>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</si>
  <si>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</si>
  <si>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</si>
  <si>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</si>
  <si>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</si>
  <si>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</si>
  <si>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</si>
  <si>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</si>
  <si>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</si>
  <si>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</si>
  <si>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</si>
  <si>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</si>
  <si>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</si>
  <si>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</si>
  <si>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</si>
  <si>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</si>
  <si>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</si>
  <si>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</si>
  <si>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</si>
  <si>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</si>
  <si>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</si>
  <si>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</si>
  <si>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</si>
  <si>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</si>
  <si>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</si>
  <si>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</si>
  <si>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</si>
  <si>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</si>
  <si>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</si>
  <si>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</si>
  <si>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</si>
  <si>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</si>
  <si>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</si>
  <si>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</si>
  <si>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</si>
  <si>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</si>
  <si>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</si>
  <si>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</si>
  <si>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</si>
  <si>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</si>
  <si>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</si>
  <si>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</si>
  <si>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</si>
  <si>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</si>
  <si>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</si>
  <si>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</si>
  <si>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</si>
  <si>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</si>
  <si>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</si>
  <si>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</si>
  <si>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</si>
  <si>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</si>
  <si>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</si>
  <si>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</si>
  <si>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</si>
  <si>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</si>
  <si>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</si>
  <si>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</si>
  <si>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</si>
  <si>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</si>
  <si>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</si>
  <si>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</si>
  <si>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</si>
  <si>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</si>
  <si>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</si>
  <si>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</si>
  <si>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</si>
  <si>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</si>
  <si>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</si>
  <si>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</si>
  <si>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</si>
  <si>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</si>
  <si>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</si>
  <si>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</si>
  <si>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</si>
  <si>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</si>
  <si>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</si>
  <si>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</si>
  <si>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</si>
  <si>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</si>
  <si>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</si>
  <si>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</si>
  <si>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</si>
  <si>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</si>
  <si>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</si>
  <si>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</si>
  <si>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</si>
  <si>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</si>
  <si>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</si>
  <si>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</si>
  <si>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</si>
  <si>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</si>
  <si>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</si>
  <si>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</si>
  <si>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</si>
  <si>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</si>
  <si>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</si>
  <si>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</si>
  <si>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</si>
  <si>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</si>
  <si>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</si>
  <si>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</si>
  <si>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</si>
  <si>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</si>
  <si>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</si>
  <si>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</si>
  <si>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</si>
  <si>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</si>
  <si>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</si>
  <si>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</si>
  <si>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</si>
  <si>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</si>
  <si>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</si>
  <si>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</si>
  <si>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</si>
  <si>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</si>
  <si>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</si>
  <si>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</si>
  <si>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</si>
  <si>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</si>
  <si>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</si>
  <si>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</si>
  <si>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</si>
  <si>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</si>
  <si>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</si>
  <si>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</si>
  <si>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</si>
  <si>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</si>
  <si>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</si>
  <si>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</si>
  <si>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</si>
  <si>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</si>
  <si>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</si>
  <si>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</si>
  <si>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</si>
  <si>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</si>
  <si>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</si>
  <si>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</si>
  <si>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</si>
  <si>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</si>
  <si>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</si>
  <si>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</si>
  <si>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</si>
  <si>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</si>
  <si>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</si>
  <si>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</si>
  <si>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</si>
  <si>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</si>
  <si>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</si>
  <si>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</si>
  <si>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</si>
  <si>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</si>
  <si>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</si>
  <si>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</si>
  <si>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</si>
  <si>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</si>
  <si>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</si>
  <si>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</si>
  <si>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</si>
  <si>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</si>
  <si>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</si>
  <si>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</si>
  <si>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</si>
  <si>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</si>
  <si>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</si>
  <si>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</si>
  <si>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</si>
  <si>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</si>
  <si>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</si>
  <si>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</si>
  <si>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</si>
  <si>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</si>
  <si>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</si>
  <si>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</si>
  <si>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</si>
  <si>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</si>
  <si>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</si>
  <si>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</si>
  <si>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</si>
  <si>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</si>
  <si>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</si>
  <si>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</si>
  <si>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</si>
  <si>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</si>
  <si>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</si>
  <si>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</si>
  <si>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</si>
  <si>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</si>
  <si>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</si>
  <si>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</si>
  <si>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</si>
  <si>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</si>
  <si>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</si>
  <si>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</si>
  <si>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</si>
  <si>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</si>
  <si>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</si>
  <si>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</si>
  <si>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</si>
  <si>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</si>
  <si>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</si>
  <si>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</si>
  <si>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</si>
  <si>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</si>
  <si>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</si>
  <si>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</si>
  <si>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</si>
  <si>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</si>
  <si>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</si>
  <si>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</si>
  <si>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</si>
  <si>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</si>
  <si>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</si>
  <si>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</si>
  <si>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</si>
  <si>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</si>
  <si>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</si>
  <si>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</si>
  <si>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</si>
  <si>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</si>
  <si>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</si>
  <si>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</si>
  <si>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</si>
  <si>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</si>
  <si>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</si>
  <si>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</si>
  <si>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</si>
  <si>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</si>
  <si>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</si>
  <si>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</si>
  <si>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</si>
  <si>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</si>
  <si>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</si>
  <si>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</si>
  <si>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</si>
  <si>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</si>
  <si>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</si>
  <si>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</si>
  <si>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</si>
  <si>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</si>
  <si>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</si>
  <si>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</si>
  <si>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</si>
  <si>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</si>
  <si>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</si>
  <si>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</si>
  <si>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</si>
  <si>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</si>
  <si>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</si>
  <si>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</si>
  <si>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</si>
  <si>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</si>
  <si>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</si>
  <si>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</si>
  <si>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</si>
  <si>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</si>
  <si>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</si>
  <si>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</si>
  <si>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</si>
  <si>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</si>
  <si>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</si>
  <si>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</si>
  <si>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</si>
  <si>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</si>
  <si>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</si>
  <si>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</si>
  <si>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</si>
  <si>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</si>
  <si>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</si>
  <si>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</si>
  <si>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</si>
  <si>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</si>
  <si>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</si>
  <si>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</si>
  <si>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</si>
  <si>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</si>
  <si>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</si>
  <si>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</si>
  <si>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</si>
  <si>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</si>
  <si>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</si>
  <si>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</si>
  <si>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</si>
  <si>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</si>
  <si>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</si>
  <si>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</si>
  <si>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</si>
  <si>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</si>
  <si>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</si>
  <si>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</si>
  <si>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</si>
  <si>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</si>
  <si>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</si>
  <si>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</si>
  <si>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</si>
  <si>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</si>
  <si>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</si>
  <si>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</si>
  <si>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</si>
  <si>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</si>
  <si>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</si>
  <si>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</si>
  <si>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</si>
  <si>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</si>
  <si>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</si>
  <si>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</si>
  <si>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</si>
  <si>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</si>
  <si>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</si>
  <si>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</si>
  <si>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</si>
  <si>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</si>
  <si>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</si>
  <si>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</si>
  <si>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</si>
  <si>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</si>
  <si>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</si>
  <si>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</si>
  <si>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</si>
  <si>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</si>
  <si>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</si>
  <si>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</si>
  <si>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</si>
  <si>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</si>
  <si>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</si>
  <si>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</si>
  <si>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</si>
  <si>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</si>
  <si>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</si>
  <si>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</si>
  <si>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</si>
  <si>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</si>
  <si>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</si>
  <si>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</si>
  <si>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</si>
  <si>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</si>
  <si>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</si>
  <si>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</si>
  <si>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</si>
  <si>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</si>
  <si>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</si>
  <si>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</si>
  <si>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</si>
  <si>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</si>
  <si>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</si>
  <si>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</si>
  <si>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</si>
  <si>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</si>
  <si>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</si>
  <si>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</si>
  <si>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</si>
  <si>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</si>
  <si>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</si>
  <si>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</si>
  <si>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</si>
  <si>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</si>
  <si>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</si>
  <si>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</si>
  <si>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</si>
  <si>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</si>
  <si>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</si>
  <si>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</si>
  <si>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</si>
  <si>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</si>
  <si>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</si>
  <si>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</si>
  <si>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</si>
  <si>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</si>
  <si>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</si>
  <si>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</si>
  <si>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</si>
  <si>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</si>
  <si>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</si>
  <si>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</si>
  <si>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</si>
  <si>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</si>
  <si>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</si>
  <si>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</si>
  <si>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</si>
  <si>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</si>
  <si>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</si>
  <si>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</si>
  <si>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</si>
  <si>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</si>
  <si>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</si>
  <si>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</si>
  <si>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</si>
  <si>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</si>
  <si>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</si>
  <si>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</si>
  <si>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</si>
  <si>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</si>
  <si>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</si>
  <si>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</si>
  <si>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</si>
  <si>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</si>
  <si>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</si>
  <si>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</si>
  <si>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</si>
  <si>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</si>
  <si>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</si>
  <si>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</si>
  <si>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</si>
  <si>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</si>
  <si>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</si>
  <si>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</si>
  <si>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</si>
  <si>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</si>
  <si>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</si>
  <si>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</si>
  <si>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</si>
  <si>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</si>
  <si>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</si>
  <si>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</si>
  <si>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</si>
  <si>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</si>
  <si>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</si>
  <si>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</si>
  <si>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</si>
  <si>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</si>
  <si>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</si>
  <si>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</si>
  <si>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</si>
  <si>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</si>
  <si>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</si>
  <si>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</si>
  <si>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</si>
  <si>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</si>
  <si>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</si>
  <si>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</si>
  <si>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</si>
  <si>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</si>
  <si>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</si>
  <si>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</si>
  <si>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</si>
  <si>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</si>
  <si>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</si>
  <si>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</si>
  <si>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</si>
  <si>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</si>
  <si>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</si>
  <si>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</si>
  <si>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</si>
  <si>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</si>
  <si>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</si>
  <si>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</si>
  <si>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</si>
  <si>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</si>
  <si>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</si>
  <si>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</si>
  <si>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</si>
  <si>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</si>
  <si>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</si>
  <si>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</si>
  <si>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</si>
  <si>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</si>
  <si>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</si>
  <si>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</si>
  <si>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</si>
  <si>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</si>
  <si>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</si>
  <si>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</si>
  <si>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</si>
  <si>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</si>
  <si>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</si>
  <si>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</si>
  <si>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</si>
  <si>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</si>
  <si>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</si>
  <si>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</si>
  <si>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</si>
  <si>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</si>
  <si>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</si>
  <si>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</si>
  <si>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</si>
  <si>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</si>
  <si>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</si>
  <si>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</si>
  <si>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</si>
  <si>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</si>
  <si>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</si>
  <si>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</si>
  <si>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</si>
  <si>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</si>
  <si>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</si>
  <si>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</si>
  <si>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</si>
  <si>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</si>
  <si>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</si>
  <si>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</si>
  <si>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</si>
  <si>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</si>
  <si>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</si>
  <si>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</si>
  <si>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</si>
  <si>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</si>
  <si>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</si>
  <si>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</si>
  <si>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</si>
  <si>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</si>
  <si>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</si>
  <si>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</si>
  <si>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</si>
  <si>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</si>
  <si>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</si>
  <si>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</si>
  <si>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</si>
  <si>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</si>
  <si>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</si>
  <si>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</si>
  <si>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</si>
  <si>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</si>
  <si>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</si>
  <si>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</si>
  <si>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</si>
  <si>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</si>
  <si>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</si>
  <si>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</si>
  <si>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</si>
  <si>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</si>
  <si>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</si>
  <si>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</si>
  <si>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</si>
  <si>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</si>
  <si>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</si>
  <si>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</si>
  <si>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</si>
  <si>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</si>
  <si>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</si>
  <si>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</si>
  <si>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</si>
  <si>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</si>
  <si>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</si>
  <si>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</si>
  <si>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</si>
  <si>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</si>
  <si>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</si>
  <si>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</si>
  <si>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</si>
  <si>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</si>
  <si>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</si>
  <si>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</si>
  <si>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</si>
  <si>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</si>
  <si>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</si>
  <si>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</si>
  <si>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</si>
  <si>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</si>
  <si>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</si>
  <si>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</si>
  <si>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</si>
  <si>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</si>
  <si>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</si>
  <si>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</si>
  <si>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</si>
  <si>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</si>
  <si>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</si>
  <si>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</si>
  <si>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</si>
  <si>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</si>
  <si>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</si>
  <si>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</si>
  <si>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</si>
  <si>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</si>
  <si>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</si>
  <si>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</si>
  <si>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</si>
  <si>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</si>
  <si>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</si>
  <si>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</si>
  <si>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</si>
  <si>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</si>
  <si>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</si>
  <si>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</si>
  <si>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</si>
  <si>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</si>
  <si>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</si>
  <si>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</si>
  <si>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</si>
  <si>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</si>
  <si>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</si>
  <si>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</si>
  <si>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</si>
  <si>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</si>
  <si>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</si>
  <si>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</si>
  <si>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</si>
  <si>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</si>
  <si>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</si>
  <si>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</si>
  <si>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</si>
  <si>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</si>
  <si>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</si>
  <si>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</si>
  <si>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</si>
  <si>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</si>
  <si>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</si>
  <si>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</si>
  <si>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</si>
  <si>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</si>
  <si>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</si>
  <si>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</si>
  <si>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</si>
  <si>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</si>
  <si>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</si>
  <si>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</si>
  <si>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</si>
  <si>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</si>
  <si>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</si>
  <si>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</si>
  <si>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</si>
  <si>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</si>
  <si>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</si>
  <si>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</si>
  <si>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</si>
  <si>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</si>
  <si>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</si>
  <si>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</si>
  <si>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</si>
  <si>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</si>
  <si>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</si>
  <si>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</si>
  <si>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</si>
  <si>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</si>
  <si>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</si>
  <si>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</si>
  <si>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</si>
  <si>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</si>
  <si>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</si>
  <si>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</si>
  <si>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</si>
  <si>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</si>
  <si>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</si>
  <si>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</si>
  <si>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</si>
  <si>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</si>
  <si>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</si>
  <si>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</si>
  <si>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</si>
  <si>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</si>
  <si>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</si>
  <si>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</si>
  <si>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</si>
  <si>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</si>
  <si>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</si>
  <si>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</si>
  <si>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</si>
  <si>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</si>
  <si>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</si>
  <si>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</si>
  <si>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</si>
  <si>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</si>
  <si>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</si>
  <si>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</si>
  <si>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</si>
  <si>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</si>
  <si>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</si>
  <si>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</si>
  <si>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</si>
  <si>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</si>
  <si>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</si>
  <si>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</si>
  <si>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</si>
  <si>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</si>
  <si>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</si>
  <si>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</si>
  <si>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</si>
  <si>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</si>
  <si>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</si>
  <si>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</si>
  <si>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</si>
  <si>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</si>
  <si>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</si>
  <si>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</si>
  <si>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</si>
  <si>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</si>
  <si>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</si>
  <si>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</si>
  <si>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</si>
  <si>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</si>
  <si>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</si>
  <si>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</si>
  <si>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</si>
  <si>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</si>
  <si>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</si>
  <si>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</si>
  <si>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</si>
  <si>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</si>
  <si>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</si>
  <si>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</si>
  <si>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</si>
  <si>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</si>
  <si>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</si>
  <si>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</si>
  <si>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</si>
  <si>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</si>
  <si>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</si>
  <si>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</si>
  <si>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</si>
  <si>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</si>
  <si>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</si>
  <si>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</si>
  <si>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</si>
  <si>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</si>
  <si>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</si>
  <si>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</si>
  <si>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</si>
  <si>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</si>
  <si>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</si>
  <si>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</si>
  <si>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</si>
  <si>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</si>
  <si>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</si>
  <si>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</si>
  <si>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</si>
  <si>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</si>
  <si>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</si>
  <si>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</si>
  <si>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</si>
  <si>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</si>
  <si>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</si>
  <si>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</si>
  <si>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</si>
  <si>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</si>
  <si>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</si>
  <si>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</si>
  <si>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</si>
  <si>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</si>
  <si>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</si>
  <si>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</si>
  <si>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</si>
  <si>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</si>
  <si>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</si>
  <si>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</si>
  <si>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</si>
  <si>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</si>
  <si>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</si>
  <si>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</si>
  <si>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</si>
  <si>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</si>
  <si>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</si>
  <si>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</si>
  <si>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</si>
  <si>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</si>
  <si>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</si>
  <si>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</si>
  <si>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</si>
  <si>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</si>
  <si>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</si>
  <si>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</si>
  <si>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</si>
  <si>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</si>
  <si>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</si>
  <si>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</si>
  <si>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</si>
  <si>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</si>
  <si>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</si>
  <si>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</si>
  <si>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</si>
  <si>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</si>
  <si>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</si>
  <si>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</si>
  <si>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</si>
  <si>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</si>
  <si>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</si>
  <si>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</si>
  <si>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</si>
  <si>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</si>
  <si>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</si>
  <si>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</si>
  <si>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</si>
  <si>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</si>
  <si>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</si>
  <si>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</si>
  <si>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</si>
  <si>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</si>
  <si>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</si>
  <si>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</si>
  <si>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</si>
  <si>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</si>
  <si>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</si>
  <si>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</si>
  <si>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</si>
  <si>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</si>
  <si>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</si>
  <si>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</si>
  <si>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</si>
  <si>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</si>
  <si>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</si>
  <si>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</si>
  <si>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</si>
  <si>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</si>
  <si>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</si>
  <si>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</si>
  <si>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</si>
  <si>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</si>
  <si>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</si>
  <si>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</si>
  <si>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</si>
  <si>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</si>
  <si>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</si>
  <si>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</si>
  <si>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</si>
  <si>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</si>
  <si>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</si>
  <si>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</si>
  <si>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</si>
  <si>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</si>
  <si>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</si>
  <si>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</si>
  <si>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</si>
  <si>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</si>
  <si>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</si>
  <si>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</si>
  <si>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</si>
  <si>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</si>
  <si>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</si>
  <si>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</si>
  <si>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</si>
  <si>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</si>
  <si>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</si>
  <si>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</si>
  <si>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</si>
  <si>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</si>
  <si>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</si>
  <si>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</si>
  <si>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</si>
  <si>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</si>
  <si>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</si>
  <si>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</si>
  <si>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</si>
  <si>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</si>
  <si>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</si>
  <si>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</si>
  <si>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</si>
  <si>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</si>
  <si>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</si>
  <si>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</si>
  <si>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</si>
  <si>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</si>
  <si>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</si>
  <si>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</si>
  <si>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</si>
  <si>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</si>
  <si>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</si>
  <si>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</si>
  <si>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</si>
  <si>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</si>
  <si>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</si>
  <si>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</si>
  <si>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</si>
  <si>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</si>
  <si>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</si>
  <si>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</si>
  <si>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</si>
  <si>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</si>
  <si>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</si>
  <si>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</si>
  <si>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</si>
  <si>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</si>
  <si>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</si>
  <si>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</si>
  <si>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</si>
  <si>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</si>
  <si>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</si>
  <si>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</si>
  <si>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</si>
  <si>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</si>
  <si>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</si>
  <si>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</si>
  <si>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</si>
  <si>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</si>
  <si>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</si>
  <si>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</si>
  <si>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</si>
  <si>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</si>
  <si>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</si>
  <si>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</si>
  <si>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</si>
  <si>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</si>
  <si>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</si>
  <si>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</si>
  <si>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</si>
  <si>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</si>
  <si>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</si>
  <si>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</si>
  <si>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</si>
  <si>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</si>
  <si>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</si>
  <si>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</si>
  <si>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</si>
  <si>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</si>
  <si>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</si>
  <si>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</si>
  <si>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</si>
  <si>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</si>
  <si>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</si>
  <si>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</si>
  <si>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</si>
  <si>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</si>
  <si>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</si>
  <si>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</si>
  <si>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</si>
  <si>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</si>
  <si>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</si>
  <si>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</si>
  <si>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</si>
  <si>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</si>
  <si>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</si>
  <si>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</si>
  <si>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</si>
  <si>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</si>
  <si>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</si>
  <si>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</si>
  <si>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</si>
  <si>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</si>
  <si>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</si>
  <si>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</si>
  <si>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</si>
  <si>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</si>
  <si>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</si>
  <si>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</si>
  <si>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</si>
  <si>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</si>
  <si>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</si>
  <si>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</si>
  <si>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</si>
  <si>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</si>
  <si>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</si>
  <si>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</si>
  <si>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</si>
  <si>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</si>
  <si>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</si>
  <si>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</si>
  <si>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</si>
  <si>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</si>
  <si>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</si>
  <si>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</si>
  <si>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</si>
  <si>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</si>
  <si>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</si>
  <si>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</si>
  <si>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</si>
  <si>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</si>
  <si>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</si>
  <si>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</si>
  <si>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</si>
  <si>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</si>
  <si>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</si>
  <si>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</si>
  <si>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</si>
  <si>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</si>
  <si>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</si>
  <si>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</si>
  <si>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</si>
  <si>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</si>
  <si>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</si>
  <si>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</si>
  <si>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</si>
  <si>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</si>
  <si>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</si>
  <si>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</si>
  <si>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</si>
  <si>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</si>
  <si>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</si>
  <si>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</si>
  <si>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</si>
  <si>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</si>
  <si>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</si>
  <si>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</si>
  <si>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</si>
  <si>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</si>
  <si>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</si>
  <si>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</si>
  <si>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</si>
  <si>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</si>
  <si>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</si>
  <si>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</si>
  <si>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</si>
  <si>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</si>
  <si>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</si>
  <si>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</si>
  <si>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</si>
  <si>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</si>
  <si>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</si>
  <si>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</si>
  <si>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</si>
  <si>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</si>
  <si>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</si>
  <si>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</si>
  <si>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</si>
  <si>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</si>
  <si>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</si>
  <si>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</si>
  <si>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</si>
  <si>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</si>
  <si>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</si>
  <si>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</si>
  <si>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</si>
  <si>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</si>
  <si>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</si>
  <si>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</si>
  <si>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</si>
  <si>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</si>
  <si>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</si>
  <si>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</si>
  <si>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</si>
  <si>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</si>
  <si>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</si>
  <si>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</si>
  <si>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</si>
  <si>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</si>
  <si>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</si>
  <si>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</si>
  <si>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</si>
  <si>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</si>
  <si>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</si>
  <si>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</si>
  <si>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</si>
  <si>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</si>
  <si>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</si>
  <si>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</si>
  <si>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</si>
  <si>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</si>
  <si>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</si>
  <si>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</si>
  <si>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</si>
  <si>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</si>
  <si>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</si>
  <si>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</si>
  <si>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</si>
  <si>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</si>
  <si>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</si>
  <si>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</si>
  <si>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</si>
  <si>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</si>
  <si>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</si>
  <si>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</si>
  <si>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</si>
  <si>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</si>
  <si>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</si>
  <si>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</si>
  <si>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</si>
  <si>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</si>
  <si>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</si>
  <si>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</si>
  <si>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</si>
  <si>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</si>
  <si>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</si>
  <si>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</si>
  <si>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</si>
  <si>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</si>
  <si>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</si>
  <si>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</si>
  <si>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</si>
  <si>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</si>
  <si>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</si>
  <si>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</si>
  <si>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</si>
  <si>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</si>
  <si>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</si>
  <si>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</si>
  <si>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</si>
  <si>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</si>
  <si>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</si>
  <si>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</si>
  <si>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</si>
  <si>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</si>
  <si>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</si>
  <si>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</si>
  <si>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</si>
  <si>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</si>
  <si>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</si>
  <si>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</si>
  <si>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</si>
  <si>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</si>
  <si>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</si>
  <si>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</si>
  <si>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</si>
  <si>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</si>
  <si>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</si>
  <si>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</si>
  <si>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</si>
  <si>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</si>
  <si>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</si>
  <si>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</si>
  <si>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</si>
  <si>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</si>
  <si>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</si>
  <si>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</si>
  <si>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</si>
  <si>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</si>
  <si>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</si>
  <si>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</si>
  <si>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</si>
  <si>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</si>
  <si>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</si>
  <si>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</si>
  <si>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</si>
  <si>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</si>
  <si>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</si>
  <si>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</si>
  <si>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</si>
  <si>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</si>
  <si>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</si>
  <si>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</si>
  <si>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</si>
  <si>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</si>
  <si>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</si>
  <si>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</si>
  <si>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</si>
  <si>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</si>
  <si>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</si>
  <si>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</si>
  <si>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</si>
  <si>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</si>
  <si>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</si>
  <si>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</si>
  <si>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</si>
  <si>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</si>
  <si>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</si>
  <si>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</si>
  <si>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</si>
  <si>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</si>
  <si>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</si>
  <si>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</si>
  <si>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</si>
  <si>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</si>
  <si>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</si>
  <si>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</si>
  <si>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</si>
  <si>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</si>
  <si>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</si>
  <si>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</si>
  <si>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</si>
  <si>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</si>
  <si>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</si>
  <si>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</si>
  <si>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</si>
  <si>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</si>
  <si>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</si>
  <si>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</si>
  <si>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</si>
  <si>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</si>
  <si>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</si>
  <si>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</si>
  <si>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</si>
  <si>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</si>
  <si>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</si>
  <si>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</si>
  <si>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</si>
  <si>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</si>
  <si>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</si>
  <si>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</si>
  <si>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</si>
  <si>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</si>
  <si>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</si>
  <si>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</si>
  <si>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</si>
  <si>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</si>
  <si>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</si>
  <si>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</si>
  <si>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</si>
  <si>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</si>
  <si>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</si>
  <si>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</si>
  <si>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</si>
  <si>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</si>
  <si>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</si>
  <si>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</si>
  <si>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</si>
  <si>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</si>
  <si>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</si>
  <si>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</si>
  <si>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</si>
  <si>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</si>
  <si>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</si>
  <si>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</si>
  <si>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</si>
  <si>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</si>
  <si>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</si>
  <si>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</si>
  <si>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</si>
  <si>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</si>
  <si>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</si>
  <si>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</si>
  <si>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</si>
  <si>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</si>
  <si>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</si>
  <si>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</si>
  <si>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</si>
  <si>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</si>
  <si>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</si>
  <si>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</si>
  <si>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</si>
  <si>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</si>
  <si>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</si>
  <si>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</si>
  <si>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</si>
  <si>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</si>
  <si>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</si>
  <si>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</si>
  <si>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</si>
  <si>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</si>
  <si>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</si>
  <si>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</si>
  <si>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</si>
  <si>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</si>
  <si>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</si>
  <si>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</si>
  <si>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</si>
  <si>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</si>
  <si>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</si>
  <si>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</si>
  <si>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</si>
  <si>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</si>
  <si>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</si>
  <si>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</si>
  <si>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</si>
  <si>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</si>
  <si>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</si>
  <si>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</si>
  <si>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</si>
  <si>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</si>
  <si>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</si>
  <si>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</si>
  <si>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</si>
  <si>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</si>
  <si>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</si>
  <si>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</si>
  <si>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</si>
  <si>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</si>
  <si>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</si>
  <si>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</si>
  <si>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</si>
  <si>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</si>
  <si>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</si>
  <si>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</si>
  <si>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</si>
  <si>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</si>
  <si>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</si>
  <si>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</si>
  <si>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</si>
  <si>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</si>
  <si>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</si>
  <si>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</si>
  <si>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</si>
  <si>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</si>
  <si>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</si>
  <si>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</si>
  <si>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</si>
  <si>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</si>
  <si>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</si>
  <si>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</si>
  <si>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</si>
  <si>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</si>
  <si>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</si>
  <si>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</si>
  <si>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</si>
  <si>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</si>
  <si>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</si>
  <si>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</si>
  <si>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</si>
  <si>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</si>
  <si>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</si>
  <si>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</si>
  <si>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</si>
  <si>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</si>
  <si>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</si>
  <si>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</si>
  <si>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</si>
  <si>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</si>
  <si>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</si>
  <si>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</si>
  <si>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</si>
  <si>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</si>
  <si>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</si>
  <si>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</si>
  <si>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</si>
  <si>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</si>
  <si>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</si>
  <si>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</si>
  <si>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</si>
  <si>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</si>
  <si>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</si>
  <si>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</si>
  <si>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</si>
  <si>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</si>
  <si>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</si>
  <si>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</si>
  <si>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</si>
  <si>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</si>
  <si>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</si>
  <si>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</si>
  <si>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</si>
  <si>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</si>
  <si>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</si>
  <si>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</si>
  <si>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</si>
  <si>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</si>
  <si>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</si>
  <si>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</si>
  <si>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</si>
  <si>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</si>
  <si>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</si>
  <si>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</si>
  <si>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</si>
  <si>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</si>
  <si>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</si>
  <si>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</si>
  <si>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</si>
  <si>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</si>
  <si>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</si>
  <si>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</si>
  <si>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</si>
  <si>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</si>
  <si>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</si>
  <si>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</si>
  <si>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</si>
  <si>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</si>
  <si>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</si>
  <si>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</si>
  <si>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</si>
  <si>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</si>
  <si>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</si>
  <si>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</si>
  <si>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</si>
  <si>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</si>
  <si>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</si>
  <si>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</si>
  <si>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</si>
  <si>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</si>
  <si>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</si>
  <si>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</si>
  <si>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</si>
  <si>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</si>
  <si>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</si>
  <si>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</si>
  <si>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</si>
  <si>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</si>
  <si>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</si>
  <si>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</si>
  <si>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</si>
  <si>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</si>
  <si>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</si>
  <si>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</si>
  <si>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</si>
  <si>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</si>
  <si>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</si>
  <si>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</si>
  <si>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</si>
  <si>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</si>
  <si>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</si>
  <si>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</si>
  <si>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</si>
  <si>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</si>
  <si>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</si>
  <si>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</si>
  <si>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</si>
  <si>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</si>
  <si>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</si>
  <si>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</si>
  <si>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</si>
  <si>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</si>
  <si>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</si>
  <si>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</si>
  <si>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</si>
  <si>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</si>
  <si>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</si>
  <si>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</si>
  <si>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</si>
  <si>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</si>
  <si>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</si>
  <si>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</si>
  <si>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</si>
  <si>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</si>
  <si>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</si>
  <si>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</si>
  <si>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</si>
  <si>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</si>
  <si>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</si>
  <si>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</si>
  <si>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</si>
  <si>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</si>
  <si>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</si>
  <si>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</si>
  <si>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</si>
  <si>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</si>
  <si>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</si>
  <si>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</si>
  <si>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</si>
  <si>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</si>
  <si>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</si>
  <si>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</si>
  <si>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</si>
  <si>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</si>
  <si>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</si>
  <si>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</si>
  <si>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</si>
  <si>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</si>
  <si>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</si>
  <si>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</si>
  <si>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</si>
  <si>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</si>
  <si>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</si>
  <si>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</si>
  <si>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</si>
  <si>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</si>
  <si>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</si>
  <si>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</si>
  <si>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</si>
  <si>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</si>
  <si>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</si>
  <si>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</si>
  <si>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</si>
  <si>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</si>
  <si>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</si>
  <si>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</si>
  <si>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</si>
  <si>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</si>
  <si>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</si>
  <si>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</si>
  <si>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</si>
  <si>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</si>
  <si>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</si>
  <si>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</si>
  <si>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</si>
  <si>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</si>
  <si>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</si>
  <si>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</si>
  <si>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</si>
  <si>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</si>
  <si>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</si>
  <si>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</si>
  <si>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</si>
  <si>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</si>
  <si>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</si>
  <si>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</si>
  <si>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</si>
  <si>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</si>
  <si>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</si>
  <si>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</si>
  <si>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</si>
  <si>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</si>
  <si>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</si>
  <si>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</si>
  <si>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</si>
  <si>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</si>
  <si>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</si>
  <si>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</si>
  <si>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</si>
  <si>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</si>
  <si>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</si>
  <si>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</si>
  <si>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</si>
  <si>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</si>
  <si>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</si>
  <si>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</si>
  <si>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</si>
  <si>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</si>
  <si>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</si>
  <si>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</si>
  <si>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</si>
  <si>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</si>
  <si>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</si>
  <si>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</si>
  <si>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</si>
  <si>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</si>
  <si>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</si>
  <si>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</si>
  <si>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</si>
  <si>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</si>
  <si>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</si>
  <si>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</si>
  <si>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</si>
  <si>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</si>
  <si>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</si>
  <si>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</si>
  <si>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</si>
  <si>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</si>
  <si>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</si>
  <si>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</si>
  <si>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</si>
  <si>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</si>
  <si>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</si>
  <si>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</si>
  <si>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</si>
  <si>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</si>
  <si>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</si>
  <si>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</si>
  <si>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</si>
  <si>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</si>
  <si>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</si>
  <si>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</si>
  <si>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</si>
  <si>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</si>
  <si>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</si>
  <si>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</si>
  <si>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</si>
  <si>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</si>
  <si>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</si>
  <si>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</si>
  <si>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</si>
  <si>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</si>
  <si>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</si>
  <si>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</si>
  <si>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</si>
  <si>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</si>
  <si>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</si>
  <si>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</si>
  <si>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</si>
  <si>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</si>
  <si>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</si>
  <si>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</si>
  <si>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</si>
  <si>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</si>
  <si>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</si>
  <si>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</si>
  <si>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</si>
  <si>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</si>
  <si>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</si>
  <si>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</si>
  <si>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</si>
  <si>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</si>
  <si>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</si>
  <si>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</si>
  <si>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</si>
  <si>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</si>
  <si>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</si>
  <si>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</si>
  <si>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</si>
  <si>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</si>
  <si>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</si>
  <si>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</si>
  <si>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</si>
  <si>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</si>
  <si>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</si>
  <si>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</si>
  <si>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</si>
  <si>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</si>
  <si>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</si>
  <si>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</si>
  <si>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</si>
  <si>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</si>
  <si>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</si>
  <si>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</si>
  <si>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</si>
  <si>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</si>
  <si>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</si>
  <si>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</si>
  <si>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</si>
  <si>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</si>
  <si>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</si>
  <si>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</si>
  <si>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</si>
  <si>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</si>
  <si>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</si>
  <si>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</si>
  <si>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</si>
  <si>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</si>
  <si>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</si>
  <si>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</si>
  <si>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</si>
  <si>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</si>
  <si>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</si>
  <si>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</si>
  <si>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</si>
  <si>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</si>
  <si>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</si>
  <si>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</si>
  <si>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</si>
  <si>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</si>
  <si>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</si>
  <si>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</si>
  <si>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</si>
  <si>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</si>
  <si>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</si>
  <si>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</si>
  <si>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</si>
  <si>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</si>
  <si>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</si>
  <si>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</si>
  <si>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</si>
  <si>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</si>
  <si>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</si>
  <si>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</si>
  <si>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</si>
  <si>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</si>
  <si>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</si>
  <si>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</si>
  <si>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</si>
  <si>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</si>
  <si>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</si>
  <si>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</si>
  <si>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</si>
  <si>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</si>
  <si>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</si>
  <si>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</si>
  <si>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</si>
  <si>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</si>
  <si>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</si>
  <si>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</si>
  <si>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</si>
  <si>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</si>
  <si>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</si>
  <si>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</si>
  <si>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</si>
  <si>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</si>
  <si>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</si>
  <si>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</si>
  <si>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</si>
  <si>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</si>
  <si>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</si>
  <si>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</si>
  <si>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</si>
  <si>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</si>
  <si>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</si>
  <si>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</si>
  <si>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</si>
  <si>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</si>
  <si>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</si>
  <si>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</si>
  <si>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</si>
  <si>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</si>
  <si>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</si>
  <si>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</si>
  <si>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</si>
  <si>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</si>
  <si>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</si>
  <si>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</si>
  <si>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</si>
  <si>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</si>
  <si>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</si>
  <si>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</si>
  <si>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</si>
  <si>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</si>
  <si>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</si>
  <si>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</si>
  <si>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</si>
  <si>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</si>
  <si>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</si>
  <si>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</si>
  <si>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</si>
  <si>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</si>
  <si>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</si>
  <si>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</si>
  <si>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</si>
  <si>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</si>
  <si>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</si>
  <si>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</si>
  <si>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</si>
  <si>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</si>
  <si>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</si>
  <si>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</si>
  <si>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</si>
  <si>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</si>
  <si>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</si>
  <si>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</si>
  <si>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</si>
  <si>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</si>
  <si>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</si>
  <si>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</si>
  <si>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</si>
  <si>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</si>
  <si>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</si>
  <si>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</si>
  <si>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</si>
  <si>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</si>
  <si>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</si>
  <si>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</si>
  <si>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</si>
  <si>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</si>
  <si>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</si>
  <si>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</si>
  <si>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</si>
  <si>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</si>
  <si>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</si>
  <si>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</si>
  <si>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</si>
  <si>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</si>
  <si>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</si>
  <si>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</si>
  <si>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</si>
  <si>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</si>
  <si>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</si>
  <si>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</si>
  <si>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</si>
  <si>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</si>
  <si>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</si>
  <si>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</si>
  <si>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</si>
  <si>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</si>
  <si>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</si>
  <si>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</si>
  <si>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</si>
  <si>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</si>
  <si>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</si>
  <si>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</si>
  <si>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</si>
  <si>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</si>
  <si>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</si>
  <si>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</si>
  <si>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</si>
  <si>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</si>
  <si>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</si>
  <si>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</si>
  <si>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</si>
  <si>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</si>
  <si>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</si>
  <si>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</si>
  <si>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</si>
  <si>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</si>
  <si>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</si>
  <si>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</si>
  <si>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</si>
  <si>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</si>
  <si>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</si>
  <si>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</si>
  <si>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</si>
  <si>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</si>
  <si>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</si>
  <si>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</si>
  <si>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</si>
  <si>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</si>
  <si>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</si>
  <si>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</si>
  <si>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</si>
  <si>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</si>
  <si>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</si>
  <si>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</si>
  <si>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</si>
  <si>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</si>
  <si>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</si>
  <si>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</si>
  <si>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</si>
  <si>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</si>
  <si>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</si>
  <si>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</si>
  <si>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</si>
  <si>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</si>
  <si>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</si>
  <si>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</si>
  <si>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</si>
  <si>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</si>
  <si>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</si>
  <si>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</si>
  <si>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</si>
  <si>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</si>
  <si>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</si>
  <si>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</si>
  <si>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</si>
  <si>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</si>
  <si>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</si>
  <si>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</si>
  <si>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</si>
  <si>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</si>
  <si>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</si>
  <si>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</si>
  <si>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</si>
  <si>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</si>
  <si>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</si>
  <si>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</si>
  <si>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</si>
  <si>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</si>
  <si>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</si>
  <si>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</si>
  <si>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</si>
  <si>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</si>
  <si>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</si>
  <si>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</si>
  <si>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</si>
  <si>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</si>
  <si>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</si>
  <si>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</si>
  <si>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</si>
  <si>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</si>
  <si>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</si>
  <si>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</si>
  <si>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</si>
  <si>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</si>
  <si>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</si>
  <si>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</si>
  <si>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</si>
  <si>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</si>
  <si>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</si>
  <si>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</si>
  <si>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</si>
  <si>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</si>
  <si>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</si>
  <si>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</si>
  <si>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</si>
  <si>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</si>
  <si>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</si>
  <si>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</si>
  <si>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</si>
  <si>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</si>
  <si>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</si>
  <si>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</si>
  <si>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</si>
  <si>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</si>
  <si>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</si>
  <si>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</si>
  <si>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</si>
  <si>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</si>
  <si>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</si>
  <si>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</si>
  <si>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</si>
  <si>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</si>
  <si>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</si>
  <si>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</si>
  <si>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</si>
  <si>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</si>
  <si>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</si>
  <si>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</si>
  <si>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</si>
  <si>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</si>
  <si>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</si>
  <si>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</si>
  <si>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</si>
  <si>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</si>
  <si>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</si>
  <si>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</si>
  <si>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</si>
  <si>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</si>
  <si>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</si>
  <si>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</si>
  <si>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</si>
  <si>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</si>
  <si>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</si>
  <si>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</si>
  <si>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</si>
  <si>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</si>
  <si>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</si>
  <si>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</si>
  <si>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</si>
  <si>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</si>
  <si>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</si>
  <si>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</si>
  <si>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</si>
  <si>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</si>
  <si>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</si>
  <si>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</si>
  <si>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</si>
  <si>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</si>
  <si>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</si>
  <si>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</si>
  <si>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</si>
  <si>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</si>
  <si>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</si>
  <si>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</si>
  <si>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</si>
  <si>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</si>
  <si>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</si>
  <si>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</si>
  <si>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</si>
  <si>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</si>
  <si>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</si>
  <si>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</si>
  <si>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</si>
  <si>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</si>
  <si>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</si>
  <si>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</si>
  <si>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</si>
  <si>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</si>
  <si>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</si>
  <si>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</si>
  <si>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</si>
  <si>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</si>
  <si>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</si>
  <si>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</si>
  <si>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</si>
  <si>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</si>
  <si>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</si>
  <si>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</si>
  <si>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</si>
  <si>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</si>
  <si>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</si>
  <si>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</si>
  <si>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</si>
  <si>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</si>
  <si>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</si>
  <si>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</si>
  <si>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</si>
  <si>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</si>
  <si>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</si>
  <si>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</si>
  <si>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</si>
  <si>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</si>
  <si>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</si>
  <si>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</si>
  <si>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</si>
  <si>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</si>
  <si>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</si>
  <si>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</si>
  <si>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</si>
  <si>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</si>
  <si>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</si>
  <si>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</si>
  <si>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</si>
  <si>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</si>
  <si>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</si>
  <si>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</si>
  <si>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</si>
  <si>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</si>
  <si>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</si>
  <si>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</si>
  <si>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</si>
  <si>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</si>
  <si>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</si>
  <si>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</si>
  <si>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</si>
  <si>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</si>
  <si>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</si>
  <si>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</si>
  <si>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</si>
  <si>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</si>
  <si>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</si>
  <si>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</si>
  <si>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</si>
  <si>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</si>
  <si>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</si>
  <si>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</si>
  <si>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</si>
  <si>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</si>
  <si>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</si>
  <si>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</si>
  <si>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</si>
  <si>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</si>
  <si>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</si>
  <si>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</si>
  <si>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</si>
  <si>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</si>
  <si>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</si>
  <si>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</si>
  <si>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</si>
  <si>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</si>
  <si>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</si>
  <si>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</si>
  <si>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</si>
  <si>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</si>
  <si>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</si>
  <si>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</si>
  <si>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</si>
  <si>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</si>
  <si>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</si>
  <si>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</si>
  <si>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</si>
  <si>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</si>
  <si>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</si>
  <si>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</si>
  <si>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</si>
  <si>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</si>
  <si>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</si>
  <si>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</si>
  <si>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</si>
  <si>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</si>
  <si>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</si>
  <si>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</si>
  <si>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</si>
  <si>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</si>
  <si>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</si>
  <si>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</si>
  <si>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</si>
  <si>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</si>
  <si>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</si>
  <si>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</si>
  <si>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</si>
  <si>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</si>
  <si>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</si>
  <si>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</si>
  <si>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</si>
  <si>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</si>
  <si>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</si>
  <si>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</si>
  <si>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</si>
  <si>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</si>
  <si>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</si>
  <si>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</si>
  <si>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</si>
  <si>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</si>
  <si>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</si>
  <si>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</si>
  <si>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</si>
  <si>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</si>
  <si>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</si>
  <si>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</si>
  <si>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</si>
  <si>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</si>
  <si>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</si>
  <si>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</si>
  <si>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</si>
  <si>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</si>
  <si>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</si>
  <si>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</si>
  <si>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</si>
  <si>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</si>
  <si>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</si>
  <si>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</si>
  <si>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</si>
  <si>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</si>
  <si>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</si>
  <si>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</si>
  <si>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</si>
  <si>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</si>
  <si>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</si>
  <si>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</si>
  <si>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</si>
  <si>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</si>
  <si>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</si>
  <si>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</si>
  <si>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</si>
  <si>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</si>
  <si>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</si>
  <si>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</si>
  <si>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</si>
  <si>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</si>
  <si>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</si>
  <si>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</si>
  <si>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</si>
  <si>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</si>
  <si>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</si>
  <si>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</si>
  <si>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</si>
  <si>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</si>
  <si>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</si>
  <si>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</si>
  <si>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</si>
  <si>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</si>
  <si>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</si>
  <si>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</si>
  <si>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</si>
  <si>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</si>
  <si>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</si>
  <si>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</si>
  <si>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</si>
  <si>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</si>
  <si>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</si>
  <si>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</si>
  <si>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</si>
  <si>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</si>
  <si>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</si>
  <si>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</si>
  <si>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</si>
  <si>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</si>
  <si>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</si>
  <si>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</si>
  <si>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</si>
  <si>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</si>
  <si>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</si>
  <si>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</si>
  <si>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</si>
  <si>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</si>
  <si>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</si>
  <si>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</si>
  <si>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</si>
  <si>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</si>
  <si>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</si>
  <si>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</si>
  <si>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</si>
  <si>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</si>
  <si>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</si>
  <si>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</si>
  <si>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</si>
  <si>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</si>
  <si>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</si>
  <si>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</si>
  <si>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</si>
  <si>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</si>
  <si>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</si>
  <si>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</si>
  <si>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</si>
  <si>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</si>
  <si>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</si>
  <si>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</si>
  <si>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</si>
  <si>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</si>
  <si>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</si>
  <si>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</si>
  <si>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</si>
  <si>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</si>
  <si>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</si>
  <si>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</si>
  <si>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</si>
  <si>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</si>
  <si>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</si>
  <si>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</si>
  <si>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</si>
  <si>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</si>
  <si>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</si>
  <si>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</si>
  <si>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</si>
  <si>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</si>
  <si>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</si>
  <si>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</si>
  <si>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</si>
  <si>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</si>
  <si>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</si>
  <si>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</si>
  <si>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</si>
  <si>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</si>
  <si>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</si>
  <si>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</si>
  <si>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</si>
  <si>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</si>
  <si>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</si>
  <si>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</si>
  <si>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</si>
  <si>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</si>
  <si>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</si>
  <si>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</si>
  <si>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</si>
  <si>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</si>
  <si>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</si>
  <si>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</si>
  <si>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</si>
  <si>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</si>
  <si>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</si>
  <si>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</si>
  <si>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</si>
  <si>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</si>
  <si>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</si>
  <si>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</si>
  <si>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</si>
  <si>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</si>
  <si>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</si>
  <si>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</si>
  <si>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</si>
  <si>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</si>
  <si>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</si>
  <si>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</si>
  <si>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</si>
  <si>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</si>
  <si>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</si>
  <si>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</si>
  <si>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</si>
  <si>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</si>
  <si>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</si>
  <si>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</si>
  <si>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</si>
  <si>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</si>
  <si>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</si>
  <si>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</si>
  <si>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</si>
  <si>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</si>
  <si>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</si>
  <si>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</si>
  <si>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</si>
  <si>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</si>
  <si>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</si>
  <si>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</si>
  <si>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</si>
  <si>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</si>
  <si>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</si>
  <si>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</si>
  <si>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</si>
  <si>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</si>
  <si>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</si>
  <si>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</si>
  <si>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</si>
  <si>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</si>
  <si>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</si>
  <si>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</si>
  <si>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</si>
  <si>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</si>
  <si>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</si>
  <si>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</si>
  <si>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</si>
  <si>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</si>
  <si>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</si>
  <si>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</si>
  <si>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</si>
  <si>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</si>
  <si>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</si>
  <si>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</si>
  <si>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</si>
  <si>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</si>
  <si>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</si>
  <si>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</si>
  <si>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</si>
  <si>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</si>
  <si>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</si>
  <si>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</si>
  <si>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</si>
  <si>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</si>
  <si>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</si>
  <si>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</si>
  <si>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</si>
  <si>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</si>
  <si>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</si>
  <si>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</si>
  <si>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</si>
  <si>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</si>
  <si>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</si>
  <si>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</si>
  <si>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</si>
  <si>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</si>
  <si>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</si>
  <si>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</si>
  <si>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</si>
  <si>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</si>
  <si>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</si>
  <si>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</si>
  <si>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</si>
  <si>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</si>
  <si>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</si>
  <si>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</si>
  <si>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</si>
  <si>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</si>
  <si>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</si>
  <si>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</si>
  <si>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</si>
  <si>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</si>
  <si>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</si>
  <si>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</si>
  <si>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</si>
  <si>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</si>
  <si>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</si>
  <si>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</si>
  <si>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</si>
  <si>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</si>
  <si>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</si>
  <si>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</si>
  <si>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</si>
  <si>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</si>
  <si>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</si>
  <si>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</si>
  <si>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</si>
  <si>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</si>
  <si>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</si>
  <si>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</si>
  <si>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</si>
  <si>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</si>
  <si>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</si>
  <si>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</si>
  <si>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</si>
  <si>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</si>
  <si>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</si>
  <si>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</si>
  <si>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</si>
  <si>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</si>
  <si>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</si>
  <si>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</si>
  <si>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</si>
  <si>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</si>
  <si>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</si>
  <si>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</si>
  <si>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</si>
  <si>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</si>
  <si>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</si>
  <si>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</si>
  <si>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</si>
  <si>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</si>
  <si>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</si>
  <si>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</si>
  <si>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</si>
  <si>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</si>
  <si>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</si>
  <si>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</si>
  <si>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</si>
  <si>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</si>
  <si>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</si>
  <si>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</si>
  <si>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</si>
  <si>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</si>
  <si>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</si>
  <si>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</si>
  <si>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</si>
  <si>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</si>
  <si>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</si>
  <si>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</si>
  <si>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</si>
  <si>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</si>
  <si>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</si>
  <si>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</si>
  <si>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</si>
  <si>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</si>
  <si>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</si>
  <si>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</si>
  <si>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</si>
  <si>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</si>
  <si>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</si>
  <si>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</si>
  <si>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</si>
  <si>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</si>
  <si>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</si>
  <si>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</si>
  <si>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</si>
  <si>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</si>
  <si>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</si>
  <si>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</si>
  <si>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</si>
  <si>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</si>
  <si>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</si>
  <si>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</si>
  <si>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</si>
  <si>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</si>
  <si>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</si>
  <si>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</si>
  <si>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</si>
  <si>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</si>
  <si>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</si>
  <si>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</si>
  <si>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</si>
  <si>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</si>
  <si>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</si>
  <si>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</si>
  <si>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</si>
  <si>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</si>
  <si>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</si>
  <si>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</si>
  <si>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</si>
  <si>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</si>
  <si>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</si>
  <si>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</si>
  <si>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</si>
  <si>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</si>
  <si>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</si>
  <si>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</si>
  <si>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</si>
  <si>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</si>
  <si>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</si>
  <si>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</si>
  <si>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</si>
  <si>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</si>
  <si>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</si>
  <si>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</si>
  <si>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</si>
  <si>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</si>
  <si>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</si>
  <si>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</si>
  <si>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</si>
  <si>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</si>
  <si>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</si>
  <si>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</si>
  <si>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</si>
  <si>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</si>
  <si>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</si>
  <si>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</si>
  <si>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</si>
  <si>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</si>
  <si>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</si>
  <si>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</si>
  <si>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</si>
  <si>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</si>
  <si>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</si>
  <si>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</si>
  <si>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</si>
  <si>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</si>
  <si>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</si>
  <si>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</si>
  <si>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</si>
  <si>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</si>
  <si>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</si>
  <si>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</si>
  <si>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</si>
  <si>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</si>
  <si>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</si>
  <si>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</si>
  <si>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</si>
  <si>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</si>
  <si>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</si>
  <si>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</si>
  <si>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</si>
  <si>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</si>
  <si>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</si>
  <si>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</si>
  <si>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</si>
  <si>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</si>
  <si>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</si>
  <si>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</si>
  <si>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</si>
  <si>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</si>
  <si>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</si>
  <si>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</si>
  <si>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</si>
  <si>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</si>
  <si>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</si>
  <si>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</si>
  <si>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</si>
  <si>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</si>
  <si>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</si>
  <si>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</si>
  <si>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</si>
  <si>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</si>
  <si>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</si>
  <si>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</si>
  <si>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</si>
  <si>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</si>
  <si>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</si>
  <si>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</si>
  <si>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</si>
  <si>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</si>
  <si>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</si>
  <si>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</si>
  <si>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</si>
  <si>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</si>
  <si>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</si>
  <si>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</si>
  <si>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</si>
  <si>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</si>
  <si>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</si>
  <si>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</si>
  <si>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</si>
  <si>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</si>
  <si>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</si>
  <si>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</si>
  <si>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</si>
  <si>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</si>
  <si>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</si>
  <si>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</si>
  <si>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</si>
  <si>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</si>
  <si>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</si>
  <si>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</si>
  <si>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</si>
  <si>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</si>
  <si>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</si>
  <si>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</si>
  <si>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</si>
  <si>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</si>
  <si>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</si>
  <si>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</si>
  <si>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</si>
  <si>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</si>
  <si>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</si>
  <si>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</si>
  <si>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</si>
  <si>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</si>
  <si>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</si>
  <si>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</si>
  <si>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</si>
  <si>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</si>
  <si>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</si>
  <si>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</si>
  <si>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</si>
  <si>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</si>
  <si>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</si>
  <si>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</si>
  <si>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</si>
  <si>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</si>
  <si>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</si>
  <si>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</si>
  <si>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</si>
  <si>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</si>
  <si>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</si>
  <si>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</si>
  <si>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</si>
  <si>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</si>
  <si>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</si>
  <si>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</si>
  <si>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</si>
  <si>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</si>
  <si>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</si>
  <si>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</si>
  <si>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</si>
  <si>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</si>
  <si>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</si>
  <si>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</si>
  <si>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</si>
  <si>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</si>
  <si>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</si>
  <si>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</si>
  <si>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</si>
  <si>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</si>
  <si>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</si>
  <si>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</si>
  <si>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</si>
  <si>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</si>
  <si>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</si>
  <si>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</si>
  <si>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</si>
  <si>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</si>
  <si>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</si>
  <si>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</si>
  <si>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</si>
  <si>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</si>
  <si>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</si>
  <si>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</si>
  <si>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</si>
  <si>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</si>
  <si>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</si>
  <si>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</si>
  <si>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</si>
  <si>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</si>
  <si>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</si>
  <si>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</si>
  <si>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</si>
  <si>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</si>
  <si>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</si>
  <si>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</si>
  <si>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</si>
  <si>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</si>
  <si>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</si>
  <si>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</si>
  <si>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</si>
  <si>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</si>
  <si>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</si>
  <si>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</si>
  <si>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</si>
  <si>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</si>
  <si>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</si>
  <si>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</si>
  <si>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</si>
  <si>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</si>
  <si>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</si>
  <si>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</si>
  <si>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</si>
  <si>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</si>
  <si>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</si>
  <si>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</si>
  <si>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</si>
  <si>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</si>
  <si>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</si>
  <si>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</si>
  <si>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</si>
  <si>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</si>
  <si>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</si>
  <si>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</si>
  <si>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</si>
  <si>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</si>
  <si>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</si>
  <si>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</si>
  <si>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</si>
  <si>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</si>
  <si>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</si>
  <si>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</si>
  <si>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</si>
  <si>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</si>
  <si>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</si>
  <si>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</si>
  <si>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</si>
  <si>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</si>
  <si>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</si>
  <si>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</si>
  <si>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</si>
  <si>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</si>
  <si>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</si>
  <si>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</si>
  <si>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</si>
  <si>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</si>
  <si>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</si>
  <si>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</si>
  <si>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</si>
  <si>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</si>
  <si>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</si>
  <si>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</si>
  <si>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</si>
  <si>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</si>
  <si>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</si>
  <si>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</si>
  <si>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</si>
  <si>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</si>
  <si>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</si>
  <si>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</si>
  <si>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</si>
  <si>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</si>
  <si>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</si>
  <si>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</si>
  <si>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</si>
  <si>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</si>
  <si>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</si>
  <si>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</si>
  <si>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</si>
  <si>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</si>
  <si>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</si>
  <si>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</si>
  <si>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</si>
  <si>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</si>
  <si>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</si>
  <si>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</si>
  <si>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</si>
  <si>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</si>
  <si>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</si>
  <si>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</si>
  <si>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</si>
  <si>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</si>
  <si>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</si>
  <si>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</si>
  <si>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</si>
  <si>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</si>
  <si>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</si>
  <si>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</si>
  <si>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</si>
  <si>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</si>
  <si>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</si>
  <si>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</si>
  <si>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</si>
  <si>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</si>
  <si>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</si>
  <si>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</si>
  <si>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</si>
  <si>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</si>
  <si>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</si>
  <si>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</si>
  <si>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</si>
  <si>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</si>
  <si>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</si>
  <si>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</si>
  <si>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</si>
  <si>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</si>
  <si>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</si>
  <si>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</si>
  <si>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</si>
  <si>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</si>
  <si>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</si>
  <si>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</si>
  <si>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</si>
  <si>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</si>
  <si>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</si>
  <si>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</si>
  <si>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</si>
  <si>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</si>
  <si>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</si>
  <si>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</si>
  <si>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</si>
  <si>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</si>
  <si>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</si>
  <si>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</si>
  <si>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</si>
  <si>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</si>
  <si>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</si>
  <si>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</si>
  <si>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</si>
  <si>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</si>
  <si>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</si>
  <si>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</si>
  <si>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</si>
  <si>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</si>
  <si>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</si>
  <si>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</si>
  <si>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</si>
  <si>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</si>
  <si>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</si>
  <si>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</si>
  <si>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</si>
  <si>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</si>
  <si>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</si>
  <si>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</si>
  <si>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</si>
  <si>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</si>
  <si>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</si>
  <si>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</si>
  <si>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</si>
  <si>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</si>
  <si>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</si>
  <si>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</si>
  <si>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</si>
  <si>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</si>
  <si>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</si>
  <si>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</si>
  <si>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</si>
  <si>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</si>
  <si>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</si>
  <si>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</si>
  <si>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</si>
  <si>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</si>
  <si>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核定资产</t>
  </si>
  <si>
    <t>房地产市场价值</t>
  </si>
  <si>
    <t>其他：</t>
  </si>
  <si>
    <t>新疆省</t>
    <phoneticPr fontId="6" type="noConversion"/>
  </si>
  <si>
    <r>
      <rPr>
        <sz val="12"/>
        <color theme="9" tint="-0.249977111117893"/>
        <rFont val="宋体"/>
        <family val="3"/>
        <charset val="134"/>
      </rPr>
      <t>昌吉市延安南路</t>
    </r>
    <r>
      <rPr>
        <sz val="12"/>
        <color theme="9" tint="-0.249977111117893"/>
        <rFont val="Arial"/>
        <family val="2"/>
      </rPr>
      <t>46</t>
    </r>
    <r>
      <rPr>
        <sz val="12"/>
        <color theme="9" tint="-0.249977111117893"/>
        <rFont val="宋体"/>
        <family val="3"/>
        <charset val="134"/>
      </rPr>
      <t>号小区</t>
    </r>
    <phoneticPr fontId="6" type="noConversion"/>
  </si>
  <si>
    <t>企业</t>
  </si>
  <si>
    <t>新疆恒景房地产开发有限公司</t>
    <phoneticPr fontId="6" type="noConversion"/>
  </si>
  <si>
    <t>出让</t>
  </si>
  <si>
    <r>
      <t>1</t>
    </r>
    <r>
      <rPr>
        <sz val="10"/>
        <color indexed="8"/>
        <rFont val="宋体"/>
        <family val="3"/>
        <charset val="134"/>
      </rPr>
      <t>层</t>
    </r>
    <phoneticPr fontId="3" type="noConversion"/>
  </si>
  <si>
    <r>
      <t>2</t>
    </r>
    <r>
      <rPr>
        <sz val="10"/>
        <color indexed="8"/>
        <rFont val="宋体"/>
        <family val="3"/>
        <charset val="134"/>
      </rPr>
      <t>层</t>
    </r>
    <phoneticPr fontId="3" type="noConversion"/>
  </si>
  <si>
    <t>车库</t>
  </si>
  <si>
    <t>是</t>
  </si>
  <si>
    <t>否</t>
  </si>
  <si>
    <t>地上</t>
  </si>
  <si>
    <t>独立商业</t>
  </si>
  <si>
    <t>地下</t>
  </si>
  <si>
    <t>车库—商业</t>
  </si>
  <si>
    <r>
      <t>1</t>
    </r>
    <r>
      <rPr>
        <sz val="10"/>
        <color indexed="8"/>
        <rFont val="宋体"/>
        <family val="3"/>
        <charset val="134"/>
      </rPr>
      <t>层</t>
    </r>
    <phoneticPr fontId="7" type="noConversion"/>
  </si>
  <si>
    <r>
      <t>2</t>
    </r>
    <r>
      <rPr>
        <sz val="10"/>
        <color indexed="8"/>
        <rFont val="宋体"/>
        <family val="3"/>
        <charset val="134"/>
      </rPr>
      <t>层</t>
    </r>
    <phoneticPr fontId="7" type="noConversion"/>
  </si>
  <si>
    <t>成新度</t>
  </si>
  <si>
    <t>收益法 (元)</t>
  </si>
  <si>
    <t>1层</t>
  </si>
  <si>
    <t>钢混</t>
  </si>
  <si>
    <t>非生产用房</t>
  </si>
  <si>
    <t>比较法</t>
  </si>
  <si>
    <t>押一</t>
  </si>
  <si>
    <t>售价</t>
  </si>
  <si>
    <t>正常</t>
    <phoneticPr fontId="31" type="noConversion"/>
  </si>
  <si>
    <t>现房</t>
  </si>
  <si>
    <t>比较法-商业</t>
  </si>
  <si>
    <t>收益法 (元) 办公</t>
  </si>
  <si>
    <t>收益法 (元) 办公</t>
    <phoneticPr fontId="16" type="noConversion"/>
  </si>
  <si>
    <t>2层</t>
  </si>
  <si>
    <t>正常</t>
    <phoneticPr fontId="32" type="noConversion"/>
  </si>
  <si>
    <t>办公</t>
    <phoneticPr fontId="32" type="noConversion"/>
  </si>
  <si>
    <t>30-40（含）</t>
  </si>
  <si>
    <t>比较法-办公</t>
  </si>
  <si>
    <t>商业</t>
    <phoneticPr fontId="31" type="noConversion"/>
  </si>
  <si>
    <t>恒景国际</t>
    <phoneticPr fontId="3" type="noConversion"/>
  </si>
  <si>
    <t>中山新街口</t>
    <phoneticPr fontId="3" type="noConversion"/>
  </si>
  <si>
    <t>和谐玫瑰园</t>
    <phoneticPr fontId="3" type="noConversion"/>
  </si>
  <si>
    <t>一层</t>
    <phoneticPr fontId="143" type="noConversion"/>
  </si>
  <si>
    <t>二层</t>
    <phoneticPr fontId="143" type="noConversion"/>
  </si>
  <si>
    <t>一般</t>
  </si>
  <si>
    <t>较好</t>
  </si>
  <si>
    <t>七通</t>
  </si>
  <si>
    <t>七通</t>
    <phoneticPr fontId="31" type="noConversion"/>
  </si>
  <si>
    <t>较好</t>
    <phoneticPr fontId="31" type="noConversion"/>
  </si>
  <si>
    <t>单面临街</t>
    <phoneticPr fontId="31" type="noConversion"/>
  </si>
  <si>
    <t>写字楼底商</t>
  </si>
  <si>
    <t>写字楼底商</t>
    <phoneticPr fontId="31" type="noConversion"/>
  </si>
  <si>
    <t>钢混</t>
    <phoneticPr fontId="31" type="noConversion"/>
  </si>
  <si>
    <t>六通</t>
    <phoneticPr fontId="31" type="noConversion"/>
  </si>
  <si>
    <t>4.2</t>
    <phoneticPr fontId="31" type="noConversion"/>
  </si>
  <si>
    <t>毛坯</t>
    <phoneticPr fontId="31" type="noConversion"/>
  </si>
  <si>
    <t>精装</t>
    <phoneticPr fontId="31" type="noConversion"/>
  </si>
  <si>
    <t>估价对象周边办公楼项目数量一般，入驻率较高，办公集聚程度一般</t>
    <phoneticPr fontId="25" type="noConversion"/>
  </si>
  <si>
    <t>七通</t>
    <phoneticPr fontId="32" type="noConversion"/>
  </si>
  <si>
    <t>快速路</t>
    <phoneticPr fontId="32" type="noConversion"/>
  </si>
  <si>
    <t>主干道</t>
  </si>
  <si>
    <t>主干道</t>
    <phoneticPr fontId="32" type="noConversion"/>
  </si>
  <si>
    <t>次干道</t>
    <phoneticPr fontId="32" type="noConversion"/>
  </si>
  <si>
    <t>支路</t>
    <phoneticPr fontId="32" type="noConversion"/>
  </si>
  <si>
    <t>商业综合体</t>
    <phoneticPr fontId="32" type="noConversion"/>
  </si>
  <si>
    <t>钢混</t>
    <phoneticPr fontId="32" type="noConversion"/>
  </si>
  <si>
    <t>精装</t>
    <phoneticPr fontId="32" type="noConversion"/>
  </si>
  <si>
    <t>六通</t>
    <phoneticPr fontId="32" type="noConversion"/>
  </si>
  <si>
    <t>毛坯</t>
    <phoneticPr fontId="32" type="noConversion"/>
  </si>
  <si>
    <t>较好</t>
    <phoneticPr fontId="32" type="noConversion"/>
  </si>
  <si>
    <t>环宇广场</t>
    <phoneticPr fontId="3" type="noConversion"/>
  </si>
  <si>
    <t>估价对象周边办公楼项目数量一般，入驻率较高，办公集聚程度一般</t>
    <phoneticPr fontId="32" type="noConversion"/>
  </si>
  <si>
    <t>估价对象周边道路状况、公共交通通达情况、停车便捷程度，综合评价交通便捷度较好</t>
    <phoneticPr fontId="32" type="noConversion"/>
  </si>
  <si>
    <t>估价对象周边道路状况、公共交通通达情况、停车便捷程度，综合评价交通便捷度一般</t>
    <phoneticPr fontId="32" type="noConversion"/>
  </si>
  <si>
    <t>估价对象周边道路状况、公共交通通达情况、停车便捷程度，综合评价交通便捷度较好</t>
    <phoneticPr fontId="32" type="noConversion"/>
  </si>
  <si>
    <t>估价对象所在区域基础设施七通</t>
    <phoneticPr fontId="25" type="noConversion"/>
  </si>
  <si>
    <t>估价对象所在区域公共配套设施较齐备</t>
    <phoneticPr fontId="32" type="noConversion"/>
  </si>
  <si>
    <t>估价对象所在区域基础设施七通</t>
    <phoneticPr fontId="31" type="noConversion"/>
  </si>
  <si>
    <t>估价对象所在区域基础设施七通</t>
    <phoneticPr fontId="31" type="noConversion"/>
  </si>
  <si>
    <t>估价对象所在区域基础设施七通</t>
    <phoneticPr fontId="32" type="noConversion"/>
  </si>
  <si>
    <t>估价对象所在区域基础设施七通</t>
    <phoneticPr fontId="32" type="noConversion"/>
  </si>
  <si>
    <t>区域自然环境：；人文环境；综合评价环境状况较好</t>
    <phoneticPr fontId="32" type="noConversion"/>
  </si>
  <si>
    <t>区域自然环境：；人文环境；综合评价环境状况一般</t>
    <phoneticPr fontId="32" type="noConversion"/>
  </si>
  <si>
    <t>延安南路</t>
    <phoneticPr fontId="32" type="noConversion"/>
  </si>
  <si>
    <t>北京路</t>
    <phoneticPr fontId="32" type="noConversion"/>
  </si>
  <si>
    <t>广宁路</t>
    <phoneticPr fontId="32" type="noConversion"/>
  </si>
  <si>
    <t>2018-1-0276-P01HDZC2</t>
    <phoneticPr fontId="6" type="noConversion"/>
  </si>
  <si>
    <t>新华人寿保险股份有限公司新疆分公司</t>
    <phoneticPr fontId="6" type="noConversion"/>
  </si>
  <si>
    <r>
      <rPr>
        <sz val="12"/>
        <color theme="9" tint="-0.249977111117893"/>
        <rFont val="宋体"/>
        <family val="3"/>
        <charset val="134"/>
      </rPr>
      <t>《房产面积测量成果报告》</t>
    </r>
    <r>
      <rPr>
        <sz val="12"/>
        <color theme="9" tint="-0.249977111117893"/>
        <rFont val="Arial"/>
        <family val="2"/>
      </rPr>
      <t>[</t>
    </r>
    <r>
      <rPr>
        <sz val="12"/>
        <color theme="9" tint="-0.249977111117893"/>
        <rFont val="宋体"/>
        <family val="3"/>
        <charset val="134"/>
      </rPr>
      <t>海清房产测绘（</t>
    </r>
    <r>
      <rPr>
        <sz val="12"/>
        <color theme="9" tint="-0.249977111117893"/>
        <rFont val="Arial"/>
        <family val="2"/>
      </rPr>
      <t>2017-08</t>
    </r>
    <r>
      <rPr>
        <sz val="12"/>
        <color theme="9" tint="-0.249977111117893"/>
        <rFont val="宋体"/>
        <family val="3"/>
        <charset val="134"/>
      </rPr>
      <t>）第预测变更</t>
    </r>
    <r>
      <rPr>
        <sz val="12"/>
        <color theme="9" tint="-0.249977111117893"/>
        <rFont val="Arial"/>
        <family val="2"/>
      </rPr>
      <t>001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</si>
  <si>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昌市国用（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20160073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、《房产面积测量成果报告》</t>
    </r>
    <r>
      <rPr>
        <sz val="12"/>
        <color theme="9" tint="-0.249977111117893"/>
        <rFont val="Arial"/>
        <family val="2"/>
      </rPr>
      <t>[</t>
    </r>
    <r>
      <rPr>
        <sz val="12"/>
        <color theme="9" tint="-0.249977111117893"/>
        <rFont val="宋体"/>
        <family val="3"/>
        <charset val="134"/>
      </rPr>
      <t>海清房产测绘（</t>
    </r>
    <r>
      <rPr>
        <sz val="12"/>
        <color theme="9" tint="-0.249977111117893"/>
        <rFont val="Arial"/>
        <family val="2"/>
      </rPr>
      <t>2017-08</t>
    </r>
    <r>
      <rPr>
        <sz val="12"/>
        <color theme="9" tint="-0.249977111117893"/>
        <rFont val="宋体"/>
        <family val="3"/>
        <charset val="134"/>
      </rPr>
      <t>）第预测变更</t>
    </r>
    <r>
      <rPr>
        <sz val="12"/>
        <color theme="9" tint="-0.249977111117893"/>
        <rFont val="Arial"/>
        <family val="2"/>
      </rPr>
      <t>001</t>
    </r>
    <r>
      <rPr>
        <sz val="12"/>
        <color theme="9" tint="-0.249977111117893"/>
        <rFont val="宋体"/>
        <family val="3"/>
        <charset val="134"/>
      </rPr>
      <t>号</t>
    </r>
    <r>
      <rPr>
        <sz val="12"/>
        <color theme="9" tint="-0.249977111117893"/>
        <rFont val="Arial"/>
        <family val="2"/>
      </rPr>
      <t>]</t>
    </r>
    <phoneticPr fontId="6" type="noConversion"/>
  </si>
  <si>
    <t>原件</t>
  </si>
  <si>
    <t>通路</t>
  </si>
  <si>
    <t>通电</t>
  </si>
  <si>
    <t>通讯</t>
  </si>
  <si>
    <t>通上水</t>
  </si>
  <si>
    <t>通下水</t>
  </si>
  <si>
    <t>通热</t>
  </si>
  <si>
    <t>收益比率</t>
  </si>
  <si>
    <t>总价</t>
  </si>
  <si>
    <t>按租金收入计税</t>
  </si>
  <si>
    <t>低区</t>
    <phoneticPr fontId="32" type="noConversion"/>
  </si>
  <si>
    <t>市调</t>
    <phoneticPr fontId="143" type="noConversion"/>
  </si>
  <si>
    <t>和谐玫瑰园</t>
    <phoneticPr fontId="143" type="noConversion"/>
  </si>
  <si>
    <r>
      <t>2</t>
    </r>
    <r>
      <rPr>
        <sz val="11"/>
        <color theme="1"/>
        <rFont val="宋体"/>
        <family val="3"/>
        <charset val="134"/>
        <scheme val="minor"/>
      </rPr>
      <t>017年年底一层22000</t>
    </r>
    <phoneticPr fontId="143" type="noConversion"/>
  </si>
  <si>
    <r>
      <t>2</t>
    </r>
    <r>
      <rPr>
        <sz val="11"/>
        <color theme="1"/>
        <rFont val="宋体"/>
        <family val="3"/>
        <charset val="134"/>
        <scheme val="minor"/>
      </rPr>
      <t>018年新盘预计一层25000-30000,2层8000+，租金3元左右</t>
    </r>
    <phoneticPr fontId="143" type="noConversion"/>
  </si>
  <si>
    <t>中山新街口</t>
    <phoneticPr fontId="143" type="noConversion"/>
  </si>
  <si>
    <r>
      <t>一层2</t>
    </r>
    <r>
      <rPr>
        <sz val="11"/>
        <color theme="1"/>
        <rFont val="宋体"/>
        <family val="3"/>
        <charset val="134"/>
        <scheme val="minor"/>
      </rPr>
      <t>8000，二层8800</t>
    </r>
    <phoneticPr fontId="143" type="noConversion"/>
  </si>
  <si>
    <r>
      <t>一层租金2</t>
    </r>
    <r>
      <rPr>
        <sz val="11"/>
        <color theme="1"/>
        <rFont val="宋体"/>
        <family val="3"/>
        <charset val="134"/>
        <scheme val="minor"/>
      </rPr>
      <t>.5+</t>
    </r>
    <phoneticPr fontId="143" type="noConversion"/>
  </si>
  <si>
    <t>环宇广场</t>
    <phoneticPr fontId="143" type="noConversion"/>
  </si>
  <si>
    <r>
      <t>一层2</t>
    </r>
    <r>
      <rPr>
        <sz val="11"/>
        <color theme="1"/>
        <rFont val="宋体"/>
        <family val="3"/>
        <charset val="134"/>
        <scheme val="minor"/>
      </rPr>
      <t>7000</t>
    </r>
    <phoneticPr fontId="143" type="noConversion"/>
  </si>
  <si>
    <t>租金3元左右</t>
    <phoneticPr fontId="143" type="noConversion"/>
  </si>
  <si>
    <t>估价对象周边道路路网密集，有延安南路、塔城东路、公共交通通达情况较好，有1路、54路、44路，停车便捷程度较好，综合评价交通便捷度较好</t>
    <phoneticPr fontId="41" type="noConversion"/>
  </si>
  <si>
    <t>估价对象所在区域有中国工商银行、昌吉市北京南路石油新村社区卫生服务站、铭日商店、昌吉市第五小学，公共配套设施较较齐备</t>
    <phoneticPr fontId="41" type="noConversion"/>
  </si>
  <si>
    <t>估价对象周边商业氛围一般，有华阳广场，人流量一般，商业繁华度一般</t>
    <phoneticPr fontId="25" type="noConversion"/>
  </si>
  <si>
    <t>估价对象周边道路路网密集，有延安南路，公共交通通达情况较好，有1路、54路、42路，停车便捷程度较好，综合评价交通便捷度较好</t>
    <phoneticPr fontId="31" type="noConversion"/>
  </si>
  <si>
    <t>估价对象周边商业氛围一般，有华阳广场，人流量一般，商业繁华度一般</t>
    <phoneticPr fontId="31" type="noConversion"/>
  </si>
  <si>
    <t>估价对象周边商业氛围一般，有华阳广场，人流量一般，商业繁华度一般</t>
    <phoneticPr fontId="31" type="noConversion"/>
  </si>
  <si>
    <t>估价对象周边道路路网密集，有延安南路、塔城东路、公共交通通达情况较好，有1路、54路、44路，停车便捷程度较好，综合评价交通便捷度较好</t>
    <phoneticPr fontId="31" type="noConversion"/>
  </si>
  <si>
    <t>区域内有晋昌公园，自然环境较好；有昌吉回族自治州技师培训学院，人文环境较好；综合评价环境状况较好</t>
    <phoneticPr fontId="41" type="noConversion"/>
  </si>
  <si>
    <t>区域内有晋昌公园，自然环境较好；有昌吉回族自治州技师培训学院，人文环境较好；综合评价环境状况较好</t>
    <phoneticPr fontId="31" type="noConversion"/>
  </si>
  <si>
    <t>估价对象所在区域有中国工商银行、昌吉市北京南路石油新村社区卫生服务站、铭日商店、昌吉市第五小学，公共配套设施较较齐备</t>
    <phoneticPr fontId="31" type="noConversion"/>
  </si>
  <si>
    <t>区域内有晋昌公园，自然环境较好；有昌吉回族自治州技师培训学院，人文环境较好；综合评价环境状况较好</t>
    <phoneticPr fontId="31" type="noConversion"/>
  </si>
  <si>
    <t>估价对象所在区域有中国交通银行、昌吉回族自治州中医医院、隆源超市、新疆昌吉州第二中学，公共配套设施较较齐备</t>
    <phoneticPr fontId="31" type="noConversion"/>
  </si>
  <si>
    <t>估价对象周边道路路网密集，有中山南路、南公园西路，公共交通通达情况一般，有6路、55路，停车便捷程度较好，综合评价交通便捷度较好</t>
    <phoneticPr fontId="31" type="noConversion"/>
  </si>
  <si>
    <t>估价对象周边商业氛围一般，有昌吉友好时尚购物中心，人流量一般，商业繁华度一般</t>
    <phoneticPr fontId="31" type="noConversion"/>
  </si>
  <si>
    <t>估价对象所在区域有中国建设银行、昌吉市妇幼保健院、新百汇超市、昌吉市第七小学，公共配套设施较较齐备</t>
    <phoneticPr fontId="31" type="noConversion"/>
  </si>
  <si>
    <t>区域内无自然景观，自然环境较差；有昌吉学院，人文环境较好；综合评价环境状况一般</t>
    <phoneticPr fontId="31" type="noConversion"/>
  </si>
  <si>
    <t>估价对象所在区域基础设施“七通”</t>
    <phoneticPr fontId="31" type="noConversion"/>
  </si>
  <si>
    <t>精装</t>
    <phoneticPr fontId="31" type="noConversion"/>
  </si>
  <si>
    <t>普通装修</t>
  </si>
  <si>
    <t>普通装修</t>
    <phoneticPr fontId="31" type="noConversion"/>
  </si>
  <si>
    <t>简单装修</t>
    <phoneticPr fontId="31" type="noConversion"/>
  </si>
  <si>
    <t>毛坯</t>
  </si>
  <si>
    <t>毛坯</t>
    <phoneticPr fontId="31" type="noConversion"/>
  </si>
  <si>
    <t>精装</t>
    <phoneticPr fontId="25" type="noConversion"/>
  </si>
  <si>
    <t>普装</t>
  </si>
  <si>
    <t>普装</t>
    <phoneticPr fontId="25" type="noConversion"/>
  </si>
  <si>
    <t>简装</t>
    <phoneticPr fontId="25" type="noConversion"/>
  </si>
  <si>
    <t>毛坯</t>
    <phoneticPr fontId="25"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</si>
</sst>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9" fontId="50" fillId="0" borderId="24" xfId="0" applyNumberFormat="1" applyFont="1" applyBorder="1" applyProtection="1">
      <alignment vertical="center"/>
      <protection locked="0"/>
    </xf>
    <xf numFmtId="0" fontId="0" fillId="9" borderId="0" xfId="0" applyFill="1">
      <alignment vertical="center"/>
    </xf>
    <xf numFmtId="0" fontId="0" fillId="0" borderId="0" xfId="0" applyFill="1">
      <alignment vertical="center"/>
    </xf>
    <xf numFmtId="181" fontId="47" fillId="0" borderId="24" xfId="0" applyNumberFormat="1" applyFont="1" applyFill="1" applyBorder="1" applyAlignment="1" applyProtection="1">
      <alignment vertical="center"/>
      <protection locked="0"/>
    </xf>
    <xf numFmtId="0" fontId="50" fillId="5" borderId="1" xfId="0" applyFont="1" applyFill="1" applyBorder="1" applyAlignment="1" applyProtection="1">
      <alignment horizontal="left" vertical="center" wrapText="1"/>
      <protection locked="0"/>
    </xf>
    <xf numFmtId="0" fontId="98" fillId="2" borderId="5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D39" sqref="D3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新疆省昌吉市延安南路46号小区房地产市场价值预评估</v>
      </c>
    </row>
    <row r="3" spans="1:2" s="1596" customFormat="1">
      <c r="A3" s="1594" t="s">
        <v>1221</v>
      </c>
      <c r="B3" s="1595" t="str">
        <f>'预评函-封皮'!B40</f>
        <v>新华人寿保险股份有限公司新疆分公司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康正预评字2018-1-0276-P01HDZC2号</v>
      </c>
    </row>
    <row r="6" spans="1:2" s="1593" customFormat="1" ht="15" thickTop="1">
      <c r="A6" s="1591" t="s">
        <v>1224</v>
      </c>
      <c r="B6" s="1592" t="str">
        <f>'预评函-1'!A4</f>
        <v>受贵公司委托，我公司对新疆省昌吉市延安南路46号小区房地产市场价值进行了预评估。</v>
      </c>
    </row>
    <row r="7" spans="1:2" s="1596" customFormat="1">
      <c r="A7" s="1594" t="s">
        <v>1264</v>
      </c>
      <c r="B7" s="1595" t="str">
        <f>'预评函-1'!A7</f>
        <v>估价对象为新疆省昌吉市延安南路46号小区房地产，为新疆恒景房地产开发有限公司所有。根据《国有土地使用证》[昌市国用（2016）第20160073号]、《房产面积测量成果报告》[海清房产测绘（2017-08）第预测变更001号]，估价对象（分摊）出让国有建设用地使用权面积为698.38平方米，建筑面积为2729.87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新疆省昌吉市延安南路46号小区房地产,属新疆恒景房地产开发有限公司开发建设的，该项目尚在开发建设中。根据《国有土地使用证》[昌市国用（2016）第20160073号]、《房产面积测量成果报告》[海清房产测绘（2017-08）第预测变更001号]，估价对象（分摊）出让国有建设用地使用权面积为698.38平方米，规划建筑面积为2729.87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2018年4月24日（评估专业人员实地查勘之日）</v>
      </c>
    </row>
    <row r="13" spans="1:2" s="1596" customFormat="1">
      <c r="A13" s="1594" t="s">
        <v>1227</v>
      </c>
      <c r="B13" s="1595" t="str">
        <f>'预评函-1'!A18</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803</v>
      </c>
    </row>
    <row r="21" spans="1:2" s="1596" customFormat="1">
      <c r="A21" s="1594" t="s">
        <v>1235</v>
      </c>
      <c r="B21" s="1595">
        <f ca="1">'预评函-2'!D7</f>
        <v>22951</v>
      </c>
    </row>
    <row r="22" spans="1:2" s="1596" customFormat="1">
      <c r="A22" s="1594" t="s">
        <v>1236</v>
      </c>
      <c r="B22" s="1595" t="str">
        <f ca="1">'预评函-2'!D6</f>
        <v>捌佰零叁万元整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803</v>
      </c>
    </row>
    <row r="31" spans="1:2" s="1596" customFormat="1">
      <c r="A31" s="1594" t="s">
        <v>1274</v>
      </c>
      <c r="B31" s="1595">
        <f ca="1">'预评函-2'!D15</f>
        <v>2942</v>
      </c>
    </row>
    <row r="32" spans="1:2" s="1596" customFormat="1">
      <c r="A32" s="1594" t="s">
        <v>1241</v>
      </c>
      <c r="B32" s="1595" t="str">
        <f ca="1">'预评函-2'!D14</f>
        <v>捌佰零叁万元整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新疆省昌吉市延安南路46号小区房地产</v>
      </c>
    </row>
    <row r="42" spans="1:2" s="1596" customFormat="1">
      <c r="A42" s="1594" t="s">
        <v>1288</v>
      </c>
      <c r="B42" s="1595" t="str">
        <f>'预评函-3'!B2</f>
        <v>建筑面积</v>
      </c>
    </row>
    <row r="43" spans="1:2" s="1596" customFormat="1">
      <c r="A43" s="1594" t="s">
        <v>1289</v>
      </c>
      <c r="B43" s="1595">
        <f>'预评函-3'!B4</f>
        <v>2729.87</v>
      </c>
    </row>
    <row r="44" spans="1:2" s="1596" customFormat="1">
      <c r="A44" s="1594" t="s">
        <v>1273</v>
      </c>
      <c r="B44" s="1595" t="str">
        <f>'预评函-3'!C2</f>
        <v>(分摊)土地面积</v>
      </c>
    </row>
    <row r="45" spans="1:2" s="1596" customFormat="1">
      <c r="A45" s="1594" t="s">
        <v>1245</v>
      </c>
      <c r="B45" s="1595">
        <f>'预评函-3'!C4</f>
        <v>698.38</v>
      </c>
    </row>
    <row r="46" spans="1:2" s="1596" customFormat="1">
      <c r="A46" s="1594" t="s">
        <v>1271</v>
      </c>
      <c r="B46" s="1595" t="str">
        <f>'预评函-3'!D2</f>
        <v>出让国有建设用地使用权价值</v>
      </c>
    </row>
    <row r="47" spans="1:2" s="1596" customFormat="1">
      <c r="A47" s="1594" t="s">
        <v>1246</v>
      </c>
      <c r="B47" s="1595">
        <f ca="1">'预评函-3'!D4</f>
        <v>451</v>
      </c>
    </row>
    <row r="48" spans="1:2" s="1596" customFormat="1">
      <c r="A48" s="1594" t="s">
        <v>1247</v>
      </c>
      <c r="B48" s="1595">
        <f ca="1">'预评函-3'!E4</f>
        <v>12890</v>
      </c>
    </row>
    <row r="49" spans="1:2" s="1596" customFormat="1">
      <c r="A49" s="1594" t="s">
        <v>1248</v>
      </c>
      <c r="B49" s="1595" t="str">
        <f ca="1">'预评函-3'!D5</f>
        <v>肆佰伍拾壹万元整</v>
      </c>
    </row>
    <row r="50" spans="1:2" s="1596" customFormat="1">
      <c r="A50" s="1594" t="s">
        <v>1272</v>
      </c>
      <c r="B50" s="1595" t="str">
        <f>'预评函-3'!F2</f>
        <v>在建建筑物价值</v>
      </c>
    </row>
    <row r="51" spans="1:2" s="1596" customFormat="1">
      <c r="A51" s="1594" t="s">
        <v>1249</v>
      </c>
      <c r="B51" s="1595">
        <f ca="1">'预评函-3'!F4</f>
        <v>352</v>
      </c>
    </row>
    <row r="52" spans="1:2" s="1596" customFormat="1">
      <c r="A52" s="1594" t="s">
        <v>1250</v>
      </c>
      <c r="B52" s="1595">
        <f ca="1">'预评函-3'!G4</f>
        <v>10061</v>
      </c>
    </row>
    <row r="53" spans="1:2" s="1596" customFormat="1">
      <c r="A53" s="1594" t="s">
        <v>1278</v>
      </c>
      <c r="B53" s="1595" t="str">
        <f ca="1">'预评函-3'!F5</f>
        <v>叁佰伍拾贰万元整</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X20" sqref="X2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省昌吉市延安南路46号小区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25" t="s">
        <v>864</v>
      </c>
      <c r="C54" s="2022" t="s">
        <v>1281</v>
      </c>
    </row>
    <row r="55" spans="1:4">
      <c r="A55" s="3045"/>
      <c r="B55" s="2025" t="s">
        <v>865</v>
      </c>
      <c r="C55" s="2022" t="s">
        <v>1282</v>
      </c>
    </row>
    <row r="56" spans="1:4">
      <c r="A56" s="3045"/>
      <c r="B56" s="2025" t="s">
        <v>866</v>
      </c>
      <c r="C56" s="2022" t="s">
        <v>1286</v>
      </c>
    </row>
    <row r="57" spans="1:4">
      <c r="A57" s="304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F16" sqref="F16:I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54" t="str">
        <f>IF(B10="北京市","北京市",C10)&amp;F10&amp;IF(结果表!G1="在建","出让国有建设用地使用权及在建建筑物",IF(结果表!G1="土地","出让国有建设用地使用权",))&amp;B9&amp;"预评估"</f>
        <v>新疆省昌吉市延安南路46号小区房地产市场价值预评估</v>
      </c>
      <c r="C1" s="3055"/>
      <c r="D1" s="3055"/>
      <c r="E1" s="3055"/>
      <c r="F1" s="3055"/>
      <c r="G1" s="3055"/>
      <c r="H1" s="3055"/>
      <c r="I1" s="305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新疆省昌吉市延安南路46号小区房地产市场价值</v>
      </c>
    </row>
    <row r="2" spans="1:19" ht="18" customHeight="1">
      <c r="A2" s="2029" t="s">
        <v>1777</v>
      </c>
      <c r="B2" s="1042" t="s">
        <v>3130</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新疆省昌吉市延安南路46号小区房地产</v>
      </c>
    </row>
    <row r="3" spans="1:19" ht="18" customHeight="1">
      <c r="A3" s="2038" t="s">
        <v>1778</v>
      </c>
      <c r="B3" s="2039">
        <v>43214</v>
      </c>
      <c r="C3" s="2040" t="s">
        <v>1779</v>
      </c>
      <c r="D3" s="2039">
        <v>43214</v>
      </c>
      <c r="E3" s="2029"/>
      <c r="F3" s="2029"/>
      <c r="G3" s="2029"/>
      <c r="H3" s="2029"/>
      <c r="I3" s="2029"/>
      <c r="J3" s="2029"/>
      <c r="K3" s="2030"/>
      <c r="L3" s="2031"/>
      <c r="M3" s="2031"/>
      <c r="N3" s="2032"/>
      <c r="O3" s="2033"/>
      <c r="P3" s="2032"/>
      <c r="Q3" s="2032"/>
      <c r="R3" s="2032"/>
      <c r="S3" s="2034"/>
    </row>
    <row r="4" spans="1:19" ht="18" customHeight="1" thickBot="1">
      <c r="A4" s="2041" t="s">
        <v>1780</v>
      </c>
      <c r="B4" s="2042" t="s">
        <v>3043</v>
      </c>
      <c r="C4" s="1040">
        <f ca="1">SUMIF(注册房地产估价师,B4,估价师及机构信息!B3:B24)</f>
        <v>1120140022</v>
      </c>
      <c r="D4" s="2042" t="s">
        <v>3044</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995" t="s">
        <v>3131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5"/>
      <c r="C7" s="2052"/>
      <c r="D7" s="2053"/>
      <c r="E7" s="2037"/>
      <c r="F7" s="2045"/>
      <c r="G7" s="2045"/>
      <c r="H7" s="2045"/>
      <c r="I7" s="2045"/>
      <c r="J7" s="2045"/>
      <c r="K7" s="2056"/>
      <c r="L7" s="2031"/>
      <c r="M7" s="2031"/>
      <c r="N7" s="2032"/>
      <c r="O7" s="2033"/>
      <c r="P7" s="2032"/>
      <c r="Q7" s="2032"/>
      <c r="R7" s="2032"/>
    </row>
    <row r="8" spans="1:19" ht="18" customHeight="1">
      <c r="A8" s="2050" t="s">
        <v>1784</v>
      </c>
      <c r="B8" s="2057" t="s">
        <v>3045</v>
      </c>
      <c r="C8" s="2058"/>
      <c r="D8" s="3057" t="s">
        <v>1785</v>
      </c>
      <c r="E8" s="2059"/>
      <c r="F8" s="2060"/>
      <c r="G8" s="2029"/>
      <c r="H8" s="2029"/>
      <c r="I8" s="2029"/>
      <c r="J8" s="2045"/>
      <c r="K8" s="2046"/>
      <c r="L8" s="2031"/>
      <c r="M8" s="2031"/>
      <c r="N8" s="2032"/>
      <c r="O8" s="2033"/>
      <c r="P8" s="2032"/>
      <c r="Q8" s="2032"/>
      <c r="R8" s="2032"/>
    </row>
    <row r="9" spans="1:19" ht="18" customHeight="1" thickBot="1">
      <c r="A9" s="2043" t="s">
        <v>1786</v>
      </c>
      <c r="B9" s="2061" t="s">
        <v>3046</v>
      </c>
      <c r="C9" s="2062"/>
      <c r="D9" s="3058"/>
      <c r="E9" s="2061"/>
      <c r="F9" s="2063"/>
      <c r="G9" s="2064"/>
      <c r="H9" s="2064"/>
      <c r="I9" s="2064"/>
      <c r="J9" s="2045"/>
      <c r="K9" s="2056"/>
      <c r="L9" s="2031"/>
      <c r="M9" s="2031"/>
      <c r="N9" s="2032"/>
      <c r="O9" s="2033"/>
      <c r="P9" s="2032"/>
      <c r="Q9" s="2032"/>
      <c r="R9" s="2032"/>
    </row>
    <row r="10" spans="1:19" ht="18" customHeight="1" thickTop="1">
      <c r="A10" s="2065" t="s">
        <v>1787</v>
      </c>
      <c r="B10" s="2066" t="s">
        <v>3047</v>
      </c>
      <c r="C10" s="2964" t="s">
        <v>3048</v>
      </c>
      <c r="D10" s="2049"/>
      <c r="E10" s="2067" t="s">
        <v>1788</v>
      </c>
      <c r="F10" s="2068" t="s">
        <v>3049</v>
      </c>
      <c r="G10" s="2069"/>
      <c r="H10" s="2070"/>
      <c r="I10" s="2049"/>
      <c r="J10" s="2045"/>
      <c r="K10" s="2056"/>
      <c r="L10" s="2031"/>
      <c r="M10" s="2031"/>
      <c r="N10" s="2032"/>
      <c r="O10" s="2033"/>
      <c r="P10" s="2032"/>
      <c r="Q10" s="2032"/>
      <c r="R10" s="2032"/>
    </row>
    <row r="11" spans="1:19" ht="18" customHeight="1">
      <c r="A11" s="2071" t="s">
        <v>1789</v>
      </c>
      <c r="B11" s="2072" t="s">
        <v>3050</v>
      </c>
      <c r="C11" s="2965" t="s">
        <v>3051</v>
      </c>
      <c r="D11" s="2073"/>
      <c r="E11" s="2045"/>
      <c r="F11" s="2045"/>
      <c r="G11" s="2045"/>
      <c r="H11" s="2045"/>
      <c r="I11" s="2045"/>
      <c r="J11" s="2045"/>
      <c r="K11" s="2056"/>
      <c r="L11" s="2031"/>
      <c r="M11" s="2031"/>
      <c r="N11" s="2032"/>
      <c r="O11" s="2033"/>
      <c r="P11" s="2032"/>
      <c r="Q11" s="2032"/>
      <c r="R11" s="2032"/>
    </row>
    <row r="12" spans="1:19" ht="18" customHeight="1">
      <c r="A12" s="2074" t="s">
        <v>1790</v>
      </c>
      <c r="B12" s="2072" t="s">
        <v>3052</v>
      </c>
      <c r="C12" s="2075" t="s">
        <v>1791</v>
      </c>
      <c r="D12" s="2076" t="s">
        <v>1792</v>
      </c>
      <c r="E12" s="2076" t="s">
        <v>1793</v>
      </c>
      <c r="F12" s="2076" t="s">
        <v>1794</v>
      </c>
      <c r="G12" s="2076" t="s">
        <v>1795</v>
      </c>
      <c r="H12" s="2076" t="s">
        <v>1796</v>
      </c>
      <c r="I12" s="2076" t="s">
        <v>1797</v>
      </c>
      <c r="J12" s="2045"/>
      <c r="K12" s="2056"/>
      <c r="L12" s="2031"/>
      <c r="M12" s="2031"/>
      <c r="N12" s="2032"/>
      <c r="O12" s="2033"/>
      <c r="P12" s="2032"/>
      <c r="Q12" s="2032"/>
      <c r="R12" s="2032"/>
    </row>
    <row r="13" spans="1:19" ht="18" customHeight="1">
      <c r="A13" s="2077"/>
      <c r="B13" s="2078"/>
      <c r="C13" s="2079" t="s">
        <v>1798</v>
      </c>
      <c r="D13" s="2080"/>
      <c r="E13" s="2080">
        <v>55352</v>
      </c>
      <c r="F13" s="2080"/>
      <c r="G13" s="2080"/>
      <c r="H13" s="2080"/>
      <c r="I13" s="1050"/>
      <c r="J13" s="2045"/>
      <c r="K13" s="2056"/>
      <c r="L13" s="2031"/>
      <c r="M13" s="2031"/>
      <c r="N13" s="2032"/>
      <c r="O13" s="2033"/>
      <c r="P13" s="2032"/>
      <c r="Q13" s="2032"/>
      <c r="R13" s="2032"/>
    </row>
    <row r="14" spans="1:19" ht="18" customHeight="1">
      <c r="A14" s="2077"/>
      <c r="B14" s="2078"/>
      <c r="C14" s="2079" t="s">
        <v>1799</v>
      </c>
      <c r="D14" s="1053"/>
      <c r="E14" s="1053">
        <v>40</v>
      </c>
      <c r="F14" s="1053"/>
      <c r="G14" s="1053"/>
      <c r="H14" s="1053"/>
      <c r="I14" s="1053"/>
      <c r="J14" s="2045"/>
      <c r="K14" s="2081"/>
      <c r="L14" s="2031"/>
      <c r="M14" s="2031"/>
      <c r="N14" s="2032"/>
      <c r="O14" s="2033"/>
      <c r="P14" s="2032"/>
      <c r="Q14" s="2032"/>
      <c r="R14" s="2032"/>
    </row>
    <row r="15" spans="1:19" ht="18" customHeight="1">
      <c r="A15" s="2065"/>
      <c r="B15" s="2082"/>
      <c r="C15" s="2079" t="s">
        <v>1800</v>
      </c>
      <c r="D15" s="1052" t="str">
        <f>IF(B12="出让",IF(D13="","",ROUNDDOWN(MIN((D13-$D$3)/365,D14),2)),D14)</f>
        <v/>
      </c>
      <c r="E15" s="1052">
        <f>IF(B12="出让",IF(E13="","",ROUNDDOWN(MIN((E13-$D$3)/365,E14),2)),E14)</f>
        <v>33.25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7" t="s">
        <v>1801</v>
      </c>
      <c r="B16" s="3064"/>
      <c r="C16" s="3065"/>
      <c r="D16" s="3066"/>
      <c r="E16" s="2086" t="s">
        <v>1802</v>
      </c>
      <c r="F16" s="3067"/>
      <c r="G16" s="3068"/>
      <c r="H16" s="3068"/>
      <c r="I16" s="3069"/>
      <c r="J16" s="2032"/>
      <c r="K16" s="2083"/>
      <c r="L16" s="2084"/>
      <c r="M16" s="2084"/>
      <c r="N16" s="2085"/>
      <c r="O16" s="2084"/>
      <c r="P16" s="2085"/>
      <c r="Q16" s="2032"/>
      <c r="R16" s="2032"/>
    </row>
    <row r="17" spans="1:22" ht="18" customHeight="1">
      <c r="A17" s="2087" t="s">
        <v>1803</v>
      </c>
      <c r="B17" s="2038" t="s">
        <v>1804</v>
      </c>
      <c r="C17" s="1057">
        <f>'数据-汇总表'!E3</f>
        <v>2729.87</v>
      </c>
      <c r="D17" s="2088" t="s">
        <v>1805</v>
      </c>
      <c r="E17" s="3070" t="s">
        <v>3132</v>
      </c>
      <c r="F17" s="3071"/>
      <c r="G17" s="3071"/>
      <c r="H17" s="3071"/>
      <c r="I17" s="3072"/>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698.38</v>
      </c>
      <c r="D18" s="2091" t="s">
        <v>1805</v>
      </c>
      <c r="E18" s="3073" t="s">
        <v>3133</v>
      </c>
      <c r="F18" s="3074"/>
      <c r="G18" s="3074"/>
      <c r="H18" s="3074"/>
      <c r="I18" s="3075"/>
      <c r="J18" s="2032"/>
      <c r="K18" s="2089"/>
      <c r="L18" s="2084"/>
      <c r="M18" s="2084"/>
      <c r="N18" s="2085"/>
      <c r="O18" s="2084"/>
      <c r="P18" s="2085"/>
      <c r="Q18" s="2032"/>
      <c r="R18" s="2032"/>
      <c r="S18" s="2032"/>
      <c r="T18" s="2032"/>
      <c r="U18" s="2032"/>
      <c r="V18" s="2032"/>
    </row>
    <row r="19" spans="1:22" ht="37.5" customHeight="1" thickTop="1" thickBot="1">
      <c r="A19" s="373" t="s">
        <v>1808</v>
      </c>
      <c r="B19" s="352" t="s">
        <v>1809</v>
      </c>
      <c r="C19" s="2092" t="s">
        <v>3057</v>
      </c>
      <c r="D19" s="2093" t="s">
        <v>1810</v>
      </c>
      <c r="E19" s="2094" t="s">
        <v>3057</v>
      </c>
      <c r="F19" s="2095" t="str">
        <f>IF(AND(C19="是",E19="否"),"是否提供他项权证或相关说明","")</f>
        <v/>
      </c>
      <c r="G19" s="2096"/>
      <c r="H19" s="2045"/>
      <c r="I19" s="2045"/>
      <c r="J19" s="2045"/>
      <c r="K19" s="2056"/>
      <c r="L19" s="2031"/>
      <c r="M19" s="2031"/>
      <c r="N19" s="2085"/>
      <c r="O19" s="2084"/>
      <c r="P19" s="2085"/>
      <c r="Q19" s="2032"/>
      <c r="R19" s="2032"/>
      <c r="S19" s="2032"/>
      <c r="T19" s="2032"/>
      <c r="U19" s="2032"/>
      <c r="V19" s="2032"/>
    </row>
    <row r="20" spans="1:22" ht="18" customHeight="1">
      <c r="A20" s="2097" t="s">
        <v>1811</v>
      </c>
      <c r="B20" s="3060" t="s">
        <v>1812</v>
      </c>
      <c r="C20" s="3061"/>
      <c r="D20" s="3062" t="s">
        <v>1813</v>
      </c>
      <c r="E20" s="3063"/>
      <c r="F20" s="2098" t="s">
        <v>1814</v>
      </c>
      <c r="G20" s="2045"/>
      <c r="H20" s="2045"/>
      <c r="I20" s="2045"/>
      <c r="J20" s="2045"/>
      <c r="K20" s="3059" t="s">
        <v>1815</v>
      </c>
      <c r="L20" s="748"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1816</v>
      </c>
      <c r="C21" s="2100" t="s">
        <v>70</v>
      </c>
      <c r="D21" s="2101" t="s">
        <v>1817</v>
      </c>
      <c r="E21" s="2102" t="s">
        <v>70</v>
      </c>
      <c r="F21" s="2103"/>
      <c r="G21" s="2045"/>
      <c r="H21" s="2045"/>
      <c r="I21" s="2045"/>
      <c r="J21" s="2045"/>
      <c r="K21" s="305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1818</v>
      </c>
      <c r="C22" s="2100" t="s">
        <v>3134</v>
      </c>
      <c r="D22" s="2029"/>
      <c r="E22" s="2029"/>
      <c r="F22" s="2105"/>
      <c r="G22" s="2045"/>
      <c r="H22" s="2045"/>
      <c r="I22" s="2045"/>
      <c r="J22" s="2045"/>
      <c r="K22" s="305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6"/>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4"/>
      <c r="H26" s="2064"/>
      <c r="I26" s="2064"/>
      <c r="J26" s="2045"/>
      <c r="K26" s="2056"/>
      <c r="L26" s="2031"/>
      <c r="M26" s="2031"/>
      <c r="N26" s="2085"/>
      <c r="O26" s="2084"/>
      <c r="P26" s="2085"/>
      <c r="Q26" s="2032"/>
      <c r="R26" s="2032"/>
      <c r="S26" s="2032"/>
      <c r="T26" s="2032"/>
      <c r="U26" s="2032"/>
      <c r="V26" s="2032"/>
    </row>
    <row r="27" spans="1:22" ht="18" customHeight="1" thickTop="1">
      <c r="A27" s="3047" t="s">
        <v>1825</v>
      </c>
      <c r="B27" s="2065" t="s">
        <v>1826</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47"/>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47"/>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48"/>
      <c r="B30" s="2038" t="s">
        <v>1829</v>
      </c>
      <c r="C30" s="3049"/>
      <c r="D30" s="305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51" t="s">
        <v>1830</v>
      </c>
      <c r="B31" s="2127"/>
      <c r="C31" s="2128" t="str">
        <f>IF(B31="现房","成新及维护状况正常否",IF(B31="在建","工程状态是否正常",IF(B31="土地","是否闲置","-")))</f>
        <v>-</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52"/>
      <c r="B32" s="2127"/>
      <c r="C32" s="2128" t="str">
        <f>IF(B32="现房","成新及维护状况是否正常",IF(B32="在建","工程状态是否正常",IF(B32="土地","是否闲置","-")))</f>
        <v>-</v>
      </c>
      <c r="D32" s="2129"/>
      <c r="E32" s="2130"/>
      <c r="F32" s="2045"/>
      <c r="G32" s="2045"/>
      <c r="H32" s="2045"/>
      <c r="I32" s="2045"/>
      <c r="J32" s="2045"/>
      <c r="K32" s="2056"/>
      <c r="L32" s="2031"/>
      <c r="M32" s="2031"/>
      <c r="N32" s="2032"/>
      <c r="O32" s="2033"/>
      <c r="P32" s="2032"/>
      <c r="Q32" s="2032"/>
      <c r="R32" s="2032"/>
      <c r="S32" s="2032"/>
      <c r="T32" s="2032"/>
      <c r="U32" s="2032"/>
      <c r="V32" s="2032"/>
    </row>
    <row r="33" spans="1:22" ht="18" customHeight="1">
      <c r="A33" s="3052"/>
      <c r="B33" s="2131"/>
      <c r="C33" s="2071" t="str">
        <f>IF(B33="现房","成新及维护状况是否正常",IF(B33="在建","工程状态是否正常",IF(B33="土地","是否闲置","-")))</f>
        <v>-</v>
      </c>
      <c r="D33" s="2132"/>
      <c r="E33" s="2133"/>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4" t="s">
        <v>3135</v>
      </c>
      <c r="C34" s="2134" t="s">
        <v>3136</v>
      </c>
      <c r="D34" s="2134" t="s">
        <v>3137</v>
      </c>
      <c r="E34" s="2134" t="s">
        <v>3138</v>
      </c>
      <c r="F34" s="2134" t="s">
        <v>3139</v>
      </c>
      <c r="G34" s="2134" t="s">
        <v>3140</v>
      </c>
      <c r="H34" s="2134"/>
      <c r="I34" s="2045"/>
      <c r="J34" s="2045"/>
      <c r="K34" s="1798">
        <f>COUNTIF(B34:H34,"——")</f>
        <v>0</v>
      </c>
      <c r="L34" s="2075" t="s">
        <v>1832</v>
      </c>
      <c r="M34" s="2075" t="s">
        <v>1833</v>
      </c>
      <c r="N34" s="2075" t="s">
        <v>1834</v>
      </c>
      <c r="O34" s="2075" t="s">
        <v>1835</v>
      </c>
      <c r="P34" s="2075" t="s">
        <v>1836</v>
      </c>
      <c r="Q34" s="2075" t="s">
        <v>1837</v>
      </c>
      <c r="R34" s="2075" t="s">
        <v>1838</v>
      </c>
      <c r="S34" s="3046" t="s">
        <v>1839</v>
      </c>
      <c r="T34" s="2135" t="str">
        <f>NUMBERSTRING(7-K34,1)&amp;"通"</f>
        <v>七通</v>
      </c>
      <c r="U34" s="2032"/>
      <c r="V34" s="2032"/>
    </row>
    <row r="35" spans="1:22" ht="18" customHeight="1">
      <c r="A35" s="2136"/>
      <c r="B35" s="3053" t="s">
        <v>1840</v>
      </c>
      <c r="C35" s="3053"/>
      <c r="D35" s="3053"/>
      <c r="E35" s="3053"/>
      <c r="F35" s="2137" t="str">
        <f>C10</f>
        <v>新疆省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6"/>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6"/>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6"/>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4"/>
      <c r="H38" s="2064"/>
      <c r="I38" s="2064"/>
      <c r="J38" s="2045"/>
      <c r="K38" s="2056"/>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8" sqref="F18"/>
    </sheetView>
  </sheetViews>
  <sheetFormatPr defaultColWidth="8.875" defaultRowHeight="14.25"/>
  <cols>
    <col min="1" max="1" width="12"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7" width="9.5" style="2160" hidden="1" customWidth="1"/>
    <col min="38"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(I13+I14)/32574.21*8333.38</f>
        <v>698.37592563564851</v>
      </c>
      <c r="B3" s="14">
        <f>IF(C3="否",G5-AT5,G5)</f>
        <v>2729.87</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2729.87</v>
      </c>
      <c r="H5" s="16">
        <f t="shared" ref="H5:AT5" si="0">SUM(H13:H656)</f>
        <v>2729.87</v>
      </c>
      <c r="I5" s="16">
        <f t="shared" si="0"/>
        <v>2729.87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2729.87</v>
      </c>
      <c r="BA5" s="18">
        <f t="shared" si="1"/>
        <v>2729.87</v>
      </c>
      <c r="BB5" s="18">
        <f t="shared" si="1"/>
        <v>2729.87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698.38</v>
      </c>
      <c r="F6" s="16" t="s">
        <v>1</v>
      </c>
      <c r="G6" s="16" t="s">
        <v>2</v>
      </c>
      <c r="H6" s="20">
        <f>SUMIF(I$12:AB$12,"总值",I6:AB6)</f>
        <v>698.38</v>
      </c>
      <c r="I6" s="16">
        <f t="shared" ref="I6:AB6" si="2">ROUND($A$3*I5/$B$3,2)</f>
        <v>698.38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698.38</v>
      </c>
      <c r="AZ6" s="16" t="s">
        <v>3</v>
      </c>
      <c r="BA6" s="16">
        <f>ROUND($AY$6*BA5/$AZ$5,2)</f>
        <v>698.38</v>
      </c>
      <c r="BB6" s="16">
        <f>ROUND($AY$6*BB5/$AZ$5,2)</f>
        <v>698.38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3058</v>
      </c>
      <c r="J9" s="984"/>
      <c r="K9" s="2192" t="s">
        <v>3060</v>
      </c>
      <c r="L9" s="984"/>
      <c r="M9" s="2192" t="s">
        <v>3060</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1377</v>
      </c>
      <c r="L10" s="984"/>
      <c r="M10" s="2198" t="s">
        <v>3061</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3059</v>
      </c>
      <c r="J11" s="2204"/>
      <c r="K11" s="2203" t="s">
        <v>3059</v>
      </c>
      <c r="L11" s="2204"/>
      <c r="M11" s="2203" t="s">
        <v>3055</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t="str">
        <f>M10</f>
        <v>车库—商业</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独立商业</v>
      </c>
      <c r="BC12" s="2213" t="str">
        <f>K11</f>
        <v>独立商业</v>
      </c>
      <c r="BD12" s="2213" t="str">
        <f>M11</f>
        <v>车库</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
        <v>3053</v>
      </c>
      <c r="D13" s="2214" t="s">
        <v>3056</v>
      </c>
      <c r="E13" s="16">
        <f>IF($C$3="是",ROUND($A$3*G13/$B$3,2),ROUND($A$3*(G13-AT13)/$B$3,2))</f>
        <v>89.51</v>
      </c>
      <c r="F13" s="32"/>
      <c r="G13" s="33">
        <f>H13+AC13+AT13</f>
        <v>349.87</v>
      </c>
      <c r="H13" s="20">
        <f>SUMIF(I$12:AB$12,"总值",I13:AB13)</f>
        <v>349.87</v>
      </c>
      <c r="I13" s="2215">
        <f>SUM(Sheet3!D1:D4)</f>
        <v>349.87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1层</v>
      </c>
      <c r="AY13" s="1809">
        <f>ROUND($AY$6*AZ13/$AZ$5,2)</f>
        <v>89.51</v>
      </c>
      <c r="AZ13" s="16">
        <f>BA13+BL13</f>
        <v>349.87</v>
      </c>
      <c r="BA13" s="16">
        <f>SUM(BB13:BK13)</f>
        <v>349.87</v>
      </c>
      <c r="BB13" s="16">
        <f>IF($D13="是",I13-J13,0)</f>
        <v>349.87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t="s">
        <v>3054</v>
      </c>
      <c r="D14" s="2214" t="s">
        <v>3056</v>
      </c>
      <c r="E14" s="16">
        <f>IF($C$3="是",ROUND($A$3*G14/$B$3,2),ROUND($A$3*(G14-AT14)/$B$3,2))</f>
        <v>608.87</v>
      </c>
      <c r="F14" s="32"/>
      <c r="G14" s="33">
        <f>H14+AC14+AT14</f>
        <v>2380</v>
      </c>
      <c r="H14" s="20">
        <f>SUMIF(I$12:AB$12,"总值",I14:AB14)</f>
        <v>2380</v>
      </c>
      <c r="I14" s="2215">
        <v>2380</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2层</v>
      </c>
      <c r="AY14" s="1809">
        <f>ROUND($AY$6*AZ14/$AZ$5,2)</f>
        <v>608.87</v>
      </c>
      <c r="AZ14" s="16">
        <f>BA14+BL14</f>
        <v>2380</v>
      </c>
      <c r="BA14" s="16">
        <f>SUM(BB14:BK14)</f>
        <v>2380</v>
      </c>
      <c r="BB14" s="16">
        <f>IF($D14="是",I14-J14,0)</f>
        <v>2380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66"/>
      <c r="D15" s="2214" t="s">
        <v>3057</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966"/>
      <c r="D16" s="2214" t="s">
        <v>3057</v>
      </c>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966"/>
      <c r="D17" s="2214" t="s">
        <v>3057</v>
      </c>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7"/>
      <c r="D18" s="2219" t="s">
        <v>3057</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topLeftCell="B1" zoomScaleSheetLayoutView="100" workbookViewId="0">
      <selection activeCell="C33" sqref="C3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87" t="s">
        <v>1936</v>
      </c>
      <c r="B2" s="3087"/>
      <c r="C2" s="3087"/>
      <c r="D2" s="970" t="s">
        <v>1912</v>
      </c>
      <c r="E2" s="2228" t="s">
        <v>1913</v>
      </c>
      <c r="F2" s="1395"/>
      <c r="G2" s="2229"/>
      <c r="H2" s="2230"/>
      <c r="I2" s="2231" t="s">
        <v>1937</v>
      </c>
      <c r="J2" s="1395"/>
      <c r="K2" s="1395"/>
      <c r="L2" s="1395"/>
      <c r="M2" s="1395"/>
      <c r="N2" s="1430"/>
      <c r="O2" s="1395"/>
      <c r="P2" s="1395"/>
    </row>
    <row r="3" spans="1:16" ht="15.75" thickBot="1">
      <c r="A3" s="3088" t="s">
        <v>1910</v>
      </c>
      <c r="B3" s="3088"/>
      <c r="C3" s="3088"/>
      <c r="D3" s="46">
        <f>'数据-基础表'!AY6</f>
        <v>698.38</v>
      </c>
      <c r="E3" s="46">
        <f>'数据-基础表'!AZ5</f>
        <v>2729.87</v>
      </c>
      <c r="F3" s="1395"/>
      <c r="G3" s="1402"/>
      <c r="H3" s="1250" t="s">
        <v>1911</v>
      </c>
      <c r="I3" s="55">
        <f>ROUND('数据-基础表'!B3/'数据-基础表'!A3,2)</f>
        <v>3.91</v>
      </c>
      <c r="J3" s="1395"/>
      <c r="K3" s="1395"/>
      <c r="L3" s="1395"/>
      <c r="M3" s="1395"/>
      <c r="N3" s="1430"/>
      <c r="O3" s="1395"/>
      <c r="P3" s="1395"/>
    </row>
    <row r="4" spans="1:16" ht="15">
      <c r="A4" s="3089"/>
      <c r="B4" s="3090"/>
      <c r="C4" s="3091"/>
      <c r="D4" s="2232" t="s">
        <v>1912</v>
      </c>
      <c r="E4" s="2233" t="s">
        <v>1913</v>
      </c>
      <c r="F4" s="1395"/>
      <c r="G4" s="2234" t="s">
        <v>1938</v>
      </c>
      <c r="H4" s="1250" t="s">
        <v>1918</v>
      </c>
      <c r="I4" s="55">
        <f>ROUND(SUMIF('数据-基础表'!I9:AS9,"地上",'数据-基础表'!I5:AS5)/'数据-基础表'!A3,2)</f>
        <v>3.91</v>
      </c>
      <c r="J4" s="1395"/>
      <c r="K4" s="1395"/>
      <c r="L4" s="1395"/>
      <c r="M4" s="1395"/>
      <c r="N4" s="1430"/>
      <c r="O4" s="1395"/>
      <c r="P4" s="1395"/>
    </row>
    <row r="5" spans="1:16">
      <c r="A5" s="47" t="s">
        <v>1914</v>
      </c>
      <c r="B5" s="3092" t="s">
        <v>1915</v>
      </c>
      <c r="C5" s="3092"/>
      <c r="D5" s="48">
        <f>ROUND($D$3*E5/$E$3,2)</f>
        <v>0</v>
      </c>
      <c r="E5" s="49">
        <f>SUMIF('数据-基础表'!$11:$11,"住宅",'数据-基础表'!$5:$5)</f>
        <v>0</v>
      </c>
      <c r="F5" s="1395"/>
      <c r="G5" s="1402"/>
      <c r="H5" s="1250" t="s">
        <v>1911</v>
      </c>
      <c r="I5" s="55">
        <f>ROUND(E31/D31,2)</f>
        <v>3.91</v>
      </c>
      <c r="J5" s="1395"/>
      <c r="K5" s="1395"/>
      <c r="L5" s="1395"/>
      <c r="M5" s="1395"/>
      <c r="N5" s="1395"/>
      <c r="O5" s="1395"/>
      <c r="P5" s="1395"/>
    </row>
    <row r="6" spans="1:16" ht="15" thickBot="1">
      <c r="A6" s="2235"/>
      <c r="B6" s="3092" t="s">
        <v>1916</v>
      </c>
      <c r="C6" s="3092"/>
      <c r="D6" s="48">
        <f>ROUND($D$3*E6/$E$3,2)</f>
        <v>698.38</v>
      </c>
      <c r="E6" s="49">
        <f>E3-E5</f>
        <v>2729.87</v>
      </c>
      <c r="F6" s="1395"/>
      <c r="G6" s="2236" t="s">
        <v>1917</v>
      </c>
      <c r="H6" s="1402" t="s">
        <v>1918</v>
      </c>
      <c r="I6" s="942">
        <f>ROUND(F31/D31,2)</f>
        <v>3.91</v>
      </c>
      <c r="J6" s="1395"/>
      <c r="K6" s="1395"/>
      <c r="L6" s="1395"/>
      <c r="M6" s="1395"/>
      <c r="N6" s="1395"/>
      <c r="O6" s="1395"/>
      <c r="P6" s="1395"/>
    </row>
    <row r="7" spans="1:16" ht="15">
      <c r="A7" s="3084"/>
      <c r="B7" s="3085"/>
      <c r="C7" s="3086"/>
      <c r="D7" s="2232" t="s">
        <v>1912</v>
      </c>
      <c r="E7" s="2237" t="s">
        <v>1919</v>
      </c>
      <c r="F7" s="1395"/>
      <c r="G7" s="2229" t="s">
        <v>1920</v>
      </c>
      <c r="H7" s="64"/>
      <c r="I7" s="420"/>
      <c r="J7" s="1395"/>
      <c r="K7" s="1395"/>
      <c r="L7" s="1395"/>
      <c r="M7" s="1395"/>
      <c r="N7" s="1395"/>
      <c r="O7" s="1395"/>
      <c r="P7" s="1395"/>
    </row>
    <row r="8" spans="1:16">
      <c r="A8" s="47" t="s">
        <v>1921</v>
      </c>
      <c r="B8" s="50" t="s">
        <v>1922</v>
      </c>
      <c r="C8" s="48" t="s">
        <v>1923</v>
      </c>
      <c r="D8" s="48">
        <f t="shared" ref="D8:D15" si="0">ROUND($D$3*E8/$E$3,2)</f>
        <v>698.38</v>
      </c>
      <c r="E8" s="51">
        <f>SUMIF('数据-基础表'!BB10:BK10,"地上",'数据-基础表'!BB5:BK5)</f>
        <v>2729.87</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1928</v>
      </c>
      <c r="D16" s="50">
        <f>SUM(D8:D15)</f>
        <v>698.38</v>
      </c>
      <c r="E16" s="53">
        <f>SUM(E8:E15)</f>
        <v>2729.87</v>
      </c>
      <c r="F16" s="1395"/>
      <c r="G16" s="2238"/>
      <c r="H16" s="2241" t="s">
        <v>1940</v>
      </c>
      <c r="I16" s="2242"/>
      <c r="J16" s="1395"/>
      <c r="K16" s="3081" t="s">
        <v>1940</v>
      </c>
      <c r="L16" s="3082"/>
      <c r="M16" s="3082"/>
      <c r="N16" s="3082"/>
      <c r="O16" s="3082"/>
      <c r="P16" s="3083"/>
    </row>
    <row r="17" spans="1:19" ht="15">
      <c r="A17" s="2243" t="s">
        <v>1941</v>
      </c>
      <c r="B17" s="2244" t="s">
        <v>1942</v>
      </c>
      <c r="C17" s="2245" t="s">
        <v>1943</v>
      </c>
      <c r="D17" s="2246" t="s">
        <v>1931</v>
      </c>
      <c r="E17" s="2247" t="s">
        <v>1932</v>
      </c>
      <c r="F17" s="2248"/>
      <c r="G17" s="2249"/>
      <c r="H17" s="2250" t="s">
        <v>1944</v>
      </c>
      <c r="I17" s="2251" t="s">
        <v>1929</v>
      </c>
      <c r="J17" s="1395"/>
      <c r="K17" s="3078" t="s">
        <v>1945</v>
      </c>
      <c r="L17" s="3079"/>
      <c r="M17" s="3080"/>
      <c r="N17" s="3078" t="s">
        <v>1946</v>
      </c>
      <c r="O17" s="3079"/>
      <c r="P17" s="3080"/>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261" t="s">
        <v>3062</v>
      </c>
      <c r="D19" s="48">
        <f>ROUND($D$3*E19/$E$3,2)</f>
        <v>89.51</v>
      </c>
      <c r="E19" s="56">
        <f t="shared" ref="E19:E26" si="1">SUM(F19:G19)</f>
        <v>349.87</v>
      </c>
      <c r="F19" s="57">
        <f>'数据-基础表'!I13</f>
        <v>349.87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89.51</v>
      </c>
      <c r="S19" s="1251">
        <f t="shared" si="5"/>
        <v>349.87</v>
      </c>
    </row>
    <row r="20" spans="1:19">
      <c r="A20" s="2264"/>
      <c r="B20" s="50" t="s">
        <v>1958</v>
      </c>
      <c r="C20" s="2261" t="s">
        <v>3063</v>
      </c>
      <c r="D20" s="48">
        <f t="shared" ref="D20:D26" si="6">ROUND($D$3*E20/$E$3,2)</f>
        <v>608.87</v>
      </c>
      <c r="E20" s="56">
        <f t="shared" si="1"/>
        <v>2380</v>
      </c>
      <c r="F20" s="57">
        <f>'数据-基础表'!I14</f>
        <v>2380</v>
      </c>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608.87</v>
      </c>
      <c r="S20" s="1251">
        <f t="shared" si="5"/>
        <v>2380</v>
      </c>
    </row>
    <row r="21" spans="1:19">
      <c r="A21" s="2264"/>
      <c r="B21" s="50" t="s">
        <v>1958</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1959</v>
      </c>
      <c r="D27" s="1396">
        <f>SUM(D19:D26)</f>
        <v>698.38</v>
      </c>
      <c r="E27" s="1397">
        <f>IF(SUM(E19:E26)='数据-基础表'!BA5,SUM(E19:E26),IF(F27="地上面积有误","面积有误","地下面积有误"))</f>
        <v>2729.87</v>
      </c>
      <c r="F27" s="1396">
        <f>IF(SUM(F19:F26)=E8,SUM(F19:F26),"地上面积有误")</f>
        <v>2729.87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698.38</v>
      </c>
      <c r="S27" s="1250">
        <f>IF(SUM(S19:S26)=$E$3,SUM(S19:S26),SUM(S19:S26)&amp;"误差"&amp;ROUND(SUM(S19:S26)-E3,2))</f>
        <v>2729.87</v>
      </c>
    </row>
    <row r="28" spans="1:19">
      <c r="A28" s="2264"/>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1960</v>
      </c>
      <c r="C29" s="2268"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1963</v>
      </c>
      <c r="D31" s="729">
        <f>D27+D30</f>
        <v>698.38</v>
      </c>
      <c r="E31" s="729">
        <f>E27+E30</f>
        <v>2729.87</v>
      </c>
      <c r="F31" s="730">
        <f>F27+F30</f>
        <v>2729.87</v>
      </c>
      <c r="G31" s="731">
        <f>G27+G30</f>
        <v>0</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X13" sqref="X13"/>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1966</v>
      </c>
      <c r="B2" s="1269">
        <f>项目基本情况!D3</f>
        <v>43214</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1973</v>
      </c>
      <c r="B5" s="2291" t="s">
        <v>1974</v>
      </c>
      <c r="C5" s="2292" t="s">
        <v>1975</v>
      </c>
      <c r="D5" s="2293" t="s">
        <v>1976</v>
      </c>
      <c r="E5" s="1271" t="s">
        <v>1977</v>
      </c>
      <c r="F5" s="2294" t="s">
        <v>1978</v>
      </c>
      <c r="G5" s="1271" t="s">
        <v>1979</v>
      </c>
      <c r="H5" s="1271" t="s">
        <v>1980</v>
      </c>
      <c r="I5" s="1271" t="s">
        <v>1981</v>
      </c>
      <c r="J5" s="2295" t="s">
        <v>1982</v>
      </c>
      <c r="K5" s="2296" t="s">
        <v>1983</v>
      </c>
      <c r="L5" s="2297" t="s">
        <v>1984</v>
      </c>
      <c r="M5" s="2298" t="s">
        <v>1985</v>
      </c>
      <c r="N5" s="2299" t="s">
        <v>3064</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5" t="s">
        <v>2006</v>
      </c>
      <c r="AP5" s="1252"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1层</v>
      </c>
      <c r="B6" s="2308" t="str">
        <f>IF(A6=0,"","经营性")</f>
        <v>经营性</v>
      </c>
      <c r="C6" s="2309" t="s">
        <v>1377</v>
      </c>
      <c r="D6" s="1054">
        <f>SUMIF(项目基本情况!D$12:I$12,C6,项目基本情况!D$14:I$14)</f>
        <v>40</v>
      </c>
      <c r="E6" s="1051">
        <f>IF(B6="","",SUMIF(项目基本情况!D$12:I$12,C6,项目基本情况!D$13:I$13))</f>
        <v>55352</v>
      </c>
      <c r="F6" s="72">
        <f>SUMIF(项目基本情况!D$12:I$12,C6,项目基本情况!D$15:I$15)</f>
        <v>33.25</v>
      </c>
      <c r="G6" s="73">
        <f>IF(ISERROR(ROUND(POWER(1+H6,D6-F6)*(POWER(1+H6,F6)-1)/(POWER(1+H6,D6)-1),3)),0,ROUND(POWER(1+H6,D6-F6)*(POWER(1+H6,F6)-1)/(POWER(1+H6,D6)-1),3))</f>
        <v>0.93500000000000005</v>
      </c>
      <c r="H6" s="802">
        <v>0.05</v>
      </c>
      <c r="I6" s="802">
        <v>5.5E-2</v>
      </c>
      <c r="J6" s="74">
        <v>0.08</v>
      </c>
      <c r="K6" s="1254">
        <f>SUMIF('数据-汇总表'!C$19:C$33,A6,'数据-汇总表'!E$19:E$33)</f>
        <v>349.87</v>
      </c>
      <c r="L6" s="803">
        <v>2600</v>
      </c>
      <c r="M6" s="75">
        <f t="shared" ref="M6:M14" si="0">ROUND(K6*L6/10000,0)</f>
        <v>91</v>
      </c>
      <c r="N6" s="801">
        <v>1</v>
      </c>
      <c r="O6" s="75" t="str">
        <f>IF($N$5="成新度","——",ROUND(M6*N6,0))</f>
        <v>——</v>
      </c>
      <c r="P6" s="76" t="str">
        <f>IF($N$5="成新度","——",M6-O6)</f>
        <v>——</v>
      </c>
      <c r="Q6" s="804">
        <v>0.2</v>
      </c>
      <c r="R6" s="77">
        <f ca="1">SUMIF('数据-汇总表'!C$19:C$33,A6,'数据-汇总表'!R$19:R$27)</f>
        <v>89.51</v>
      </c>
      <c r="S6" s="54">
        <f>IF('数据-汇总表'!$I$17="按面积比例",SUMIF('数据-汇总表'!C$19:C$33,A6,'数据-汇总表'!K$19:K$33),SUMIF('数据-汇总表'!C$19:C$33,A6,'数据-汇总表'!N$19:N$33))</f>
        <v>0</v>
      </c>
      <c r="T6" s="1446">
        <f>ROUND($L$14*S6/10000,0)</f>
        <v>0</v>
      </c>
      <c r="U6" s="78">
        <v>3</v>
      </c>
      <c r="V6" s="79">
        <v>0.02</v>
      </c>
      <c r="W6" s="79">
        <v>0.1</v>
      </c>
      <c r="X6" s="1264"/>
      <c r="Y6" s="2999">
        <f>N6</f>
        <v>1</v>
      </c>
      <c r="Z6" s="81"/>
      <c r="AA6" s="74"/>
      <c r="AB6" s="74"/>
      <c r="AC6" s="1264"/>
      <c r="AD6" s="82"/>
      <c r="AE6" s="1265">
        <f ca="1">IF(AN6="",0,SUMIF(INDIRECT("'"&amp;AN6&amp;"'"&amp;"!E:E"),$AE$5,INDIRECT("'"&amp;AN6&amp;"'"&amp;"!F:F")))</f>
        <v>33.25</v>
      </c>
      <c r="AF6" s="1807"/>
      <c r="AG6" s="147">
        <f>IF(AF6="",0,AE6-AF6)</f>
        <v>0</v>
      </c>
      <c r="AH6" s="83"/>
      <c r="AI6" s="85">
        <v>365</v>
      </c>
      <c r="AJ6" s="86"/>
      <c r="AK6" s="87">
        <v>1.4999999999999999E-2</v>
      </c>
      <c r="AL6" s="88">
        <v>1.5E-3</v>
      </c>
      <c r="AM6" s="89">
        <v>0.02</v>
      </c>
      <c r="AN6" s="2310" t="s">
        <v>3065</v>
      </c>
      <c r="AO6" s="55">
        <f ca="1">SUMIF(INDIRECT("'"&amp;AN6&amp;"'"&amp;"!A:A"),"总价",INDIRECT("'"&amp;AN6&amp;"'"&amp;"!B:B"))</f>
        <v>494</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2层</v>
      </c>
      <c r="B7" s="2308" t="str">
        <f t="shared" ref="B7:B13" si="1">IF(A7=0,"","经营性")</f>
        <v>经营性</v>
      </c>
      <c r="C7" s="2309" t="s">
        <v>1377</v>
      </c>
      <c r="D7" s="1054">
        <f>SUMIF(项目基本情况!D$12:I$12,C7,项目基本情况!D$14:I$14)</f>
        <v>40</v>
      </c>
      <c r="E7" s="1051">
        <f>IF(B7="","",SUMIF(项目基本情况!D$12:I$12,C7,项目基本情况!D$13:I$13))</f>
        <v>55352</v>
      </c>
      <c r="F7" s="72">
        <f>SUMIF(项目基本情况!D$12:I$12,C7,项目基本情况!D$15:I$15)</f>
        <v>33.25</v>
      </c>
      <c r="G7" s="73">
        <f t="shared" ref="G7:G11" si="2">IF(ISERROR(ROUND(POWER(1+H7,D7-F7)*(POWER(1+H7,F7)-1)/(POWER(1+H7,D7)-1),3)),0,ROUND(POWER(1+H7,D7-F7)*(POWER(1+H7,F7)-1)/(POWER(1+H7,D7)-1),3))</f>
        <v>0.92800000000000005</v>
      </c>
      <c r="H7" s="802">
        <v>4.4999999999999998E-2</v>
      </c>
      <c r="I7" s="802">
        <v>0.05</v>
      </c>
      <c r="J7" s="74">
        <v>0.08</v>
      </c>
      <c r="K7" s="1254">
        <f>SUMIF('数据-汇总表'!C$19:C$33,A7,'数据-汇总表'!E$19:E$33)</f>
        <v>2380</v>
      </c>
      <c r="L7" s="803">
        <v>2600</v>
      </c>
      <c r="M7" s="75">
        <f t="shared" si="0"/>
        <v>619</v>
      </c>
      <c r="N7" s="801">
        <f>N6</f>
        <v>1</v>
      </c>
      <c r="O7" s="75" t="str">
        <f t="shared" ref="O7:O14" si="3">IF($N$5="成新度","——",ROUND(M7*N7,0))</f>
        <v>——</v>
      </c>
      <c r="P7" s="76" t="str">
        <f t="shared" ref="P7:P14" si="4">IF($N$5="成新度","——",M7-O7)</f>
        <v>——</v>
      </c>
      <c r="Q7" s="804">
        <v>0.2</v>
      </c>
      <c r="R7" s="77">
        <f ca="1">SUMIF('数据-汇总表'!C$19:C$33,A7,'数据-汇总表'!R$19:R$27)</f>
        <v>608.87</v>
      </c>
      <c r="S7" s="54">
        <f>IF('数据-汇总表'!$I$17="按面积比例",SUMIF('数据-汇总表'!C$19:C$33,A7,'数据-汇总表'!K$19:K$33),SUMIF('数据-汇总表'!C$19:C$33,A7,'数据-汇总表'!N$19:N$33))</f>
        <v>0</v>
      </c>
      <c r="T7" s="1446">
        <f t="shared" ref="T7:T13" si="5">ROUND($L$14*S7/10000,0)</f>
        <v>0</v>
      </c>
      <c r="U7" s="78"/>
      <c r="V7" s="79">
        <v>0.02</v>
      </c>
      <c r="W7" s="79">
        <v>0.1</v>
      </c>
      <c r="X7" s="1264"/>
      <c r="Y7" s="2999">
        <f>N6</f>
        <v>1</v>
      </c>
      <c r="Z7" s="81"/>
      <c r="AA7" s="74"/>
      <c r="AB7" s="74"/>
      <c r="AC7" s="1264"/>
      <c r="AD7" s="82"/>
      <c r="AE7" s="1265">
        <f t="shared" ref="AE7:AE13" ca="1" si="6">IF(AN7="",0,SUMIF(INDIRECT("'"&amp;AN7&amp;"'"&amp;"!E:E"),$AE$5,INDIRECT("'"&amp;AN7&amp;"'"&amp;"!F:F")))</f>
        <v>33.25</v>
      </c>
      <c r="AF7" s="1807"/>
      <c r="AG7" s="147">
        <f t="shared" ref="AG7:AG13" si="7">IF(AF7="",0,AE7-AF7)</f>
        <v>0</v>
      </c>
      <c r="AH7" s="83"/>
      <c r="AI7" s="85">
        <v>365</v>
      </c>
      <c r="AJ7" s="86"/>
      <c r="AK7" s="87">
        <v>1.4999999999999999E-2</v>
      </c>
      <c r="AL7" s="88">
        <v>1.5E-3</v>
      </c>
      <c r="AM7" s="89">
        <v>0.02</v>
      </c>
      <c r="AN7" s="2310" t="s">
        <v>3075</v>
      </c>
      <c r="AO7" s="55">
        <f t="shared" ref="AO7:AO13" ca="1" si="8">SUMIF(INDIRECT("'"&amp;AN7&amp;"'"&amp;"!A:A"),"总价",INDIRECT("'"&amp;AN7&amp;"'"&amp;"!B:B"))</f>
        <v>-309</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2010</v>
      </c>
      <c r="B14" s="2308" t="s">
        <v>2011</v>
      </c>
      <c r="C14" s="2313"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2014</v>
      </c>
      <c r="B16" s="97"/>
      <c r="C16" s="1008"/>
      <c r="D16" s="2315"/>
      <c r="E16" s="97"/>
      <c r="F16" s="97"/>
      <c r="G16" s="98">
        <f>ROUND(SUMPRODUCT(G6:G13,K6:K13)/SUMPRODUCT((G6:G13&gt;0)*(K6:K13)),3)</f>
        <v>0.92900000000000005</v>
      </c>
      <c r="H16" s="99">
        <f>ROUND(SUMPRODUCT(H6:H13,K6:K13)/SUMPRODUCT((H6:H13&gt;0)*(K6:K13)),3)</f>
        <v>4.5999999999999999E-2</v>
      </c>
      <c r="I16" s="100"/>
      <c r="J16" s="100"/>
      <c r="K16" s="101">
        <f>SUM(K6:K15)</f>
        <v>2729.87</v>
      </c>
      <c r="L16" s="102">
        <f>ROUND(M16*10000/SUM(K6:K14),0)</f>
        <v>2601</v>
      </c>
      <c r="M16" s="102">
        <f>SUM(M6:M14)</f>
        <v>710</v>
      </c>
      <c r="N16" s="103">
        <f>ROUND(SUMPRODUCT(M6:M14,N6:N14)/M16,3)</f>
        <v>1</v>
      </c>
      <c r="O16" s="102">
        <f>SUM(O6:O14)</f>
        <v>0</v>
      </c>
      <c r="P16" s="102">
        <f>SUM(P6:P14)</f>
        <v>0</v>
      </c>
      <c r="Q16" s="104">
        <f>ROUND(SUMPRODUCT(Q6:Q13,K6:K13)/SUMPRODUCT((Q6:Q13&gt;0)*(K6:K13)),2)</f>
        <v>0.2</v>
      </c>
      <c r="R16" s="1258">
        <f ca="1">SUM(R6:R13)</f>
        <v>698.38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2016</v>
      </c>
      <c r="B19" s="112">
        <v>0</v>
      </c>
      <c r="C19" s="2278" t="s">
        <v>2017</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2018</v>
      </c>
      <c r="B20" s="113">
        <v>1.5</v>
      </c>
      <c r="C20" s="2278" t="s">
        <v>2019</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2020</v>
      </c>
      <c r="B21" s="113">
        <v>1.5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2021</v>
      </c>
      <c r="B22" s="114">
        <f>B19+B20</f>
        <v>1.5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2022</v>
      </c>
      <c r="B23" s="114">
        <f>B19+B21</f>
        <v>1.5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2023</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2024</v>
      </c>
      <c r="B26" s="2321" t="s">
        <v>2025</v>
      </c>
      <c r="C26" s="2322" t="s">
        <v>2026</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2027</v>
      </c>
      <c r="B27" s="116">
        <v>0</v>
      </c>
      <c r="C27" s="1767" t="s">
        <v>2028</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360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v>0</v>
      </c>
      <c r="C29" s="1767" t="s">
        <v>2031</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360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360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6" t="s">
        <v>2036</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v>0.03</v>
      </c>
      <c r="C34" s="1766" t="s">
        <v>2038</v>
      </c>
      <c r="D34" s="2279" t="s">
        <v>2039</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v>200</v>
      </c>
      <c r="C35" s="1766" t="s">
        <v>2041</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6" t="s">
        <v>2043</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2044</v>
      </c>
      <c r="B37" s="124">
        <v>0.02</v>
      </c>
      <c r="C37" s="1766" t="s">
        <v>2045</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2046</v>
      </c>
      <c r="B38" s="122">
        <v>0.02</v>
      </c>
      <c r="C38" s="1766" t="s">
        <v>2045</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2047</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2048</v>
      </c>
      <c r="B40" s="1303">
        <f ca="1">存贷款利率!G1</f>
        <v>4.7500000000000001E-2</v>
      </c>
      <c r="C40" s="1766" t="s">
        <v>2049</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2050</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2051</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2052</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2053</v>
      </c>
      <c r="B44" s="128">
        <v>7.0000000000000007E-2</v>
      </c>
      <c r="C44" s="1766" t="s">
        <v>2054</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2055</v>
      </c>
      <c r="B45" s="126">
        <v>0.03</v>
      </c>
      <c r="C45" s="1767" t="s">
        <v>2056</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2057</v>
      </c>
      <c r="B46" s="126">
        <v>0.02</v>
      </c>
      <c r="C46" s="1767" t="s">
        <v>2058</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2059</v>
      </c>
      <c r="B47" s="129"/>
      <c r="C47" s="1767" t="s">
        <v>2060</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2061</v>
      </c>
      <c r="B48" s="130">
        <v>0.03</v>
      </c>
      <c r="C48" s="1774" t="s">
        <v>2062</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2063</v>
      </c>
      <c r="B49" s="126">
        <v>5.0000000000000001E-4</v>
      </c>
      <c r="C49" s="1774" t="s">
        <v>2064</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2065</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2066</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2067</v>
      </c>
      <c r="B52" s="133">
        <f>SUMIF(A54:A63,B53,B54:B63)</f>
        <v>11</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2068</v>
      </c>
      <c r="B53" s="2337" t="s">
        <v>269</v>
      </c>
      <c r="C53" s="1430" t="s">
        <v>2069</v>
      </c>
      <c r="D53" s="2338" t="s">
        <v>2070</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2071</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2072</v>
      </c>
      <c r="B55" s="84">
        <v>11</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2073</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2074</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2075</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2076</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2077</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2078</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2079</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2080</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9" sqref="E9"/>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93" t="s">
        <v>2081</v>
      </c>
      <c r="B1" s="3094"/>
      <c r="C1" s="3094"/>
      <c r="D1" s="3094"/>
      <c r="E1" s="3094"/>
      <c r="F1" s="3094"/>
      <c r="G1" s="309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71" t="s">
        <v>2085</v>
      </c>
      <c r="C3" s="2371" t="s">
        <v>2086</v>
      </c>
      <c r="D3" s="2372"/>
      <c r="E3" s="431" t="s">
        <v>2084</v>
      </c>
      <c r="F3" s="2373" t="s">
        <v>2087</v>
      </c>
      <c r="G3" s="2374" t="s">
        <v>2088</v>
      </c>
      <c r="H3" s="2369"/>
      <c r="I3" s="2369"/>
      <c r="J3" s="2369"/>
      <c r="K3" s="2369"/>
      <c r="L3" s="2369"/>
      <c r="M3" s="2369"/>
      <c r="N3" s="2369"/>
      <c r="O3" s="2369"/>
      <c r="P3" s="2369"/>
      <c r="Q3" s="2369"/>
      <c r="R3" s="2369"/>
    </row>
    <row r="4" spans="1:29" ht="40.5">
      <c r="A4" s="431"/>
      <c r="B4" s="1798" t="s">
        <v>2089</v>
      </c>
      <c r="C4" s="2981" t="s">
        <v>3157</v>
      </c>
      <c r="D4" s="2372"/>
      <c r="E4" s="2375"/>
      <c r="F4" s="42" t="s">
        <v>2090</v>
      </c>
      <c r="G4" s="2376" t="s">
        <v>2091</v>
      </c>
      <c r="H4" s="2369"/>
      <c r="I4" s="2369"/>
      <c r="J4" s="2369"/>
      <c r="K4" s="2369"/>
      <c r="L4" s="2369"/>
      <c r="M4" s="2369"/>
      <c r="N4" s="2369"/>
      <c r="O4" s="2369"/>
      <c r="P4" s="2369"/>
      <c r="Q4" s="2369"/>
      <c r="R4" s="2369"/>
    </row>
    <row r="5" spans="1:29" ht="40.5">
      <c r="A5" s="431"/>
      <c r="B5" s="1798" t="s">
        <v>2092</v>
      </c>
      <c r="C5" s="2981" t="s">
        <v>3101</v>
      </c>
      <c r="D5" s="2372"/>
      <c r="E5" s="2375"/>
      <c r="F5" s="1798" t="s">
        <v>2093</v>
      </c>
      <c r="G5" s="2376" t="s">
        <v>2094</v>
      </c>
      <c r="H5" s="2369"/>
      <c r="I5" s="2369"/>
      <c r="J5" s="2369"/>
      <c r="K5" s="2369"/>
      <c r="L5" s="2369"/>
      <c r="M5" s="2369"/>
      <c r="N5" s="2369"/>
      <c r="O5" s="2369"/>
      <c r="P5" s="2369"/>
      <c r="Q5" s="2369"/>
      <c r="R5" s="2369"/>
    </row>
    <row r="6" spans="1:29" ht="81">
      <c r="A6" s="431"/>
      <c r="B6" s="1798" t="s">
        <v>2095</v>
      </c>
      <c r="C6" s="2988" t="s">
        <v>3155</v>
      </c>
      <c r="D6" s="2372"/>
      <c r="E6" s="2375"/>
      <c r="F6" s="1798" t="s">
        <v>2096</v>
      </c>
      <c r="G6" s="2376" t="s">
        <v>2097</v>
      </c>
      <c r="H6" s="2369"/>
      <c r="I6" s="2369"/>
      <c r="J6" s="2369"/>
      <c r="K6" s="2369"/>
      <c r="L6" s="2369"/>
      <c r="M6" s="2369"/>
      <c r="N6" s="2369"/>
      <c r="O6" s="2369"/>
      <c r="P6" s="2369"/>
      <c r="Q6" s="2369"/>
      <c r="R6" s="2369"/>
    </row>
    <row r="7" spans="1:29" ht="68.25" thickBot="1">
      <c r="A7" s="431"/>
      <c r="B7" s="1798" t="s">
        <v>2093</v>
      </c>
      <c r="C7" s="2988" t="s">
        <v>3156</v>
      </c>
      <c r="D7" s="2377"/>
      <c r="E7" s="2378"/>
      <c r="F7" s="2379" t="s">
        <v>2098</v>
      </c>
      <c r="G7" s="2380" t="s">
        <v>2099</v>
      </c>
      <c r="H7" s="2369"/>
      <c r="I7" s="2369"/>
      <c r="J7" s="2369"/>
      <c r="K7" s="2369"/>
      <c r="L7" s="2369"/>
      <c r="M7" s="2369"/>
      <c r="N7" s="2369"/>
      <c r="O7" s="2369"/>
      <c r="P7" s="2369"/>
      <c r="Q7" s="2369"/>
      <c r="R7" s="2369"/>
    </row>
    <row r="8" spans="1:29" ht="27">
      <c r="A8" s="431"/>
      <c r="B8" s="1798" t="s">
        <v>2096</v>
      </c>
      <c r="C8" s="2988" t="s">
        <v>3119</v>
      </c>
      <c r="D8" s="2377"/>
      <c r="E8" s="2377"/>
      <c r="F8" s="1136"/>
      <c r="G8" s="1136"/>
      <c r="H8" s="2369"/>
      <c r="I8" s="2369"/>
      <c r="J8" s="2369"/>
      <c r="K8" s="2369"/>
      <c r="L8" s="2369"/>
      <c r="M8" s="2369"/>
      <c r="N8" s="2369"/>
      <c r="O8" s="2369"/>
      <c r="P8" s="2369"/>
      <c r="Q8" s="2369"/>
      <c r="R8" s="2369"/>
    </row>
    <row r="9" spans="1:29" ht="54">
      <c r="A9" s="431"/>
      <c r="B9" s="1798" t="s">
        <v>2100</v>
      </c>
      <c r="C9" s="2981" t="s">
        <v>3162</v>
      </c>
      <c r="D9" s="2372"/>
      <c r="E9" s="2377"/>
      <c r="F9" s="1136"/>
      <c r="G9" s="1136"/>
      <c r="H9" s="2369"/>
      <c r="I9" s="2369"/>
      <c r="J9" s="2369"/>
      <c r="K9" s="2369"/>
      <c r="L9" s="2369"/>
      <c r="M9" s="2369"/>
      <c r="N9" s="2369"/>
      <c r="O9" s="2369"/>
      <c r="P9" s="2369"/>
      <c r="Q9" s="2369"/>
      <c r="R9" s="2369"/>
    </row>
    <row r="10" spans="1:29" s="117" customFormat="1" ht="15.75" thickBot="1">
      <c r="A10" s="2381"/>
      <c r="B10" s="2382" t="s">
        <v>2101</v>
      </c>
      <c r="C10" s="2383"/>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2"/>
      <c r="D11" s="2372"/>
      <c r="E11" s="2372"/>
      <c r="F11" s="2377"/>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2"/>
      <c r="D12" s="2388"/>
      <c r="E12" s="2372"/>
      <c r="F12" s="2377"/>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2102</v>
      </c>
      <c r="B13" s="2388"/>
      <c r="C13" s="2388"/>
      <c r="D13" s="2395"/>
      <c r="E13" s="2388"/>
      <c r="F13" s="2388"/>
      <c r="G13" s="2388"/>
    </row>
    <row r="14" spans="1:29" ht="15.75" thickBot="1">
      <c r="A14" s="2399"/>
      <c r="B14" s="2400"/>
      <c r="C14" s="2401" t="s">
        <v>2103</v>
      </c>
      <c r="D14" s="2372"/>
      <c r="E14" s="2402"/>
      <c r="F14" s="2402"/>
      <c r="G14" s="2366" t="s">
        <v>2104</v>
      </c>
    </row>
    <row r="15" spans="1:29" ht="57">
      <c r="A15" s="68" t="s">
        <v>2105</v>
      </c>
      <c r="B15" s="1270" t="s">
        <v>2085</v>
      </c>
      <c r="C15" s="2403" t="str">
        <f>C3</f>
        <v>估价对象周边居住用地比例、居住小区规模和社区发展完善程度，综合评价居住社区成熟度一般</v>
      </c>
      <c r="D15" s="2372"/>
      <c r="E15" s="2404" t="s">
        <v>2106</v>
      </c>
      <c r="F15" s="1270" t="s">
        <v>2107</v>
      </c>
      <c r="G15" s="135" t="str">
        <f>G3</f>
        <v>估价对象位于XX开发区，园区建设成熟度XX，产业集聚程度XX</v>
      </c>
    </row>
    <row r="16" spans="1:29" ht="42.75">
      <c r="A16" s="645"/>
      <c r="B16" s="2405" t="s">
        <v>2089</v>
      </c>
      <c r="C16" s="2406" t="str">
        <f>C4</f>
        <v>估价对象周边商业氛围一般，有华阳广场，人流量一般，商业繁华度一般</v>
      </c>
      <c r="D16" s="2372"/>
      <c r="E16" s="2407"/>
      <c r="F16" s="2408" t="s">
        <v>2090</v>
      </c>
      <c r="G16" s="136" t="str">
        <f>G4</f>
        <v>估价对象周边道路状况、公共交通通达情况、停车便捷程度，综合评价交通便捷度较好</v>
      </c>
    </row>
    <row r="17" spans="1:18" ht="42.75">
      <c r="A17" s="645"/>
      <c r="B17" s="2405" t="s">
        <v>2092</v>
      </c>
      <c r="C17" s="2406" t="str">
        <f>C5</f>
        <v>估价对象周边办公楼项目数量一般，入驻率较高，办公集聚程度一般</v>
      </c>
      <c r="D17" s="2377"/>
      <c r="E17" s="2407"/>
      <c r="F17" s="2408" t="s">
        <v>2108</v>
      </c>
      <c r="G17" s="1572"/>
    </row>
    <row r="18" spans="1:18" ht="85.5">
      <c r="A18" s="645"/>
      <c r="B18" s="2408" t="s">
        <v>2095</v>
      </c>
      <c r="C18" s="136" t="str">
        <f>C6</f>
        <v>估价对象周边道路路网密集，有延安南路、塔城东路、公共交通通达情况较好，有1路、54路、44路，停车便捷程度较好，综合评价交通便捷度较好</v>
      </c>
      <c r="D18" s="2377"/>
      <c r="E18" s="2407"/>
      <c r="F18" s="2408" t="s">
        <v>2098</v>
      </c>
      <c r="G18" s="136" t="str">
        <f>G7</f>
        <v>该园区内是否有污染型企业，绿化情况，卫生条件，整体环境状况判断</v>
      </c>
    </row>
    <row r="19" spans="1:18" ht="28.5">
      <c r="A19" s="645"/>
      <c r="B19" s="2408" t="s">
        <v>2109</v>
      </c>
      <c r="C19" s="1572"/>
      <c r="D19" s="2372"/>
      <c r="E19" s="2407"/>
      <c r="F19" s="1798" t="s">
        <v>2093</v>
      </c>
      <c r="G19" s="136" t="str">
        <f>G5</f>
        <v>估价对象所在区域公共配套设施齐备情况</v>
      </c>
    </row>
    <row r="20" spans="1:18" ht="57">
      <c r="A20" s="645"/>
      <c r="B20" s="2408" t="s">
        <v>2110</v>
      </c>
      <c r="C20" s="2406" t="str">
        <f>C9</f>
        <v>区域内有晋昌公园，自然环境较好；有昌吉回族自治州技师培训学院，人文环境较好；综合评价环境状况较好</v>
      </c>
      <c r="D20" s="2377"/>
      <c r="E20" s="2407"/>
      <c r="F20" s="1798" t="s">
        <v>2111</v>
      </c>
      <c r="G20" s="136" t="str">
        <f>G6</f>
        <v>估价对象所在区域基础设施水平</v>
      </c>
    </row>
    <row r="21" spans="1:18" ht="71.25">
      <c r="A21" s="645"/>
      <c r="B21" s="1798" t="s">
        <v>2093</v>
      </c>
      <c r="C21" s="136" t="str">
        <f>C7</f>
        <v>估价对象所在区域有中国工商银行、昌吉市北京南路石油新村社区卫生服务站、铭日商店、昌吉市第五小学，公共配套设施较较齐备</v>
      </c>
      <c r="D21" s="2372"/>
      <c r="E21" s="2407"/>
      <c r="F21" s="2408" t="s">
        <v>2112</v>
      </c>
      <c r="G21" s="2409"/>
    </row>
    <row r="22" spans="1:18" ht="13.5" customHeight="1">
      <c r="A22" s="645"/>
      <c r="B22" s="1798" t="s">
        <v>2096</v>
      </c>
      <c r="C22" s="136" t="str">
        <f>C8</f>
        <v>估价对象所在区域基础设施七通</v>
      </c>
      <c r="D22" s="2372"/>
      <c r="E22" s="2407"/>
      <c r="F22" s="2408" t="s">
        <v>2101</v>
      </c>
      <c r="G22" s="1572"/>
    </row>
    <row r="23" spans="1:18" s="2369"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69"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A16" sqref="A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2729.87</v>
      </c>
      <c r="C1" s="1745"/>
      <c r="D1" s="1745"/>
      <c r="E1" s="1745"/>
      <c r="F1" s="1745"/>
      <c r="G1" s="1743"/>
    </row>
    <row r="2" spans="1:10" ht="16.5">
      <c r="A2" s="1746" t="s">
        <v>1353</v>
      </c>
      <c r="B2" s="1746">
        <f>SUM(C14:C23)</f>
        <v>698.38</v>
      </c>
      <c r="C2" s="1745"/>
      <c r="D2" s="1745"/>
      <c r="E2" s="1745"/>
      <c r="F2" s="1745"/>
      <c r="G2" s="1743"/>
    </row>
    <row r="3" spans="1:10" ht="16.5">
      <c r="A3" s="1746" t="s">
        <v>1362</v>
      </c>
      <c r="B3" s="1747">
        <f>项目基本情况!D3</f>
        <v>43214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2649</v>
      </c>
      <c r="C5" s="1746">
        <f ca="1">ROUND(B5*10000/$B$1,0)</f>
        <v>9704</v>
      </c>
      <c r="D5" s="1746">
        <f ca="1">ROUND(B5*10000/$B$2,0)</f>
        <v>37931</v>
      </c>
      <c r="E5" s="1745"/>
      <c r="F5" s="1743"/>
      <c r="G5" s="1743"/>
    </row>
    <row r="6" spans="1:10" ht="16.5">
      <c r="A6" s="1746" t="s">
        <v>1356</v>
      </c>
      <c r="B6" s="1746">
        <f ca="1">SUM(G14:G23)</f>
        <v>2649</v>
      </c>
      <c r="C6" s="1746">
        <f ca="1">ROUND(B6*10000/$B$1,0)</f>
        <v>9704</v>
      </c>
      <c r="D6" s="1746">
        <f ca="1">ROUND(B6*10000/$B$2,0)</f>
        <v>37931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349.87</v>
      </c>
      <c r="C14" s="1744">
        <f>结果表!C118</f>
        <v>89.51</v>
      </c>
      <c r="D14" s="1744">
        <f ca="1">结果表!H118</f>
        <v>803</v>
      </c>
      <c r="E14" s="1744">
        <f ca="1">ROUND(D14*10000/B14,0)</f>
        <v>22951</v>
      </c>
      <c r="F14" s="1744">
        <f ca="1">ROUND(D14*10000/C14,0)</f>
        <v>89711</v>
      </c>
      <c r="G14" s="1744">
        <f ca="1">结果表!D122</f>
        <v>803</v>
      </c>
      <c r="H14" s="1744" t="str">
        <f>结果表!D124</f>
        <v>——</v>
      </c>
      <c r="I14" s="1744" t="str">
        <f>结果表!D126</f>
        <v>——</v>
      </c>
      <c r="J14" s="1743"/>
    </row>
    <row r="15" spans="1:10" ht="16.5">
      <c r="A15" s="1742" t="s">
        <v>1349</v>
      </c>
      <c r="B15" s="1749">
        <f>'结果表-办公'!L18</f>
        <v>2380</v>
      </c>
      <c r="C15" s="1749">
        <f>'结果表-办公'!L19</f>
        <v>608.87</v>
      </c>
      <c r="D15" s="1749">
        <f ca="1">典型户型修正!S25</f>
        <v>1846</v>
      </c>
      <c r="E15" s="1744">
        <f t="shared" ref="E15:E23" ca="1" si="0">ROUND(D15*10000/B15,0)</f>
        <v>7756</v>
      </c>
      <c r="F15" s="1744">
        <f t="shared" ref="F15:F23" ca="1" si="1">ROUND(D15*10000/C15,0)</f>
        <v>30318</v>
      </c>
      <c r="G15" s="1750">
        <f ca="1">D15</f>
        <v>1846</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C97" zoomScaleSheetLayoutView="100" zoomScalePageLayoutView="80" workbookViewId="0">
      <selection activeCell="D111" sqref="D11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2115</v>
      </c>
      <c r="B1" s="2419"/>
      <c r="C1" s="2420" t="s">
        <v>3066</v>
      </c>
      <c r="D1" s="2419"/>
      <c r="E1" s="2419"/>
      <c r="F1" s="2421" t="s">
        <v>2116</v>
      </c>
      <c r="G1" s="2072" t="s">
        <v>3073</v>
      </c>
      <c r="H1" s="2422" t="str">
        <f>IF(G1="现房","——","估价对象范围")</f>
        <v>——</v>
      </c>
      <c r="I1" s="2423"/>
    </row>
    <row r="2" spans="1:12" ht="21.75" customHeight="1" thickBot="1">
      <c r="A2" s="3128" t="str">
        <f>项目基本情况!S2</f>
        <v>新疆省昌吉市延安南路46号小区房地产</v>
      </c>
      <c r="B2" s="3129"/>
      <c r="C2" s="3129"/>
      <c r="D2" s="3129"/>
      <c r="E2" s="3129"/>
      <c r="F2" s="3129"/>
      <c r="G2" s="3129"/>
      <c r="H2" s="3129"/>
      <c r="I2" s="3130"/>
    </row>
    <row r="3" spans="1:12" ht="12.75">
      <c r="A3" s="3132" t="s">
        <v>2117</v>
      </c>
      <c r="B3" s="3133"/>
      <c r="C3" s="3133"/>
      <c r="D3" s="3133"/>
      <c r="E3" s="3133"/>
      <c r="F3" s="3133"/>
      <c r="G3" s="3133"/>
      <c r="H3" s="3133"/>
      <c r="I3" s="3133"/>
    </row>
    <row r="4" spans="1:12" ht="14.25">
      <c r="A4" s="2426" t="s">
        <v>2118</v>
      </c>
      <c r="B4" s="2427" t="s">
        <v>2119</v>
      </c>
      <c r="C4" s="2428" t="s">
        <v>3074</v>
      </c>
      <c r="D4" s="2428" t="s">
        <v>3065</v>
      </c>
      <c r="E4" s="3125" t="s">
        <v>2120</v>
      </c>
      <c r="F4" s="3126"/>
      <c r="G4" s="3126"/>
      <c r="H4" s="3126"/>
      <c r="I4" s="3134"/>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8" t="s">
        <v>2121</v>
      </c>
      <c r="B5" s="3046">
        <v>25</v>
      </c>
      <c r="C5" s="3111"/>
      <c r="D5" s="3131"/>
      <c r="E5" s="140" t="s">
        <v>2122</v>
      </c>
      <c r="F5" s="2430"/>
      <c r="G5" s="2430"/>
      <c r="H5" s="2430"/>
      <c r="I5" s="1834"/>
    </row>
    <row r="6" spans="1:12" ht="12.75">
      <c r="A6" s="3108"/>
      <c r="B6" s="3046"/>
      <c r="C6" s="3112"/>
      <c r="D6" s="3131"/>
      <c r="E6" s="140" t="s">
        <v>2123</v>
      </c>
      <c r="F6" s="2430"/>
      <c r="G6" s="2430"/>
      <c r="H6" s="2430"/>
      <c r="I6" s="1834"/>
    </row>
    <row r="7" spans="1:12" ht="12.75">
      <c r="A7" s="3108"/>
      <c r="B7" s="3046"/>
      <c r="C7" s="3113"/>
      <c r="D7" s="3131"/>
      <c r="E7" s="140" t="s">
        <v>2124</v>
      </c>
      <c r="F7" s="2430"/>
      <c r="G7" s="2430"/>
      <c r="H7" s="2430"/>
      <c r="I7" s="1834"/>
    </row>
    <row r="8" spans="1:12" ht="12.75">
      <c r="A8" s="3108" t="s">
        <v>2125</v>
      </c>
      <c r="B8" s="3046">
        <v>15</v>
      </c>
      <c r="C8" s="3111"/>
      <c r="D8" s="3131"/>
      <c r="E8" s="140" t="s">
        <v>2126</v>
      </c>
      <c r="F8" s="2430"/>
      <c r="G8" s="2430"/>
      <c r="H8" s="2430"/>
      <c r="I8" s="1834"/>
    </row>
    <row r="9" spans="1:12" ht="12.75">
      <c r="A9" s="3108"/>
      <c r="B9" s="3046"/>
      <c r="C9" s="3113"/>
      <c r="D9" s="3131"/>
      <c r="E9" s="140" t="s">
        <v>2127</v>
      </c>
      <c r="F9" s="2430"/>
      <c r="G9" s="2430"/>
      <c r="H9" s="2430"/>
      <c r="I9" s="1834"/>
    </row>
    <row r="10" spans="1:12" ht="12.75">
      <c r="A10" s="3108" t="s">
        <v>2128</v>
      </c>
      <c r="B10" s="3046">
        <v>15</v>
      </c>
      <c r="C10" s="3111"/>
      <c r="D10" s="3131"/>
      <c r="E10" s="140" t="s">
        <v>2129</v>
      </c>
      <c r="F10" s="2430"/>
      <c r="G10" s="2430"/>
      <c r="H10" s="2430"/>
      <c r="I10" s="1834"/>
    </row>
    <row r="11" spans="1:12" ht="12.75">
      <c r="A11" s="3108"/>
      <c r="B11" s="3046"/>
      <c r="C11" s="3113"/>
      <c r="D11" s="3131"/>
      <c r="E11" s="140" t="s">
        <v>2130</v>
      </c>
      <c r="F11" s="2430"/>
      <c r="G11" s="2430"/>
      <c r="H11" s="2430"/>
      <c r="I11" s="1834"/>
    </row>
    <row r="12" spans="1:12" ht="12.75">
      <c r="A12" s="3108" t="s">
        <v>2131</v>
      </c>
      <c r="B12" s="3046">
        <v>15</v>
      </c>
      <c r="C12" s="3111"/>
      <c r="D12" s="3131"/>
      <c r="E12" s="140" t="s">
        <v>2132</v>
      </c>
      <c r="F12" s="2430"/>
      <c r="G12" s="2430"/>
      <c r="H12" s="2430"/>
      <c r="I12" s="1834"/>
    </row>
    <row r="13" spans="1:12" ht="12.75">
      <c r="A13" s="3108"/>
      <c r="B13" s="3046"/>
      <c r="C13" s="3113"/>
      <c r="D13" s="3131"/>
      <c r="E13" s="140" t="s">
        <v>2133</v>
      </c>
      <c r="F13" s="2430"/>
      <c r="G13" s="2430"/>
      <c r="H13" s="2430"/>
      <c r="I13" s="1834"/>
    </row>
    <row r="14" spans="1:12" ht="12.75">
      <c r="A14" s="3108" t="s">
        <v>2134</v>
      </c>
      <c r="B14" s="3046">
        <v>30</v>
      </c>
      <c r="C14" s="3111">
        <v>7</v>
      </c>
      <c r="D14" s="3131">
        <v>3</v>
      </c>
      <c r="E14" s="140" t="s">
        <v>2135</v>
      </c>
      <c r="F14" s="2430"/>
      <c r="G14" s="2430"/>
      <c r="H14" s="2430"/>
      <c r="I14" s="1834"/>
    </row>
    <row r="15" spans="1:12" ht="12.75">
      <c r="A15" s="3108"/>
      <c r="B15" s="3046"/>
      <c r="C15" s="3112"/>
      <c r="D15" s="3131"/>
      <c r="E15" s="140" t="s">
        <v>2136</v>
      </c>
      <c r="F15" s="2430"/>
      <c r="G15" s="2430"/>
      <c r="H15" s="2430"/>
      <c r="I15" s="1834"/>
    </row>
    <row r="16" spans="1:12" ht="12.75">
      <c r="A16" s="3108"/>
      <c r="B16" s="3046"/>
      <c r="C16" s="3113"/>
      <c r="D16" s="3131"/>
      <c r="E16" s="140" t="s">
        <v>2137</v>
      </c>
      <c r="F16" s="2430"/>
      <c r="G16" s="2430"/>
      <c r="H16" s="2430"/>
      <c r="I16" s="1834"/>
    </row>
    <row r="17" spans="1:35" ht="15">
      <c r="A17" s="2431" t="s">
        <v>2138</v>
      </c>
      <c r="B17" s="64"/>
      <c r="C17" s="141">
        <f>SUM(C5:C16)</f>
        <v>7</v>
      </c>
      <c r="D17" s="141">
        <f>SUM(D5:D16)</f>
        <v>3</v>
      </c>
      <c r="E17" s="138"/>
      <c r="F17" s="138"/>
      <c r="G17" s="138"/>
      <c r="H17" s="138"/>
      <c r="I17" s="138"/>
      <c r="K17" s="2429"/>
      <c r="L17" s="2432" t="s">
        <v>2139</v>
      </c>
      <c r="M17" s="2432" t="s">
        <v>2140</v>
      </c>
    </row>
    <row r="18" spans="1:35" ht="15.75" thickBot="1">
      <c r="A18" s="2433" t="s">
        <v>2141</v>
      </c>
      <c r="B18" s="2434"/>
      <c r="C18" s="142">
        <f>ROUND(C17/SUM(C17:D17),2)</f>
        <v>0.7</v>
      </c>
      <c r="D18" s="142">
        <f>1-C18</f>
        <v>0.30000000000000004</v>
      </c>
      <c r="E18" s="138"/>
      <c r="F18" s="138"/>
      <c r="G18" s="138"/>
      <c r="H18" s="138"/>
      <c r="I18" s="138"/>
      <c r="K18" s="2429" t="s">
        <v>2142</v>
      </c>
      <c r="L18" s="2429">
        <f>IF(C1="",'数据-汇总表'!E3,SUMIF(项目类型,C1,'数据-汇总表'!E17:E26)+SUMIF(项目类型,C1,'数据-汇总表'!I17:I26))</f>
        <v>349.87</v>
      </c>
      <c r="M18" s="2429">
        <f>IF(C1="",'数据-汇总表'!E3,SUMIF(项目类型,C1,'数据-汇总表'!E17:E26))</f>
        <v>349.87</v>
      </c>
    </row>
    <row r="19" spans="1:35" ht="15">
      <c r="A19" s="2435" t="s">
        <v>2143</v>
      </c>
      <c r="B19" s="2436" t="s">
        <v>2144</v>
      </c>
      <c r="C19" s="143">
        <f ca="1">SUMIF(INDIRECT("'"&amp;C4&amp;"'"&amp;"!A:A"),结果表!B19,INDIRECT("'"&amp;C4&amp;"'"&amp;"!B:B"))</f>
        <v>935</v>
      </c>
      <c r="D19" s="144">
        <f ca="1">SUMIF(INDIRECT("'"&amp;D4&amp;"'"&amp;"!A:A"),结果表!B19,INDIRECT("'"&amp;D4&amp;"'"&amp;"!B:B"))</f>
        <v>494</v>
      </c>
      <c r="E19" s="2435" t="s">
        <v>2145</v>
      </c>
      <c r="F19" s="2436" t="s">
        <v>2144</v>
      </c>
      <c r="G19" s="145">
        <f ca="1">ROUND(C19*$C$18+D19*$D$18,0)</f>
        <v>803</v>
      </c>
      <c r="H19" s="2437" t="s">
        <v>2146</v>
      </c>
      <c r="I19" s="138"/>
      <c r="K19" s="2429" t="s">
        <v>2147</v>
      </c>
      <c r="L19" s="2429">
        <f>IF(C1="",'数据-汇总表'!D3,SUMIF(项目类型,C1,'数据-汇总表'!D17:D26)+SUMIF(项目类型,C1,'数据-汇总表'!H17:H27))</f>
        <v>89.51</v>
      </c>
      <c r="M19" s="2429">
        <f>IF(C1="",'数据-汇总表'!D3,SUMIF(项目类型,C1,'数据-汇总表'!D17:D26))</f>
        <v>89.51</v>
      </c>
    </row>
    <row r="20" spans="1:35" ht="15">
      <c r="A20" s="2438"/>
      <c r="B20" s="1250" t="s">
        <v>2148</v>
      </c>
      <c r="C20" s="146">
        <f ca="1">SUMIF(INDIRECT("'"&amp;C4&amp;"'"&amp;"!A:A"),结果表!B20,INDIRECT("'"&amp;C4&amp;"'"&amp;"!B:B"))</f>
        <v>26715</v>
      </c>
      <c r="D20" s="147">
        <f ca="1">SUMIF(INDIRECT("'"&amp;D4&amp;"'"&amp;"!A:A"),结果表!B20,INDIRECT("'"&amp;D4&amp;"'"&amp;"!B:B"))</f>
        <v>14131</v>
      </c>
      <c r="E20" s="2438"/>
      <c r="F20" s="1250" t="s">
        <v>2148</v>
      </c>
      <c r="G20" s="148">
        <f ca="1">ROUND(C20*$C$18+D20*$D$18,0)</f>
        <v>22940</v>
      </c>
      <c r="H20" s="983" t="s">
        <v>2149</v>
      </c>
      <c r="I20" s="138"/>
    </row>
    <row r="21" spans="1:35" ht="15" customHeight="1" thickBot="1">
      <c r="A21" s="1003"/>
      <c r="B21" s="2439" t="s">
        <v>2150</v>
      </c>
      <c r="C21" s="789">
        <f ca="1">ROUND(C19*10000/L19,0)</f>
        <v>104458</v>
      </c>
      <c r="D21" s="790">
        <f ca="1">ROUND(D19*10000/L19,0)</f>
        <v>55189</v>
      </c>
      <c r="E21" s="1003"/>
      <c r="F21" s="2439" t="s">
        <v>2150</v>
      </c>
      <c r="G21" s="149">
        <f ca="1">ROUND(G19*10000/L19,0)</f>
        <v>89711</v>
      </c>
      <c r="H21" s="2440" t="s">
        <v>2149</v>
      </c>
      <c r="I21" s="138"/>
    </row>
    <row r="22" spans="1:35" ht="15" thickBot="1">
      <c r="A22" s="2282" t="s">
        <v>2151</v>
      </c>
      <c r="B22" s="2441"/>
      <c r="C22" s="2442"/>
      <c r="D22" s="791">
        <f ca="1">IF(C19&lt;D19,D19/C19-1,C19/D19-1)</f>
        <v>0.89271255060728749</v>
      </c>
      <c r="E22" s="138"/>
      <c r="F22" s="138"/>
      <c r="G22" s="138"/>
      <c r="H22" s="138"/>
      <c r="I22" s="138"/>
    </row>
    <row r="23" spans="1:35" ht="13.5" thickBot="1">
      <c r="A23" s="2419"/>
      <c r="B23" s="2419"/>
      <c r="C23" s="2419"/>
      <c r="D23" s="2419"/>
      <c r="E23" s="138"/>
      <c r="F23" s="138"/>
      <c r="G23" s="138"/>
      <c r="H23" s="138"/>
      <c r="I23" s="138"/>
    </row>
    <row r="24" spans="1:35" ht="14.25">
      <c r="A24" s="3102" t="s">
        <v>2152</v>
      </c>
      <c r="B24" s="2436" t="s">
        <v>2144</v>
      </c>
      <c r="C24" s="145">
        <f>IF(B30=0,0,D30)</f>
        <v>0</v>
      </c>
      <c r="D24" s="2443"/>
      <c r="E24" s="138"/>
      <c r="F24" s="138"/>
      <c r="G24" s="138"/>
      <c r="H24" s="138"/>
      <c r="I24" s="138"/>
    </row>
    <row r="25" spans="1:35" ht="14.25">
      <c r="A25" s="3103"/>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803</v>
      </c>
      <c r="D32" s="2450" t="s">
        <v>3142</v>
      </c>
      <c r="E32" s="138"/>
      <c r="F32" s="138"/>
      <c r="G32" s="138"/>
      <c r="H32" s="138"/>
      <c r="I32" s="138"/>
    </row>
    <row r="33" spans="1:15" ht="15">
      <c r="A33" s="960" t="s">
        <v>2160</v>
      </c>
      <c r="B33" s="2451"/>
      <c r="C33" s="2452" t="s">
        <v>3141</v>
      </c>
      <c r="D33" s="2453" t="s">
        <v>3065</v>
      </c>
      <c r="E33" s="2454" t="s">
        <v>2161</v>
      </c>
      <c r="F33" s="2455" t="str">
        <f>IF(D32="楼面单价","取值（单价）","取值（总价）")</f>
        <v>取值（总价）</v>
      </c>
      <c r="G33" s="138"/>
      <c r="H33" s="138"/>
      <c r="I33" s="138"/>
    </row>
    <row r="34" spans="1:15" ht="15">
      <c r="A34" s="2456"/>
      <c r="B34" s="2457" t="s">
        <v>2162</v>
      </c>
      <c r="C34" s="157">
        <f ca="1">IF(C33="自定义",F34,C32-C35)</f>
        <v>451</v>
      </c>
      <c r="D34" s="1058">
        <f ca="1">IF(C33="自定义",ROUND(C34/C32,3),IF(C33="收益比率",SUMIF(INDIRECT("'"&amp;D33&amp;"'"&amp;"!b:b"),"土地收益比率",INDIRECT("'"&amp;D33&amp;"'"&amp;"!c:c")),SUMIF(INDIRECT("'"&amp;D33&amp;"'"&amp;"!b:b"),"土地成本比率",INDIRECT("'"&amp;D33&amp;"'"&amp;"!c:c"))))</f>
        <v>0.56200000000000006</v>
      </c>
      <c r="E34" s="2458" t="s">
        <v>2163</v>
      </c>
      <c r="F34" s="2996"/>
      <c r="G34" s="138"/>
      <c r="H34" s="138"/>
      <c r="I34" s="138"/>
    </row>
    <row r="35" spans="1:15" ht="15.75" thickBot="1">
      <c r="A35" s="2459"/>
      <c r="B35" s="2460" t="s">
        <v>2164</v>
      </c>
      <c r="C35" s="1444">
        <f ca="1">IF(C33="自定义",F35,ROUND(C32*D35,0))</f>
        <v>352</v>
      </c>
      <c r="D35" s="1445">
        <f ca="1">IF(C33="自定义",ROUND(C35/C32,3),IF(C33="收益比率",SUMIF(INDIRECT("'"&amp;D33&amp;"'"&amp;"!b:b"),"建筑物收益比率",INDIRECT("'"&amp;D33&amp;"'"&amp;"!c:c")),SUMIF(INDIRECT("'"&amp;D33&amp;"'"&amp;"!b:b"),"建筑物成本比率",INDIRECT("'"&amp;D33&amp;"'"&amp;"!c:c"))))</f>
        <v>0.438</v>
      </c>
      <c r="E35" s="2461" t="s">
        <v>2165</v>
      </c>
      <c r="F35" s="163"/>
      <c r="G35" s="138"/>
      <c r="H35" s="138"/>
      <c r="I35" s="138"/>
    </row>
    <row r="36" spans="1:15" ht="15.75" thickBot="1">
      <c r="A36" s="3120" t="s">
        <v>2166</v>
      </c>
      <c r="B36" s="2462" t="s">
        <v>2167</v>
      </c>
      <c r="C36" s="154"/>
      <c r="D36" s="2463"/>
      <c r="E36" s="2464"/>
      <c r="F36" s="2465"/>
      <c r="G36" s="138"/>
      <c r="H36" s="138"/>
      <c r="I36" s="138"/>
    </row>
    <row r="37" spans="1:15" ht="15.75" thickBot="1">
      <c r="A37" s="3121"/>
      <c r="B37" s="2268" t="s">
        <v>2168</v>
      </c>
      <c r="C37" s="156"/>
      <c r="D37" s="1395"/>
      <c r="E37" s="1395"/>
      <c r="F37" s="2465"/>
      <c r="G37" s="138"/>
      <c r="H37" s="138"/>
      <c r="I37" s="138"/>
    </row>
    <row r="38" spans="1:15" ht="15.75" thickBot="1">
      <c r="A38" s="3122"/>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99" t="s">
        <v>2180</v>
      </c>
      <c r="B45" s="3100"/>
      <c r="C45" s="3101"/>
      <c r="D45" s="164">
        <f ca="1">ROUND(H101*F45,0)</f>
        <v>803</v>
      </c>
      <c r="E45" s="165" t="s">
        <v>2181</v>
      </c>
      <c r="F45" s="166">
        <v>1</v>
      </c>
      <c r="G45" s="167" t="s">
        <v>2182</v>
      </c>
      <c r="H45" s="138"/>
      <c r="I45" s="138"/>
      <c r="J45" s="3159" t="s">
        <v>2183</v>
      </c>
      <c r="K45" s="3159"/>
      <c r="L45" s="3159"/>
      <c r="M45" s="3159"/>
      <c r="N45" s="3159"/>
      <c r="O45" s="3159"/>
    </row>
    <row r="46" spans="1:15" ht="14.25" customHeight="1">
      <c r="A46" s="3096" t="s">
        <v>2184</v>
      </c>
      <c r="B46" s="3097"/>
      <c r="C46" s="3097"/>
      <c r="D46" s="3097"/>
      <c r="E46" s="3097"/>
      <c r="F46" s="3097"/>
      <c r="G46" s="3098"/>
      <c r="H46" s="2481"/>
      <c r="I46" s="168"/>
      <c r="J46" s="1812">
        <v>1</v>
      </c>
      <c r="K46" s="3159" t="s">
        <v>2185</v>
      </c>
      <c r="L46" s="3159"/>
      <c r="M46" s="3179"/>
      <c r="N46" s="3179"/>
      <c r="O46" s="3179"/>
    </row>
    <row r="47" spans="1:15" ht="12" customHeight="1">
      <c r="A47" s="169" t="s">
        <v>2186</v>
      </c>
      <c r="B47" s="170"/>
      <c r="C47" s="171"/>
      <c r="D47" s="172" t="s">
        <v>2187</v>
      </c>
      <c r="E47" s="24" t="s">
        <v>2188</v>
      </c>
      <c r="F47" s="173" t="s">
        <v>2189</v>
      </c>
      <c r="G47" s="174" t="s">
        <v>2190</v>
      </c>
      <c r="H47" s="2481"/>
      <c r="I47" s="168"/>
      <c r="J47" s="1812">
        <v>2</v>
      </c>
      <c r="K47" s="3159" t="s">
        <v>2191</v>
      </c>
      <c r="L47" s="3159"/>
      <c r="M47" s="3180">
        <f>'数据-取费表'!B2</f>
        <v>43214</v>
      </c>
      <c r="N47" s="3180"/>
      <c r="O47" s="3180"/>
    </row>
    <row r="48" spans="1:15" ht="25.5">
      <c r="A48" s="3127" t="s">
        <v>2192</v>
      </c>
      <c r="B48" s="3110"/>
      <c r="C48" s="3110"/>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159" t="s">
        <v>2195</v>
      </c>
      <c r="L48" s="3159"/>
      <c r="M48" s="3181">
        <f ca="1">H101</f>
        <v>803</v>
      </c>
      <c r="N48" s="3181"/>
      <c r="O48" s="3181"/>
    </row>
    <row r="49" spans="1:35" ht="25.5" customHeight="1">
      <c r="A49" s="176" t="s">
        <v>2196</v>
      </c>
      <c r="B49" s="3095" t="s">
        <v>2197</v>
      </c>
      <c r="C49" s="3095"/>
      <c r="D49" s="177">
        <v>0</v>
      </c>
      <c r="E49" s="23" t="s">
        <v>2198</v>
      </c>
      <c r="F49" s="28" t="s">
        <v>34</v>
      </c>
      <c r="G49" s="3165"/>
      <c r="H49" s="138"/>
      <c r="I49" s="2484"/>
      <c r="J49" s="1812">
        <v>4</v>
      </c>
      <c r="K49" s="3159" t="str">
        <f>IF(项目基本情况!E8="房地产抵押价值","房地产抵押价值","抵押担保权已注销时的房地产抵押价值")</f>
        <v>抵押担保权已注销时的房地产抵押价值</v>
      </c>
      <c r="L49" s="3159"/>
      <c r="M49" s="3181" t="str">
        <f>IF(项目基本情况!E8="房地产抵押价值",H107,H109)</f>
        <v>——</v>
      </c>
      <c r="N49" s="3181"/>
      <c r="O49" s="3181"/>
    </row>
    <row r="50" spans="1:35" ht="25.5" customHeight="1">
      <c r="A50" s="178"/>
      <c r="B50" s="3095" t="s">
        <v>2199</v>
      </c>
      <c r="C50" s="3095"/>
      <c r="D50" s="179"/>
      <c r="E50" s="31"/>
      <c r="F50" s="180"/>
      <c r="G50" s="3166"/>
      <c r="H50" s="138"/>
      <c r="I50" s="2484"/>
      <c r="J50" s="3159" t="s">
        <v>2200</v>
      </c>
      <c r="K50" s="3159"/>
      <c r="L50" s="3159"/>
      <c r="M50" s="3159"/>
      <c r="N50" s="3159"/>
      <c r="O50" s="3159"/>
    </row>
    <row r="51" spans="1:35" ht="12" customHeight="1">
      <c r="A51" s="181"/>
      <c r="B51" s="3095" t="s">
        <v>2201</v>
      </c>
      <c r="C51" s="3095"/>
      <c r="D51" s="182"/>
      <c r="E51" s="30"/>
      <c r="F51" s="180"/>
      <c r="G51" s="3167"/>
      <c r="H51" s="138"/>
      <c r="I51" s="2484"/>
      <c r="J51" s="2485" t="s">
        <v>2202</v>
      </c>
      <c r="K51" s="3159" t="s">
        <v>2203</v>
      </c>
      <c r="L51" s="3159"/>
      <c r="M51" s="2485" t="s">
        <v>2204</v>
      </c>
      <c r="N51" s="2485" t="s">
        <v>2205</v>
      </c>
      <c r="O51" s="2485" t="s">
        <v>2206</v>
      </c>
    </row>
    <row r="52" spans="1:35" ht="24" customHeight="1">
      <c r="A52" s="183" t="s">
        <v>2207</v>
      </c>
      <c r="B52" s="3095" t="s">
        <v>2208</v>
      </c>
      <c r="C52" s="3095"/>
      <c r="D52" s="182">
        <f ca="1">ROUND(D45*'数据-取费表'!B41/(1+'数据-取费表'!C42),0)</f>
        <v>43</v>
      </c>
      <c r="E52" s="11" t="s">
        <v>2209</v>
      </c>
      <c r="F52" s="184">
        <f>'数据-取费表'!B41</f>
        <v>5.6000000000000001E-2</v>
      </c>
      <c r="G52" s="2486"/>
      <c r="H52" s="138"/>
      <c r="I52" s="2484"/>
      <c r="J52" s="1812">
        <v>1</v>
      </c>
      <c r="K52" s="3160" t="s">
        <v>2210</v>
      </c>
      <c r="L52" s="3160"/>
      <c r="M52" s="1754">
        <f>D48</f>
        <v>0</v>
      </c>
      <c r="N52" s="1812" t="str">
        <f>E48</f>
        <v>销售额×税（费）率</v>
      </c>
      <c r="O52" s="1755" t="str">
        <f>F48</f>
        <v>免征</v>
      </c>
    </row>
    <row r="53" spans="1:35" ht="12" customHeight="1">
      <c r="A53" s="183" t="s">
        <v>2211</v>
      </c>
      <c r="B53" s="3118" t="s">
        <v>2212</v>
      </c>
      <c r="C53" s="3119"/>
      <c r="D53" s="182">
        <f ca="1">ROUND(D45*'数据-取费表'!B41/(1+'数据-取费表'!C42),0)</f>
        <v>43</v>
      </c>
      <c r="E53" s="11" t="s">
        <v>2209</v>
      </c>
      <c r="F53" s="184">
        <f>'数据-取费表'!B41</f>
        <v>5.6000000000000001E-2</v>
      </c>
      <c r="G53" s="2486"/>
      <c r="H53" s="138"/>
      <c r="I53" s="2484"/>
      <c r="J53" s="1812">
        <v>2</v>
      </c>
      <c r="K53" s="3160" t="s">
        <v>2213</v>
      </c>
      <c r="L53" s="3160"/>
      <c r="M53" s="1754">
        <f t="shared" ref="M53:O54" ca="1" si="0">D55</f>
        <v>0</v>
      </c>
      <c r="N53" s="1812" t="str">
        <f t="shared" si="0"/>
        <v>销售额×税（费）率</v>
      </c>
      <c r="O53" s="1755">
        <f t="shared" si="0"/>
        <v>5.0000000000000001E-4</v>
      </c>
    </row>
    <row r="54" spans="1:35" ht="12" customHeight="1">
      <c r="A54" s="183" t="s">
        <v>2214</v>
      </c>
      <c r="B54" s="3118" t="s">
        <v>2215</v>
      </c>
      <c r="C54" s="3119"/>
      <c r="D54" s="182">
        <f ca="1">C68</f>
        <v>43</v>
      </c>
      <c r="E54" s="30" t="s">
        <v>2216</v>
      </c>
      <c r="F54" s="184">
        <f>'数据-取费表'!B41</f>
        <v>5.6000000000000001E-2</v>
      </c>
      <c r="G54" s="2486"/>
      <c r="H54" s="2487"/>
      <c r="I54" s="2484"/>
      <c r="J54" s="1812">
        <v>3</v>
      </c>
      <c r="K54" s="3160" t="s">
        <v>2217</v>
      </c>
      <c r="L54" s="3160"/>
      <c r="M54" s="1754">
        <f t="shared" ca="1" si="0"/>
        <v>454</v>
      </c>
      <c r="N54" s="1812" t="str">
        <f t="shared" si="0"/>
        <v>增值额×税（费）率</v>
      </c>
      <c r="O54" s="1756" t="str">
        <f t="shared" si="0"/>
        <v>——</v>
      </c>
    </row>
    <row r="55" spans="1:35" ht="24" customHeight="1">
      <c r="A55" s="3109" t="s">
        <v>2218</v>
      </c>
      <c r="B55" s="3110"/>
      <c r="C55" s="3110"/>
      <c r="D55" s="185">
        <f ca="1">IF(H55="个人住宅",0,ROUND(D45*I55,0))</f>
        <v>0</v>
      </c>
      <c r="E55" s="11" t="s">
        <v>2219</v>
      </c>
      <c r="F55" s="184">
        <f>IF(H55="正常",I55,"免征")</f>
        <v>5.0000000000000001E-4</v>
      </c>
      <c r="G55" s="2486"/>
      <c r="H55" s="2483" t="s">
        <v>2220</v>
      </c>
      <c r="I55" s="186">
        <f>'数据-取费表'!B49</f>
        <v>5.0000000000000001E-4</v>
      </c>
      <c r="J55" s="1812" t="str">
        <f>IF(H59="非个人房产","",4)</f>
        <v/>
      </c>
      <c r="K55" s="3160" t="str">
        <f>IF(H59="非个人房产","——","个人所得税")</f>
        <v>——</v>
      </c>
      <c r="L55" s="3160"/>
      <c r="M55" s="1757" t="str">
        <f>D59</f>
        <v>——</v>
      </c>
      <c r="N55" s="1810" t="str">
        <f>E59</f>
        <v>——</v>
      </c>
      <c r="O55" s="1758" t="str">
        <f>F59</f>
        <v>——</v>
      </c>
    </row>
    <row r="56" spans="1:35" ht="24.75">
      <c r="A56" s="3109" t="s">
        <v>2221</v>
      </c>
      <c r="B56" s="3110"/>
      <c r="C56" s="3110"/>
      <c r="D56" s="185">
        <f ca="1">IF(H56="个人住宅",D57,D58)</f>
        <v>454</v>
      </c>
      <c r="E56" s="11" t="s">
        <v>2222</v>
      </c>
      <c r="F56" s="184" t="str">
        <f>IF(H56="正常",F58,"免征")</f>
        <v>——</v>
      </c>
      <c r="G56" s="2488" t="s">
        <v>2223</v>
      </c>
      <c r="H56" s="2489" t="s">
        <v>2220</v>
      </c>
      <c r="I56" s="2490"/>
      <c r="J56" s="1812" t="str">
        <f>IF(项目基本情况!K6="上海银行",IF(J55="",4,J55+1),"")</f>
        <v/>
      </c>
      <c r="K56" s="3183" t="str">
        <f>IF(项目基本情况!K6="上海银行","其他处置费用","")</f>
        <v/>
      </c>
      <c r="L56" s="3184"/>
      <c r="M56" s="1754" t="str">
        <f>IF(项目基本情况!K6="上海银行",M69,"")</f>
        <v/>
      </c>
      <c r="N56" s="3186" t="str">
        <f>IF(项目基本情况!K6="上海银行","包含处置中涉及的律师、诉讼、拍卖、评估等费用","")</f>
        <v/>
      </c>
      <c r="O56" s="3187"/>
    </row>
    <row r="57" spans="1:35" ht="12.75">
      <c r="A57" s="183" t="s">
        <v>2196</v>
      </c>
      <c r="B57" s="3125" t="s">
        <v>2224</v>
      </c>
      <c r="C57" s="3134"/>
      <c r="D57" s="187">
        <v>0</v>
      </c>
      <c r="E57" s="23" t="s">
        <v>2198</v>
      </c>
      <c r="F57" s="155"/>
      <c r="G57" s="2486"/>
      <c r="H57" s="2490"/>
      <c r="I57" s="2490"/>
      <c r="J57" s="3160">
        <f>IF(AND(J55="",J56=""),4,IF(项目基本情况!K6="上海银行",结果表!J56+1,结果表!J55+1))</f>
        <v>4</v>
      </c>
      <c r="K57" s="3160" t="s">
        <v>2225</v>
      </c>
      <c r="L57" s="2491" t="s">
        <v>2226</v>
      </c>
      <c r="M57" s="1759"/>
      <c r="N57" s="1760">
        <f ca="1">SUMIF(M52:M56,"&lt;9e307")</f>
        <v>454</v>
      </c>
      <c r="O57" s="2492"/>
      <c r="P57" s="1753" t="e">
        <f ca="1">N57/M49</f>
        <v>#VALUE!</v>
      </c>
    </row>
    <row r="58" spans="1:35" ht="24.75">
      <c r="A58" s="183" t="s">
        <v>2207</v>
      </c>
      <c r="B58" s="3125" t="s">
        <v>2227</v>
      </c>
      <c r="C58" s="3126"/>
      <c r="D58" s="185">
        <f ca="1">IF(H58="转让取得",C81,C97)</f>
        <v>454</v>
      </c>
      <c r="E58" s="11" t="s">
        <v>2222</v>
      </c>
      <c r="F58" s="24" t="s">
        <v>34</v>
      </c>
      <c r="G58" s="2486"/>
      <c r="H58" s="2489" t="s">
        <v>2228</v>
      </c>
      <c r="I58" s="2490"/>
      <c r="J58" s="3160"/>
      <c r="K58" s="3160"/>
      <c r="L58" s="2491" t="s">
        <v>2229</v>
      </c>
      <c r="M58" s="1761"/>
      <c r="N58" s="2493" t="str">
        <f ca="1">NUMBERSTRING(INT(N57*10000),2)&amp;"元整"</f>
        <v>肆佰伍拾肆万元整</v>
      </c>
      <c r="O58" s="2494"/>
    </row>
    <row r="59" spans="1:35" ht="24.75" thickBot="1">
      <c r="A59" s="3163" t="s">
        <v>2230</v>
      </c>
      <c r="B59" s="3164"/>
      <c r="C59" s="3164"/>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61">
        <f>J57+1</f>
        <v>5</v>
      </c>
      <c r="K59" s="3160" t="s">
        <v>2232</v>
      </c>
      <c r="L59" s="1812" t="s">
        <v>2226</v>
      </c>
      <c r="M59" s="1762"/>
      <c r="N59" s="1763" t="e">
        <f ca="1">M49-N57</f>
        <v>#VALUE!</v>
      </c>
      <c r="O59" s="2496"/>
    </row>
    <row r="60" spans="1:35" ht="12" customHeight="1">
      <c r="A60" s="2497"/>
      <c r="B60" s="2419"/>
      <c r="C60" s="2419"/>
      <c r="D60" s="2419"/>
      <c r="E60" s="2167"/>
      <c r="F60" s="2490"/>
      <c r="G60" s="2490"/>
      <c r="H60" s="2498"/>
      <c r="I60" s="138"/>
      <c r="J60" s="3162"/>
      <c r="K60" s="3160"/>
      <c r="L60" s="2491" t="s">
        <v>2229</v>
      </c>
      <c r="M60" s="1761"/>
      <c r="N60" s="2493" t="e">
        <f ca="1">NUMBERSTRING(INT(N59*10000),2)&amp;"元整"</f>
        <v>#VALUE!</v>
      </c>
      <c r="O60" s="2494"/>
    </row>
    <row r="61" spans="1:35" ht="13.5" thickBot="1">
      <c r="A61" s="3107" t="s">
        <v>2233</v>
      </c>
      <c r="B61" s="3107"/>
      <c r="C61" s="3107"/>
      <c r="D61" s="3107"/>
      <c r="E61" s="3107"/>
      <c r="F61" s="2490"/>
      <c r="G61" s="2490"/>
      <c r="H61" s="2498"/>
      <c r="I61" s="138"/>
      <c r="J61" s="1812">
        <f>J59+1</f>
        <v>6</v>
      </c>
      <c r="K61" s="3160" t="s">
        <v>2234</v>
      </c>
      <c r="L61" s="3160"/>
      <c r="M61" s="1764"/>
      <c r="N61" s="1765" t="e">
        <f ca="1">ROUND(N59*10000/'数据-汇总表'!E3,0)</f>
        <v>#VALUE!</v>
      </c>
      <c r="O61" s="2499"/>
    </row>
    <row r="62" spans="1:35" ht="12.75">
      <c r="A62" s="3123" t="s">
        <v>2235</v>
      </c>
      <c r="B62" s="3124"/>
      <c r="C62" s="1804"/>
      <c r="D62" s="1804" t="s">
        <v>2236</v>
      </c>
      <c r="E62" s="192" t="s">
        <v>2237</v>
      </c>
      <c r="F62" s="2490"/>
      <c r="G62" s="2490"/>
      <c r="H62" s="2498"/>
      <c r="I62" s="138"/>
    </row>
    <row r="63" spans="1:35" ht="12.75">
      <c r="A63" s="203" t="s">
        <v>775</v>
      </c>
      <c r="B63" s="193" t="s">
        <v>2238</v>
      </c>
      <c r="C63" s="194">
        <f ca="1">ROUND((C64+C65)/(1+'数据-取费表'!C42),0)</f>
        <v>765</v>
      </c>
      <c r="D63" s="195"/>
      <c r="E63" s="196"/>
      <c r="F63" s="2490"/>
      <c r="G63" s="2490"/>
      <c r="H63" s="2498"/>
      <c r="I63" s="138"/>
      <c r="J63" s="3185" t="s">
        <v>2239</v>
      </c>
      <c r="K63" s="2500"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803</v>
      </c>
      <c r="D64" s="200" t="s">
        <v>32</v>
      </c>
      <c r="E64" s="201"/>
      <c r="F64" s="2490"/>
      <c r="G64" s="2490"/>
      <c r="H64" s="2498"/>
      <c r="I64" s="138"/>
      <c r="J64" s="3185"/>
      <c r="K64" s="2500"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85"/>
      <c r="K65" s="2500"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85"/>
      <c r="K66" s="2500" t="s">
        <v>2247</v>
      </c>
      <c r="L66" s="1752" t="e">
        <f>M49*0.5%</f>
        <v>#VALUE!</v>
      </c>
      <c r="M66" s="24" t="e">
        <f>IF(L66&gt;0.5,0.5,ROUND(L66,0))</f>
        <v>#VALUE!</v>
      </c>
      <c r="N66" s="138" t="s">
        <v>2248</v>
      </c>
      <c r="Z66" s="2424"/>
      <c r="AI66" s="2425"/>
    </row>
    <row r="67" spans="1:35" ht="14.25" customHeight="1">
      <c r="A67" s="203" t="s">
        <v>773</v>
      </c>
      <c r="B67" s="204" t="s">
        <v>2249</v>
      </c>
      <c r="C67" s="207">
        <f ca="1">C63-C66</f>
        <v>765</v>
      </c>
      <c r="D67" s="200" t="s">
        <v>32</v>
      </c>
      <c r="E67" s="201"/>
      <c r="F67" s="2490"/>
      <c r="G67" s="2490"/>
      <c r="H67" s="2498"/>
      <c r="I67" s="138"/>
      <c r="J67" s="3185"/>
      <c r="K67" s="2500"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43</v>
      </c>
      <c r="D68" s="211">
        <f>'数据-取费表'!B41</f>
        <v>5.6000000000000001E-2</v>
      </c>
      <c r="E68" s="212"/>
      <c r="F68" s="2490"/>
      <c r="G68" s="2490"/>
      <c r="H68" s="2498"/>
      <c r="I68" s="138"/>
      <c r="J68" s="3185"/>
      <c r="K68" s="2500"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85"/>
      <c r="K69" s="2500"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4" t="s">
        <v>2254</v>
      </c>
      <c r="B70" s="3145"/>
      <c r="C70" s="3145"/>
      <c r="D70" s="3145"/>
      <c r="E70" s="3145"/>
      <c r="F70" s="3145"/>
      <c r="G70" s="3145"/>
      <c r="H70" s="314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3" t="s">
        <v>2235</v>
      </c>
      <c r="B71" s="3124"/>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765</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5</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18" t="s">
        <v>2263</v>
      </c>
      <c r="F76" s="3095"/>
      <c r="G76" s="3095"/>
      <c r="H76" s="314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5</v>
      </c>
      <c r="D78" s="226">
        <f>'数据-取费表'!B43</f>
        <v>6.000000000000001E-3</v>
      </c>
      <c r="E78" s="3104" t="s">
        <v>2268</v>
      </c>
      <c r="F78" s="3105"/>
      <c r="G78" s="3105"/>
      <c r="H78" s="311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760</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152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454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4" t="s">
        <v>2272</v>
      </c>
      <c r="B83" s="3145"/>
      <c r="C83" s="3145"/>
      <c r="D83" s="3145"/>
      <c r="E83" s="3145"/>
      <c r="F83" s="3145"/>
      <c r="G83" s="3145"/>
      <c r="H83" s="314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3" t="s">
        <v>2235</v>
      </c>
      <c r="B84" s="3124"/>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765</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04" t="s">
        <v>2281</v>
      </c>
      <c r="F91" s="3105"/>
      <c r="G91" s="3105"/>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04" t="s">
        <v>2285</v>
      </c>
      <c r="F92" s="3105"/>
      <c r="G92" s="3105"/>
      <c r="H92" s="311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5</v>
      </c>
      <c r="D93" s="226">
        <f>'数据-取费表'!B43</f>
        <v>6.000000000000001E-3</v>
      </c>
      <c r="E93" s="3104" t="s">
        <v>2268</v>
      </c>
      <c r="F93" s="3105"/>
      <c r="G93" s="3105"/>
      <c r="H93" s="311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15" t="s">
        <v>2289</v>
      </c>
      <c r="F94" s="3116"/>
      <c r="G94" s="3116"/>
      <c r="H94" s="311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760</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152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454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89" t="s">
        <v>2291</v>
      </c>
      <c r="B100" s="3090"/>
      <c r="C100" s="3090"/>
      <c r="D100" s="3106"/>
      <c r="E100" s="3090" t="s">
        <v>2292</v>
      </c>
      <c r="F100" s="3090"/>
      <c r="G100" s="3090"/>
      <c r="H100" s="3106"/>
      <c r="I100" s="138"/>
    </row>
    <row r="101" spans="1:35" ht="18.75" customHeight="1">
      <c r="A101" s="3168" t="s">
        <v>2293</v>
      </c>
      <c r="B101" s="3169"/>
      <c r="C101" s="736" t="str">
        <f>C4</f>
        <v>比较法-商业</v>
      </c>
      <c r="D101" s="737" t="str">
        <f>D4</f>
        <v>收益法 (元)</v>
      </c>
      <c r="E101" s="3182" t="s">
        <v>2294</v>
      </c>
      <c r="F101" s="3136"/>
      <c r="G101" s="2521" t="s">
        <v>2295</v>
      </c>
      <c r="H101" s="1048">
        <f ca="1">H118</f>
        <v>803</v>
      </c>
      <c r="I101" s="138"/>
    </row>
    <row r="102" spans="1:35" ht="18.75" customHeight="1">
      <c r="A102" s="3138" t="s">
        <v>2296</v>
      </c>
      <c r="B102" s="2521" t="s">
        <v>2295</v>
      </c>
      <c r="C102" s="736">
        <f ca="1">C19</f>
        <v>935</v>
      </c>
      <c r="D102" s="737">
        <f ca="1">D19</f>
        <v>494</v>
      </c>
      <c r="E102" s="3182"/>
      <c r="F102" s="3136"/>
      <c r="G102" s="2521" t="s">
        <v>2297</v>
      </c>
      <c r="H102" s="371">
        <f ca="1">I118</f>
        <v>22951</v>
      </c>
      <c r="I102" s="138"/>
    </row>
    <row r="103" spans="1:35" ht="42.75" customHeight="1">
      <c r="A103" s="3138"/>
      <c r="B103" s="2521" t="s">
        <v>2297</v>
      </c>
      <c r="C103" s="738">
        <f ca="1">C20</f>
        <v>26715</v>
      </c>
      <c r="D103" s="739">
        <f ca="1">D20</f>
        <v>14131</v>
      </c>
      <c r="E103" s="3177" t="s">
        <v>2298</v>
      </c>
      <c r="F103" s="3178"/>
      <c r="G103" s="2522" t="s">
        <v>2299</v>
      </c>
      <c r="H103" s="1048">
        <f>IF(D36="正常操作",H104+H105+H106,H105+H106)</f>
        <v>0</v>
      </c>
      <c r="I103" s="138"/>
    </row>
    <row r="104" spans="1:35" ht="18.75" customHeight="1">
      <c r="A104" s="3138" t="s">
        <v>2300</v>
      </c>
      <c r="B104" s="2523" t="s">
        <v>2295</v>
      </c>
      <c r="C104" s="740">
        <f ca="1">H118</f>
        <v>803</v>
      </c>
      <c r="D104" s="741"/>
      <c r="E104" s="2268" t="s">
        <v>2301</v>
      </c>
      <c r="F104" s="2259"/>
      <c r="G104" s="2522" t="s">
        <v>2299</v>
      </c>
      <c r="H104" s="1049">
        <f>IF(D36="同一抵押权人同一抵押物续贷",C36&amp;"（未扣减，详见特别提示）",C36)</f>
        <v>0</v>
      </c>
      <c r="I104" s="138"/>
    </row>
    <row r="105" spans="1:35" ht="18.75" customHeight="1" thickBot="1">
      <c r="A105" s="3139"/>
      <c r="B105" s="2524" t="s">
        <v>2297</v>
      </c>
      <c r="C105" s="742">
        <f ca="1">I118</f>
        <v>22951</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35" t="str">
        <f>IF(项目基本情况!E8="已注销","——","3.房地产抵押价值")</f>
        <v>3.房地产抵押价值</v>
      </c>
      <c r="F107" s="3136"/>
      <c r="G107" s="2521" t="s">
        <v>2295</v>
      </c>
      <c r="H107" s="1048">
        <f ca="1">IF(E107="——","——",H101-H103)</f>
        <v>803</v>
      </c>
      <c r="I107" s="138"/>
    </row>
    <row r="108" spans="1:35" ht="18.75" customHeight="1">
      <c r="A108" s="138"/>
      <c r="B108" s="138"/>
      <c r="C108" s="138"/>
      <c r="D108" s="138"/>
      <c r="E108" s="3135"/>
      <c r="F108" s="3136"/>
      <c r="G108" s="2521" t="s">
        <v>2297</v>
      </c>
      <c r="H108" s="371">
        <f ca="1">ROUND(H107*10000/'数据-汇总表'!E3,0)</f>
        <v>2942</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21" t="s">
        <v>2295</v>
      </c>
      <c r="H109" s="348" t="str">
        <f>IF(E109="——","——",H101-H105-H106)</f>
        <v>——</v>
      </c>
      <c r="I109" s="138"/>
    </row>
    <row r="110" spans="1:35" ht="18.75" customHeight="1">
      <c r="A110" s="138"/>
      <c r="B110" s="138"/>
      <c r="C110" s="138"/>
      <c r="D110" s="138"/>
      <c r="E110" s="3135"/>
      <c r="F110" s="3136"/>
      <c r="G110" s="2521" t="s">
        <v>2297</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21" t="s">
        <v>2295</v>
      </c>
      <c r="H111" s="1048" t="str">
        <f>IF(E111="——","——",N59)</f>
        <v>——</v>
      </c>
      <c r="I111" s="138"/>
    </row>
    <row r="112" spans="1:35" ht="18.75" customHeight="1" thickBot="1">
      <c r="A112" s="138"/>
      <c r="B112" s="138"/>
      <c r="C112" s="138"/>
      <c r="D112" s="138"/>
      <c r="E112" s="3172"/>
      <c r="F112" s="3173"/>
      <c r="G112" s="2526" t="s">
        <v>2297</v>
      </c>
      <c r="H112" s="790" t="str">
        <f>IF(E111="——","——",N61)</f>
        <v>——</v>
      </c>
      <c r="I112" s="138"/>
    </row>
    <row r="113" spans="1:11" ht="18.75" customHeight="1">
      <c r="A113" s="138"/>
      <c r="B113" s="138"/>
      <c r="C113" s="138"/>
      <c r="D113" s="138"/>
      <c r="E113" s="3140" t="s">
        <v>2303</v>
      </c>
      <c r="F113" s="3140"/>
      <c r="G113" s="3140"/>
      <c r="H113" s="3140"/>
      <c r="I113" s="138"/>
    </row>
    <row r="114" spans="1:11" ht="3.75" customHeight="1">
      <c r="A114" s="2419"/>
      <c r="B114" s="2419"/>
      <c r="C114" s="2419"/>
      <c r="D114" s="2419"/>
      <c r="E114" s="2497"/>
      <c r="F114" s="2497"/>
      <c r="G114" s="2497"/>
      <c r="H114" s="2497"/>
      <c r="I114" s="2419"/>
    </row>
    <row r="115" spans="1:11" ht="18.75" customHeight="1">
      <c r="A115" s="3153" t="s">
        <v>2305</v>
      </c>
      <c r="B115" s="3154"/>
      <c r="C115" s="3154"/>
      <c r="D115" s="3154"/>
      <c r="E115" s="3154"/>
      <c r="F115" s="3154"/>
      <c r="G115" s="3154"/>
      <c r="H115" s="3154"/>
      <c r="I115" s="3155"/>
    </row>
    <row r="116" spans="1:11" ht="27" customHeight="1">
      <c r="A116" s="3046" t="s">
        <v>2306</v>
      </c>
      <c r="B116" s="3141" t="s">
        <v>2307</v>
      </c>
      <c r="C116" s="3141" t="s">
        <v>2308</v>
      </c>
      <c r="D116" s="3157" t="s">
        <v>2309</v>
      </c>
      <c r="E116" s="3158"/>
      <c r="F116" s="3149" t="s">
        <v>2310</v>
      </c>
      <c r="G116" s="3149"/>
      <c r="H116" s="3046" t="s">
        <v>2311</v>
      </c>
      <c r="I116" s="3046"/>
    </row>
    <row r="117" spans="1:11" ht="18.75" customHeight="1">
      <c r="A117" s="3046"/>
      <c r="B117" s="3142"/>
      <c r="C117" s="3142"/>
      <c r="D117" s="1798" t="s">
        <v>2312</v>
      </c>
      <c r="E117" s="1798" t="s">
        <v>2313</v>
      </c>
      <c r="F117" s="1798" t="s">
        <v>2312</v>
      </c>
      <c r="G117" s="1798" t="s">
        <v>2314</v>
      </c>
      <c r="H117" s="1798" t="s">
        <v>2312</v>
      </c>
      <c r="I117" s="1798" t="s">
        <v>2314</v>
      </c>
    </row>
    <row r="118" spans="1:11" ht="24.75" customHeight="1">
      <c r="A118" s="2527" t="str">
        <f>项目基本情况!S2</f>
        <v>新疆省昌吉市延安南路46号小区房地产</v>
      </c>
      <c r="B118" s="1798">
        <f>M18</f>
        <v>349.87</v>
      </c>
      <c r="C118" s="1798">
        <f>M19</f>
        <v>89.51</v>
      </c>
      <c r="D118" s="1798">
        <f ca="1">ROUND(IF(D32="总价",C34,E118*B118/10000),0)</f>
        <v>451</v>
      </c>
      <c r="E118" s="1798">
        <f ca="1">ROUND(IF(C33="自定义",IF(D32="楼面单价",C34,D118*10000/B118),I118-G118),0)</f>
        <v>12890</v>
      </c>
      <c r="F118" s="1798">
        <f ca="1">ROUND(IF(D32="总价",C35,G118*B118/10000),0)</f>
        <v>352</v>
      </c>
      <c r="G118" s="1798">
        <f ca="1">ROUND(IF(D32="楼面单价",C35,F118*10000/B118),0)</f>
        <v>10061</v>
      </c>
      <c r="H118" s="1798">
        <f ca="1">ROUND(IF(D32="总价",C32,I118*B118/10000),0)</f>
        <v>803</v>
      </c>
      <c r="I118" s="1798">
        <f ca="1">ROUND(IF(D32="楼面单价",C32,H118*10000/B118),0)</f>
        <v>22951</v>
      </c>
    </row>
    <row r="119" spans="1:11" ht="18.75" customHeight="1">
      <c r="A119" s="3046" t="s">
        <v>2315</v>
      </c>
      <c r="B119" s="3046"/>
      <c r="C119" s="3046"/>
      <c r="D119" s="3146" t="str">
        <f ca="1">NUMBERSTRING(INT(D118*10000),2)&amp;"元整"</f>
        <v>肆佰伍拾壹万元整</v>
      </c>
      <c r="E119" s="3148"/>
      <c r="F119" s="3146" t="str">
        <f ca="1">NUMBERSTRING(INT(F118*10000),2)&amp;"元整"</f>
        <v>叁佰伍拾贰万元整</v>
      </c>
      <c r="G119" s="3148"/>
      <c r="H119" s="3146" t="str">
        <f ca="1">NUMBERSTRING(INT(H118*10000),2)&amp;"元整"</f>
        <v>捌佰零叁万元整</v>
      </c>
      <c r="I119" s="3148"/>
    </row>
    <row r="120" spans="1:11" ht="18.75" customHeight="1">
      <c r="A120" s="3174" t="str">
        <f>IF(项目基本情况!B9="房地产市场价值","",MID(E103,3,LEN(E103)-2))</f>
        <v/>
      </c>
      <c r="B120" s="3175"/>
      <c r="C120" s="3176"/>
      <c r="D120" s="3174">
        <f>H103</f>
        <v>0</v>
      </c>
      <c r="E120" s="3175"/>
      <c r="F120" s="3175"/>
      <c r="G120" s="3175"/>
      <c r="H120" s="3175"/>
      <c r="I120" s="3176"/>
      <c r="K120" s="2424" t="str">
        <f>IF(D120=0,"故，本次评估不存在"&amp;A120,"故，本次评估"&amp;A120&amp;"为人民币"&amp;D120&amp;"万元整。")</f>
        <v>故，本次评估不存在</v>
      </c>
    </row>
    <row r="121" spans="1:11" ht="18.75" customHeight="1">
      <c r="A121" s="3150" t="s">
        <v>2315</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
      </c>
      <c r="B122" s="3137"/>
      <c r="C122" s="3137"/>
      <c r="D122" s="3174">
        <f ca="1">H107</f>
        <v>803</v>
      </c>
      <c r="E122" s="3175"/>
      <c r="F122" s="3175"/>
      <c r="G122" s="3175"/>
      <c r="H122" s="3175"/>
      <c r="I122" s="3176"/>
    </row>
    <row r="123" spans="1:11" ht="18.75" customHeight="1">
      <c r="A123" s="3046" t="s">
        <v>2315</v>
      </c>
      <c r="B123" s="3046"/>
      <c r="C123" s="3046"/>
      <c r="D123" s="3146" t="str">
        <f ca="1">NUMBERSTRING(INT(D122*10000),2)&amp;"元整"</f>
        <v>捌佰零叁万元整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2315</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2315</v>
      </c>
      <c r="B127" s="3046"/>
      <c r="C127" s="3046"/>
      <c r="D127" s="3146" t="e">
        <f>NUMBERSTRING(INT(D126*10000),2)&amp;"元整"</f>
        <v>#VALUE!</v>
      </c>
      <c r="E127" s="3147"/>
      <c r="F127" s="3147"/>
      <c r="G127" s="3147"/>
      <c r="H127" s="3147"/>
      <c r="I127" s="3148"/>
    </row>
    <row r="128" spans="1:11" ht="21.75" customHeight="1">
      <c r="A128" s="3156" t="s">
        <v>2316</v>
      </c>
      <c r="B128" s="3156"/>
      <c r="C128" s="3156"/>
      <c r="D128" s="3156"/>
      <c r="E128" s="3156"/>
      <c r="F128" s="3156"/>
      <c r="G128" s="3156"/>
      <c r="H128" s="3156"/>
      <c r="I128" s="3156"/>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8</v>
      </c>
    </row>
    <row r="2" spans="1:9" s="244" customFormat="1" ht="18" customHeight="1">
      <c r="A2" s="245" t="s">
        <v>2325</v>
      </c>
      <c r="B2" s="246">
        <f ca="1">IF(D2="——",C52,C52-E2)</f>
        <v>1228</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4498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3"/>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4"/>
      <c r="H9" s="1393"/>
      <c r="I9" s="2555" t="s">
        <v>2342</v>
      </c>
    </row>
    <row r="10" spans="1:9" s="258" customFormat="1" ht="13.5" customHeight="1">
      <c r="A10" s="953" t="s">
        <v>801</v>
      </c>
      <c r="B10" s="268" t="s">
        <v>2343</v>
      </c>
      <c r="C10" s="269">
        <f ca="1">ROUND(D10*E10/10000,0)</f>
        <v>98</v>
      </c>
      <c r="D10" s="1035">
        <f ca="1">IF(B1="",'数据-汇总表'!E6,IF(INDIRECT("'数据-取费表'!c"&amp;$G$1)="住宅",INDIRECT("'数据-取费表'!s"&amp;$G$1),INDIRECT("'数据-取费表'!k"&amp;$G$1)+INDIRECT("'数据-取费表'!s"&amp;$G$1)))</f>
        <v>2729.87</v>
      </c>
      <c r="E10" s="269">
        <f>'数据-取费表'!B28</f>
        <v>360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98</v>
      </c>
      <c r="D19" s="1039">
        <f ca="1">D9+D10</f>
        <v>2729.87</v>
      </c>
      <c r="E19" s="255">
        <f>'数据-取费表'!B31</f>
        <v>360</v>
      </c>
      <c r="F19" s="275"/>
      <c r="G19" s="2553"/>
    </row>
    <row r="20" spans="1:7" s="258" customFormat="1" ht="13.5" customHeight="1">
      <c r="A20" s="299" t="s">
        <v>2356</v>
      </c>
      <c r="B20" s="254" t="s">
        <v>2357</v>
      </c>
      <c r="C20" s="276">
        <f ca="1">ROUND((C5+C19)*F20,0)</f>
        <v>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7</v>
      </c>
      <c r="D22" s="279">
        <f ca="1">C26</f>
        <v>6.9999999999999999E-4</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7</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6.9999999999999999E-4</v>
      </c>
      <c r="D26" s="282"/>
      <c r="E26" s="285"/>
      <c r="F26" s="283"/>
      <c r="G26" s="287"/>
    </row>
    <row r="27" spans="1:7" s="258" customFormat="1" ht="24.75">
      <c r="A27" s="299" t="s">
        <v>2375</v>
      </c>
      <c r="B27" s="288" t="s">
        <v>2376</v>
      </c>
      <c r="C27" s="289">
        <f ca="1">C28</f>
        <v>20</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20</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138</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797</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710</v>
      </c>
      <c r="D34" s="261"/>
      <c r="E34" s="264"/>
      <c r="F34" s="301">
        <f ca="1">IF('数据-取费表'!B24=0,1,IF(B1="",'数据-取费表'!N16,INDIRECT("'数据-取费表'!n"&amp;$G$1)))</f>
        <v>1</v>
      </c>
      <c r="G34" s="263" t="s">
        <v>2389</v>
      </c>
    </row>
    <row r="35" spans="1:7" ht="13.5" customHeight="1">
      <c r="A35" s="954" t="s">
        <v>796</v>
      </c>
      <c r="B35" s="259" t="s">
        <v>2390</v>
      </c>
      <c r="C35" s="264">
        <f ca="1">ROUND(C34*F35,0)</f>
        <v>21</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2393</v>
      </c>
    </row>
    <row r="37" spans="1:7" s="302" customFormat="1" ht="13.5" customHeight="1">
      <c r="A37" s="954" t="s">
        <v>798</v>
      </c>
      <c r="B37" s="259" t="s">
        <v>2394</v>
      </c>
      <c r="C37" s="293">
        <f ca="1">ROUND(E37*D37*F34/10000,0)</f>
        <v>55</v>
      </c>
      <c r="D37" s="261">
        <f ca="1">D19</f>
        <v>2729.87</v>
      </c>
      <c r="E37" s="293">
        <f>'数据-取费表'!B35</f>
        <v>200</v>
      </c>
      <c r="F37" s="303"/>
      <c r="G37" s="305" t="s">
        <v>2395</v>
      </c>
    </row>
    <row r="38" spans="1:7" ht="13.5" customHeight="1">
      <c r="A38" s="954" t="s">
        <v>799</v>
      </c>
      <c r="B38" s="259" t="s">
        <v>2396</v>
      </c>
      <c r="C38" s="264">
        <f ca="1">ROUND(C34*F38,0)</f>
        <v>11</v>
      </c>
      <c r="D38" s="264"/>
      <c r="E38" s="264"/>
      <c r="F38" s="303">
        <f>'数据-取费表'!B36</f>
        <v>1.4999999999999999E-2</v>
      </c>
      <c r="G38" s="263" t="s">
        <v>2391</v>
      </c>
    </row>
    <row r="39" spans="1:7" s="258" customFormat="1" ht="13.5" customHeight="1">
      <c r="A39" s="299" t="s">
        <v>2397</v>
      </c>
      <c r="B39" s="254" t="s">
        <v>2398</v>
      </c>
      <c r="C39" s="276">
        <f ca="1">ROUND(C33*F20,0)</f>
        <v>16</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29</v>
      </c>
      <c r="D41" s="279">
        <f ca="1">C44</f>
        <v>6.9999999999999999E-4</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28</v>
      </c>
      <c r="D42" s="282"/>
      <c r="E42" s="282"/>
      <c r="F42" s="283"/>
      <c r="G42" s="3188" t="s">
        <v>2407</v>
      </c>
    </row>
    <row r="43" spans="1:7" ht="13.5" customHeight="1">
      <c r="A43" s="954" t="s">
        <v>792</v>
      </c>
      <c r="B43" s="259" t="s">
        <v>2408</v>
      </c>
      <c r="C43" s="282">
        <f ca="1">ROUND(IF('数据-取费表'!B22&lt;=1,C39*F22*'数据-取费表'!B21/2,C39*(POWER((1+F22),'数据-取费表'!B21/2)-1)),0)</f>
        <v>1</v>
      </c>
      <c r="D43" s="282"/>
      <c r="E43" s="282"/>
      <c r="F43" s="283"/>
      <c r="G43" s="3189"/>
    </row>
    <row r="44" spans="1:7" ht="13.5" customHeight="1">
      <c r="A44" s="954" t="s">
        <v>793</v>
      </c>
      <c r="B44" s="259" t="s">
        <v>2409</v>
      </c>
      <c r="C44" s="282">
        <f ca="1">ROUND(IF('数据-取费表'!B22&lt;=1,C40*F22*'数据-取费表'!B21/2,C40*(POWER((1+F22),'数据-取费表'!B21/2)-1)),4)</f>
        <v>6.9999999999999999E-4</v>
      </c>
      <c r="D44" s="282"/>
      <c r="E44" s="282"/>
      <c r="F44" s="283"/>
      <c r="G44" s="3190"/>
    </row>
    <row r="45" spans="1:7" s="258" customFormat="1" ht="13.5" customHeight="1">
      <c r="A45" s="299" t="s">
        <v>2410</v>
      </c>
      <c r="B45" s="288" t="s">
        <v>2376</v>
      </c>
      <c r="C45" s="289">
        <f ca="1">C46</f>
        <v>163</v>
      </c>
      <c r="D45" s="279">
        <f ca="1">C47</f>
        <v>4.0000000000000001E-3</v>
      </c>
      <c r="E45" s="280" t="s">
        <v>2402</v>
      </c>
      <c r="F45" s="290"/>
      <c r="G45" s="291" t="s">
        <v>2411</v>
      </c>
    </row>
    <row r="46" spans="1:7" s="258" customFormat="1" ht="13.5" customHeight="1">
      <c r="A46" s="954" t="s">
        <v>791</v>
      </c>
      <c r="B46" s="292" t="s">
        <v>2412</v>
      </c>
      <c r="C46" s="293">
        <f ca="1">ROUND((C33+C39)*F27,0)</f>
        <v>163</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1090</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1090</v>
      </c>
      <c r="D51" s="276"/>
      <c r="E51" s="276"/>
      <c r="F51" s="308"/>
      <c r="G51" s="278" t="s">
        <v>2423</v>
      </c>
    </row>
    <row r="52" spans="1:7" s="252" customFormat="1" ht="16.5" thickBot="1">
      <c r="A52" s="309" t="s">
        <v>2424</v>
      </c>
      <c r="B52" s="310"/>
      <c r="C52" s="311">
        <f ca="1">C31+C51</f>
        <v>1228</v>
      </c>
      <c r="D52" s="310"/>
      <c r="E52" s="310"/>
      <c r="F52" s="310"/>
      <c r="G52" s="312"/>
    </row>
    <row r="55" spans="1:7" ht="15">
      <c r="B55" s="314" t="s">
        <v>2425</v>
      </c>
      <c r="C55" s="315"/>
    </row>
    <row r="56" spans="1:7">
      <c r="B56" s="317" t="s">
        <v>1513</v>
      </c>
      <c r="C56" s="319">
        <f ca="1">1-C57</f>
        <v>0.11199999999999999</v>
      </c>
    </row>
    <row r="57" spans="1:7">
      <c r="B57" s="317" t="s">
        <v>1514</v>
      </c>
      <c r="C57" s="318">
        <f ca="1">ROUND(C51/C52,3)</f>
        <v>0.88800000000000001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2" t="str">
        <f>项目基本情况!B1</f>
        <v>新疆省昌吉市延安南路46号小区房地产市场价值预评估</v>
      </c>
      <c r="C37" s="3002"/>
      <c r="D37" s="3002"/>
      <c r="E37" s="3002"/>
      <c r="F37" s="3002"/>
      <c r="G37" s="3002"/>
      <c r="H37" s="3002"/>
      <c r="I37" s="3002"/>
    </row>
    <row r="38" spans="1:9">
      <c r="A38" s="1019"/>
      <c r="B38" s="1019"/>
    </row>
    <row r="39" spans="1:9">
      <c r="A39" s="1017" t="s">
        <v>818</v>
      </c>
      <c r="B39" s="1017" t="s">
        <v>820</v>
      </c>
    </row>
    <row r="40" spans="1:9">
      <c r="A40" s="1017"/>
      <c r="B40" s="1945" t="str">
        <f>项目基本情况!B5</f>
        <v>新华人寿保险股份有限公司新疆分公司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康正预评字2018-1-0276-P01HDZC2号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6" t="s">
        <v>2426</v>
      </c>
      <c r="D1" s="242"/>
      <c r="E1" s="242"/>
      <c r="F1" s="242"/>
      <c r="G1" s="1382">
        <f>MATCH(B1,'数据-取费表'!A6:A16,0)+5</f>
        <v>8</v>
      </c>
      <c r="H1" s="1285" t="str">
        <f>IF(ISERROR(FIND("住宅",B1)),"非住宅","住宅")</f>
        <v>非住宅</v>
      </c>
    </row>
    <row r="2" spans="1:8" s="244" customFormat="1" ht="18" customHeight="1">
      <c r="A2" s="245" t="s">
        <v>2325</v>
      </c>
      <c r="B2" s="246">
        <f ca="1">ROUND(IF(D2="——",C52/10000,C52/10000-E2),0)</f>
        <v>1365</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5000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982753</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982753</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982753</v>
      </c>
      <c r="D10" s="1035">
        <f ca="1">IF(B1="",'数据-汇总表'!E6,IF(INDIRECT("'数据-取费表'!c"&amp;$G$1)="住宅",INDIRECT("'数据-取费表'!s"&amp;$G$1),INDIRECT("'数据-取费表'!k"&amp;$G$1)+INDIRECT("'数据-取费表'!s"&amp;$G$1)))</f>
        <v>2729.87</v>
      </c>
      <c r="E10" s="269">
        <f>'数据-取费表'!B28</f>
        <v>360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982753</v>
      </c>
      <c r="D19" s="1039">
        <f ca="1">D9+D10</f>
        <v>2729.87</v>
      </c>
      <c r="E19" s="255">
        <f>'数据-取费表'!B31</f>
        <v>360</v>
      </c>
      <c r="F19" s="275"/>
      <c r="G19" s="2553"/>
    </row>
    <row r="20" spans="1:7" s="258" customFormat="1" ht="13.5" customHeight="1">
      <c r="A20" s="299" t="s">
        <v>2437</v>
      </c>
      <c r="B20" s="254" t="s">
        <v>2438</v>
      </c>
      <c r="C20" s="276">
        <f ca="1">ROUND((C5+C19)*F20,0)</f>
        <v>39310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143084</v>
      </c>
      <c r="D22" s="279">
        <f ca="1">C26</f>
        <v>6.9999999999999999E-4</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70846</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70846</v>
      </c>
      <c r="D24" s="282"/>
      <c r="E24" s="282"/>
      <c r="F24" s="283"/>
      <c r="G24" s="284" t="s">
        <v>2449</v>
      </c>
    </row>
    <row r="25" spans="1:7" s="258" customFormat="1" ht="24">
      <c r="A25" s="954" t="s">
        <v>2339</v>
      </c>
      <c r="B25" s="259" t="s">
        <v>2450</v>
      </c>
      <c r="C25" s="1384">
        <f ca="1">ROUND(IF('数据-取费表'!B22&lt;=1,C20*F22*'数据-取费表'!B22/2,C20*(POWER((1+F22),'数据-取费表'!B22/2)-1)),0)</f>
        <v>1392</v>
      </c>
      <c r="D25" s="282"/>
      <c r="E25" s="285"/>
      <c r="F25" s="283"/>
      <c r="G25" s="286" t="s">
        <v>2451</v>
      </c>
    </row>
    <row r="26" spans="1:7" s="258" customFormat="1">
      <c r="A26" s="954" t="s">
        <v>795</v>
      </c>
      <c r="B26" s="259" t="s">
        <v>2374</v>
      </c>
      <c r="C26" s="282">
        <f ca="1">ROUND(IF('数据-取费表'!B22&lt;=1,F21*F22*'数据-取费表'!B22/2,F21*(POWER((1+F22),'数据-取费表'!B22/2)-1)),4)</f>
        <v>6.9999999999999999E-4</v>
      </c>
      <c r="D26" s="282"/>
      <c r="E26" s="285"/>
      <c r="F26" s="283"/>
      <c r="G26" s="287"/>
    </row>
    <row r="27" spans="1:7" s="258" customFormat="1" ht="24.75">
      <c r="A27" s="299" t="s">
        <v>2375</v>
      </c>
      <c r="B27" s="288" t="s">
        <v>2376</v>
      </c>
      <c r="C27" s="289">
        <f ca="1">C28</f>
        <v>400963</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400963</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2764493</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7963031</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7097662</v>
      </c>
      <c r="D34" s="261"/>
      <c r="E34" s="264"/>
      <c r="F34" s="301"/>
      <c r="G34" s="263"/>
    </row>
    <row r="35" spans="1:7" ht="13.5" customHeight="1">
      <c r="A35" s="954" t="s">
        <v>796</v>
      </c>
      <c r="B35" s="259" t="s">
        <v>2390</v>
      </c>
      <c r="C35" s="264">
        <f ca="1">ROUND(C34*F35,0)</f>
        <v>212930</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0.03</v>
      </c>
      <c r="G36" s="304" t="s">
        <v>2393</v>
      </c>
    </row>
    <row r="37" spans="1:7" s="302" customFormat="1" ht="13.5" customHeight="1">
      <c r="A37" s="954" t="s">
        <v>798</v>
      </c>
      <c r="B37" s="259" t="s">
        <v>2394</v>
      </c>
      <c r="C37" s="293">
        <f ca="1">ROUND(E37*D37,0)</f>
        <v>545974</v>
      </c>
      <c r="D37" s="261">
        <f ca="1">D19</f>
        <v>2729.87</v>
      </c>
      <c r="E37" s="293">
        <f>'数据-取费表'!B35</f>
        <v>200</v>
      </c>
      <c r="F37" s="303"/>
      <c r="G37" s="305"/>
    </row>
    <row r="38" spans="1:7" ht="13.5" customHeight="1">
      <c r="A38" s="954" t="s">
        <v>799</v>
      </c>
      <c r="B38" s="259" t="s">
        <v>2396</v>
      </c>
      <c r="C38" s="264">
        <f ca="1">ROUND(C34*F38,0)</f>
        <v>106465</v>
      </c>
      <c r="D38" s="264"/>
      <c r="E38" s="264"/>
      <c r="F38" s="303">
        <f>'数据-取费表'!B36</f>
        <v>1.4999999999999999E-2</v>
      </c>
      <c r="G38" s="263" t="s">
        <v>2391</v>
      </c>
    </row>
    <row r="39" spans="1:7" s="258" customFormat="1" ht="13.5" customHeight="1">
      <c r="A39" s="299" t="s">
        <v>2397</v>
      </c>
      <c r="B39" s="254" t="s">
        <v>2398</v>
      </c>
      <c r="C39" s="276">
        <f ca="1">ROUND(C33*F20,0)</f>
        <v>159261</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287672</v>
      </c>
      <c r="D41" s="279">
        <f ca="1">C44</f>
        <v>6.9999999999999999E-4</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282031</v>
      </c>
      <c r="D42" s="282"/>
      <c r="E42" s="282"/>
      <c r="F42" s="283"/>
      <c r="G42" s="3188" t="s">
        <v>2454</v>
      </c>
    </row>
    <row r="43" spans="1:7" ht="13.5" customHeight="1">
      <c r="A43" s="954" t="s">
        <v>792</v>
      </c>
      <c r="B43" s="259" t="s">
        <v>2408</v>
      </c>
      <c r="C43" s="282">
        <f ca="1">ROUND(IF('数据-取费表'!B22&lt;=1,C39*F22*'数据-取费表'!B20/2,C39*(POWER((1+F22),'数据-取费表'!B20/2)-1)),0)</f>
        <v>5641</v>
      </c>
      <c r="D43" s="282"/>
      <c r="E43" s="282"/>
      <c r="F43" s="283"/>
      <c r="G43" s="3189"/>
    </row>
    <row r="44" spans="1:7" ht="13.5" customHeight="1">
      <c r="A44" s="954" t="s">
        <v>793</v>
      </c>
      <c r="B44" s="259" t="s">
        <v>2409</v>
      </c>
      <c r="C44" s="282">
        <f ca="1">ROUND(IF('数据-取费表'!B22&lt;=1,C40*F22*'数据-取费表'!B20/2,C40*(POWER((1+F22),'数据-取费表'!B20/2)-1)),4)</f>
        <v>6.9999999999999999E-4</v>
      </c>
      <c r="D44" s="282"/>
      <c r="E44" s="282"/>
      <c r="F44" s="283"/>
      <c r="G44" s="3190"/>
    </row>
    <row r="45" spans="1:7" s="258" customFormat="1" ht="13.5" customHeight="1">
      <c r="A45" s="299" t="s">
        <v>2410</v>
      </c>
      <c r="B45" s="288" t="s">
        <v>2376</v>
      </c>
      <c r="C45" s="289">
        <f ca="1">C46</f>
        <v>1624458</v>
      </c>
      <c r="D45" s="279">
        <f ca="1">C47</f>
        <v>4.0000000000000001E-3</v>
      </c>
      <c r="E45" s="280" t="s">
        <v>2402</v>
      </c>
      <c r="F45" s="290"/>
      <c r="G45" s="291" t="s">
        <v>2411</v>
      </c>
    </row>
    <row r="46" spans="1:7" s="258" customFormat="1" ht="13.5" customHeight="1">
      <c r="A46" s="954" t="s">
        <v>791</v>
      </c>
      <c r="B46" s="292" t="s">
        <v>2412</v>
      </c>
      <c r="C46" s="293">
        <f ca="1">ROUND((C33+C39)*F27,0)</f>
        <v>1624458</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10883321</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10883321</v>
      </c>
      <c r="D51" s="276"/>
      <c r="E51" s="276"/>
      <c r="F51" s="308"/>
      <c r="G51" s="278" t="s">
        <v>2423</v>
      </c>
    </row>
    <row r="52" spans="1:7" s="252" customFormat="1" ht="16.5" thickBot="1">
      <c r="A52" s="309" t="s">
        <v>2424</v>
      </c>
      <c r="B52" s="310"/>
      <c r="C52" s="311">
        <f ca="1">C31+C51</f>
        <v>13647814</v>
      </c>
      <c r="D52" s="310"/>
      <c r="E52" s="310"/>
      <c r="F52" s="310"/>
      <c r="G52" s="312"/>
    </row>
    <row r="55" spans="1:7" ht="15">
      <c r="B55" s="314" t="s">
        <v>2425</v>
      </c>
      <c r="C55" s="315"/>
    </row>
    <row r="56" spans="1:7">
      <c r="B56" s="317" t="s">
        <v>1513</v>
      </c>
      <c r="C56" s="319">
        <f ca="1">1-C57</f>
        <v>0.20299999999999996</v>
      </c>
    </row>
    <row r="57" spans="1:7">
      <c r="B57" s="317" t="s">
        <v>1514</v>
      </c>
      <c r="C57" s="318">
        <f ca="1">ROUND(C51/C52,3)</f>
        <v>0.79700000000000004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8</v>
      </c>
    </row>
    <row r="2" spans="1:33" ht="18" customHeight="1">
      <c r="A2" s="245" t="s">
        <v>2325</v>
      </c>
      <c r="B2" s="248">
        <f ca="1">C32</f>
        <v>-117</v>
      </c>
      <c r="C2" s="320" t="s">
        <v>2458</v>
      </c>
      <c r="D2" s="320"/>
      <c r="E2" s="320"/>
      <c r="F2" s="320"/>
      <c r="G2" s="320"/>
      <c r="H2" s="320"/>
      <c r="I2" s="320"/>
      <c r="J2" s="320"/>
      <c r="K2" s="320"/>
    </row>
    <row r="3" spans="1:33" ht="18" customHeight="1" thickBot="1">
      <c r="A3" s="247" t="s">
        <v>2327</v>
      </c>
      <c r="B3" s="248">
        <f ca="1">ROUND(B2*10000/IF(C1="",'数据-汇总表'!E3,INDIRECT("'数据-取费表'!K"&amp;$K$1)),0)</f>
        <v>-429</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0.03</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2729.87</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2729.87</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98</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2493</v>
      </c>
      <c r="C20" s="24">
        <f ca="1">ROUND(D20*E20/10000,0)</f>
        <v>98</v>
      </c>
      <c r="D20" s="1036">
        <f ca="1">IF(C1="",'数据-汇总表'!E6,IF(INDIRECT("'数据-取费表'!c"&amp;$K$1)="住宅",INDIRECT("'数据-取费表'!s"&amp;$K$1),INDIRECT("'数据-取费表'!k"&amp;$K$1)+INDIRECT("'数据-取费表'!s"&amp;$K$1)))</f>
        <v>2729.87</v>
      </c>
      <c r="E20" s="24">
        <f>'数据-取费表'!B28</f>
        <v>360</v>
      </c>
      <c r="F20" s="979"/>
      <c r="G20" s="15"/>
      <c r="H20" s="984"/>
      <c r="I20" s="984"/>
      <c r="J20" s="984"/>
      <c r="K20" s="985"/>
    </row>
    <row r="21" spans="1:33" s="978" customFormat="1" ht="13.5" customHeight="1">
      <c r="A21" s="964" t="s">
        <v>802</v>
      </c>
      <c r="B21" s="988" t="s">
        <v>2494</v>
      </c>
      <c r="C21" s="989">
        <f ca="1">C16+C17+C18</f>
        <v>98</v>
      </c>
      <c r="D21" s="990"/>
      <c r="E21" s="325"/>
      <c r="F21" s="325"/>
      <c r="G21" s="140" t="s">
        <v>2495</v>
      </c>
      <c r="H21" s="982"/>
      <c r="I21" s="982"/>
      <c r="J21" s="982"/>
      <c r="K21" s="983"/>
    </row>
    <row r="22" spans="1:33" s="978" customFormat="1" ht="13.5" customHeight="1">
      <c r="A22" s="964" t="s">
        <v>2467</v>
      </c>
      <c r="B22" s="988" t="s">
        <v>2496</v>
      </c>
      <c r="C22" s="989">
        <f ca="1">ROUND(C21*F22,0)</f>
        <v>2</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2507</v>
      </c>
      <c r="B28" s="2562" t="s">
        <v>2508</v>
      </c>
      <c r="C28" s="331">
        <f ca="1">C30</f>
        <v>20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20</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-117</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93" t="s">
        <v>1403</v>
      </c>
      <c r="C6" s="1299">
        <f ca="1">ROUND(F6*F8*F7*(1-F9)/10000,0)</f>
        <v>0</v>
      </c>
      <c r="D6" s="164" t="s">
        <v>3030</v>
      </c>
      <c r="E6" s="347" t="s">
        <v>1405</v>
      </c>
      <c r="F6" s="348">
        <f ca="1">INDIRECT("'数据-取费表'!u"&amp;$G$1)</f>
        <v>0</v>
      </c>
      <c r="G6" s="1854"/>
      <c r="H6" s="1294" t="s">
        <v>1035</v>
      </c>
      <c r="I6" s="3193" t="s">
        <v>1403</v>
      </c>
      <c r="J6" s="346">
        <f ca="1">ROUND(M6*M8*M7*(1-M9)/10000,0)</f>
        <v>0</v>
      </c>
      <c r="K6" s="164" t="s">
        <v>3029</v>
      </c>
      <c r="L6" s="347" t="s">
        <v>1405</v>
      </c>
      <c r="M6" s="348">
        <f ca="1">INDIRECT("'数据-取费表'!z"&amp;$G$1)</f>
        <v>0</v>
      </c>
    </row>
    <row r="7" spans="1:37" ht="18" customHeight="1">
      <c r="A7" s="1298"/>
      <c r="B7" s="3194"/>
      <c r="C7" s="1300"/>
      <c r="D7" s="352"/>
      <c r="E7" s="1301" t="s">
        <v>1406</v>
      </c>
      <c r="F7" s="348">
        <f ca="1">IF(INDIRECT("'数据-取费表'!ah"&amp;$G$1)="",INDIRECT("'数据-取费表'!k"&amp;$G$1),INDIRECT("'数据-取费表'!ah"&amp;$G$1))</f>
        <v>0</v>
      </c>
      <c r="G7" s="1854"/>
      <c r="H7" s="349"/>
      <c r="I7" s="3194"/>
      <c r="J7" s="351"/>
      <c r="K7" s="352"/>
      <c r="L7" s="347" t="s">
        <v>1406</v>
      </c>
      <c r="M7" s="348">
        <f ca="1">F7</f>
        <v>0</v>
      </c>
    </row>
    <row r="8" spans="1:37" ht="18" customHeight="1">
      <c r="A8" s="349"/>
      <c r="B8" s="3194"/>
      <c r="C8" s="351"/>
      <c r="D8" s="352"/>
      <c r="E8" s="347" t="s">
        <v>1407</v>
      </c>
      <c r="F8" s="348">
        <f ca="1">INDIRECT("'数据-取费表'!ai"&amp;$G$1)</f>
        <v>0</v>
      </c>
      <c r="G8" s="1854"/>
      <c r="H8" s="349"/>
      <c r="I8" s="3194"/>
      <c r="J8" s="351"/>
      <c r="K8" s="352"/>
      <c r="L8" s="347" t="s">
        <v>1407</v>
      </c>
      <c r="M8" s="348">
        <f ca="1">INDIRECT("'数据-取费表'!ai"&amp;$G$1)</f>
        <v>0</v>
      </c>
    </row>
    <row r="9" spans="1:37" ht="18" customHeight="1">
      <c r="A9" s="349"/>
      <c r="B9" s="3195"/>
      <c r="C9" s="351"/>
      <c r="D9" s="352"/>
      <c r="E9" s="347" t="s">
        <v>1408</v>
      </c>
      <c r="F9" s="357">
        <f ca="1">INDIRECT("'数据-取费表'!w"&amp;$G$1)</f>
        <v>0</v>
      </c>
      <c r="G9" s="1854"/>
      <c r="H9" s="349"/>
      <c r="I9" s="319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3031</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3038</v>
      </c>
      <c r="E53" s="358" t="s">
        <v>1410</v>
      </c>
      <c r="F53" s="1369"/>
      <c r="I53" s="1908" t="s">
        <v>1547</v>
      </c>
      <c r="J53" s="1909" t="b">
        <f>IF(M47="住宅",J51,IF(D1="——",MIN(J51,L48),IF(D1="在建（套用方法）",MIN(J51,L48-'数据-取费表'!B24),IF(D1="土地（套用方法）",MIN(J51,L48-'数据-取费表'!B20)))))</f>
        <v>0</v>
      </c>
      <c r="K53" s="3191" t="s">
        <v>1548</v>
      </c>
      <c r="L53" s="3192"/>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11</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zoomScalePageLayoutView="80" workbookViewId="0">
      <selection activeCell="F27" sqref="F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2115</v>
      </c>
      <c r="B1" s="2419"/>
      <c r="C1" s="2420" t="s">
        <v>3077</v>
      </c>
      <c r="D1" s="2419"/>
      <c r="E1" s="2419"/>
      <c r="F1" s="2421" t="s">
        <v>2116</v>
      </c>
      <c r="G1" s="2072" t="s">
        <v>3073</v>
      </c>
      <c r="H1" s="2422" t="str">
        <f>IF(G1="现房","——","估价对象范围")</f>
        <v>——</v>
      </c>
      <c r="I1" s="2423"/>
    </row>
    <row r="2" spans="1:12" ht="21.75" customHeight="1" thickBot="1">
      <c r="A2" s="3128" t="str">
        <f>项目基本情况!S2</f>
        <v>新疆省昌吉市延安南路46号小区房地产</v>
      </c>
      <c r="B2" s="3129"/>
      <c r="C2" s="3129"/>
      <c r="D2" s="3129"/>
      <c r="E2" s="3129"/>
      <c r="F2" s="3129"/>
      <c r="G2" s="3129"/>
      <c r="H2" s="3129"/>
      <c r="I2" s="3130"/>
    </row>
    <row r="3" spans="1:12" ht="12.75">
      <c r="A3" s="3132" t="s">
        <v>2117</v>
      </c>
      <c r="B3" s="3133"/>
      <c r="C3" s="3133"/>
      <c r="D3" s="3133"/>
      <c r="E3" s="3133"/>
      <c r="F3" s="3133"/>
      <c r="G3" s="3133"/>
      <c r="H3" s="3133"/>
      <c r="I3" s="3133"/>
    </row>
    <row r="4" spans="1:12" ht="14.25">
      <c r="A4" s="2426" t="s">
        <v>2118</v>
      </c>
      <c r="B4" s="2427" t="s">
        <v>2119</v>
      </c>
      <c r="C4" s="2428" t="s">
        <v>3081</v>
      </c>
      <c r="D4" s="2428" t="s">
        <v>3075</v>
      </c>
      <c r="E4" s="3125" t="s">
        <v>2120</v>
      </c>
      <c r="F4" s="3126"/>
      <c r="G4" s="3126"/>
      <c r="H4" s="3126"/>
      <c r="I4" s="3134"/>
      <c r="K4" s="2429" t="str">
        <f>IF(ISNUMBER(FIND("比较法",'结果表-办公'!C4)),"比较法",IF(ISNUMBER(FIND("成本法",'结果表-办公'!C4)),"成本法",IF(ISNUMBER(FIND("假设开发法",'结果表-办公'!C4)),"假设开发法",IF(ISNUMBER(FIND("收益法",'结果表-办公'!C4)),"收益法","基准地价系数修正法"))))</f>
        <v>比较法</v>
      </c>
      <c r="L4" s="242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8" t="s">
        <v>2121</v>
      </c>
      <c r="B5" s="3046">
        <v>25</v>
      </c>
      <c r="C5" s="3111"/>
      <c r="D5" s="3131"/>
      <c r="E5" s="140" t="s">
        <v>2122</v>
      </c>
      <c r="F5" s="2430"/>
      <c r="G5" s="2430"/>
      <c r="H5" s="2430"/>
      <c r="I5" s="1834"/>
    </row>
    <row r="6" spans="1:12" ht="12.75">
      <c r="A6" s="3108"/>
      <c r="B6" s="3046"/>
      <c r="C6" s="3112"/>
      <c r="D6" s="3131"/>
      <c r="E6" s="140" t="s">
        <v>2123</v>
      </c>
      <c r="F6" s="2430"/>
      <c r="G6" s="2430"/>
      <c r="H6" s="2430"/>
      <c r="I6" s="1834"/>
    </row>
    <row r="7" spans="1:12" ht="12.75">
      <c r="A7" s="3108"/>
      <c r="B7" s="3046"/>
      <c r="C7" s="3113"/>
      <c r="D7" s="3131"/>
      <c r="E7" s="140" t="s">
        <v>2124</v>
      </c>
      <c r="F7" s="2430"/>
      <c r="G7" s="2430"/>
      <c r="H7" s="2430"/>
      <c r="I7" s="1834"/>
    </row>
    <row r="8" spans="1:12" ht="12.75">
      <c r="A8" s="3108" t="s">
        <v>2125</v>
      </c>
      <c r="B8" s="3046">
        <v>15</v>
      </c>
      <c r="C8" s="3111"/>
      <c r="D8" s="3131"/>
      <c r="E8" s="140" t="s">
        <v>2126</v>
      </c>
      <c r="F8" s="2430"/>
      <c r="G8" s="2430"/>
      <c r="H8" s="2430"/>
      <c r="I8" s="1834"/>
    </row>
    <row r="9" spans="1:12" ht="12.75">
      <c r="A9" s="3108"/>
      <c r="B9" s="3046"/>
      <c r="C9" s="3113"/>
      <c r="D9" s="3131"/>
      <c r="E9" s="140" t="s">
        <v>2127</v>
      </c>
      <c r="F9" s="2430"/>
      <c r="G9" s="2430"/>
      <c r="H9" s="2430"/>
      <c r="I9" s="1834"/>
    </row>
    <row r="10" spans="1:12" ht="12.75">
      <c r="A10" s="3108" t="s">
        <v>2128</v>
      </c>
      <c r="B10" s="3046">
        <v>15</v>
      </c>
      <c r="C10" s="3111"/>
      <c r="D10" s="3131"/>
      <c r="E10" s="140" t="s">
        <v>2129</v>
      </c>
      <c r="F10" s="2430"/>
      <c r="G10" s="2430"/>
      <c r="H10" s="2430"/>
      <c r="I10" s="1834"/>
    </row>
    <row r="11" spans="1:12" ht="12.75">
      <c r="A11" s="3108"/>
      <c r="B11" s="3046"/>
      <c r="C11" s="3113"/>
      <c r="D11" s="3131"/>
      <c r="E11" s="140" t="s">
        <v>2130</v>
      </c>
      <c r="F11" s="2430"/>
      <c r="G11" s="2430"/>
      <c r="H11" s="2430"/>
      <c r="I11" s="1834"/>
    </row>
    <row r="12" spans="1:12" ht="12.75">
      <c r="A12" s="3108" t="s">
        <v>2131</v>
      </c>
      <c r="B12" s="3046">
        <v>15</v>
      </c>
      <c r="C12" s="3111"/>
      <c r="D12" s="3131"/>
      <c r="E12" s="140" t="s">
        <v>2132</v>
      </c>
      <c r="F12" s="2430"/>
      <c r="G12" s="2430"/>
      <c r="H12" s="2430"/>
      <c r="I12" s="1834"/>
    </row>
    <row r="13" spans="1:12" ht="12.75">
      <c r="A13" s="3108"/>
      <c r="B13" s="3046"/>
      <c r="C13" s="3113"/>
      <c r="D13" s="3131"/>
      <c r="E13" s="140" t="s">
        <v>2133</v>
      </c>
      <c r="F13" s="2430"/>
      <c r="G13" s="2430"/>
      <c r="H13" s="2430"/>
      <c r="I13" s="1834"/>
    </row>
    <row r="14" spans="1:12" ht="12.75">
      <c r="A14" s="3108" t="s">
        <v>2134</v>
      </c>
      <c r="B14" s="3046">
        <v>30</v>
      </c>
      <c r="C14" s="3111">
        <v>5</v>
      </c>
      <c r="D14" s="3131">
        <v>5</v>
      </c>
      <c r="E14" s="140" t="s">
        <v>2135</v>
      </c>
      <c r="F14" s="2430"/>
      <c r="G14" s="2430"/>
      <c r="H14" s="2430"/>
      <c r="I14" s="1834"/>
    </row>
    <row r="15" spans="1:12" ht="12.75">
      <c r="A15" s="3108"/>
      <c r="B15" s="3046"/>
      <c r="C15" s="3112"/>
      <c r="D15" s="3131"/>
      <c r="E15" s="140" t="s">
        <v>2136</v>
      </c>
      <c r="F15" s="2430"/>
      <c r="G15" s="2430"/>
      <c r="H15" s="2430"/>
      <c r="I15" s="1834"/>
    </row>
    <row r="16" spans="1:12" ht="12.75">
      <c r="A16" s="3108"/>
      <c r="B16" s="3046"/>
      <c r="C16" s="3113"/>
      <c r="D16" s="3131"/>
      <c r="E16" s="140" t="s">
        <v>2137</v>
      </c>
      <c r="F16" s="2430"/>
      <c r="G16" s="2430"/>
      <c r="H16" s="2430"/>
      <c r="I16" s="1834"/>
    </row>
    <row r="17" spans="1:35" ht="15">
      <c r="A17" s="2431" t="s">
        <v>2138</v>
      </c>
      <c r="B17" s="64"/>
      <c r="C17" s="141">
        <f>SUM(C5:C16)</f>
        <v>5</v>
      </c>
      <c r="D17" s="141">
        <f>SUM(D5:D16)</f>
        <v>5</v>
      </c>
      <c r="E17" s="138"/>
      <c r="F17" s="138"/>
      <c r="G17" s="138"/>
      <c r="H17" s="138"/>
      <c r="I17" s="138"/>
      <c r="K17" s="2429"/>
      <c r="L17" s="2432" t="s">
        <v>2139</v>
      </c>
      <c r="M17" s="2432" t="s">
        <v>2140</v>
      </c>
    </row>
    <row r="18" spans="1:35" ht="15.75" thickBot="1">
      <c r="A18" s="2433" t="s">
        <v>2141</v>
      </c>
      <c r="B18" s="2434"/>
      <c r="C18" s="142">
        <f>ROUND(C17/SUM(C17:D17),2)</f>
        <v>0.5</v>
      </c>
      <c r="D18" s="142">
        <f>1-C18</f>
        <v>0.5</v>
      </c>
      <c r="E18" s="138"/>
      <c r="F18" s="138"/>
      <c r="G18" s="138"/>
      <c r="H18" s="138"/>
      <c r="I18" s="138"/>
      <c r="K18" s="2429" t="s">
        <v>2142</v>
      </c>
      <c r="L18" s="2429">
        <f>IF(C1="",'数据-汇总表'!E3,SUMIF(项目类型,C1,'数据-汇总表'!E17:E26)+SUMIF(项目类型,C1,'数据-汇总表'!I17:I26))</f>
        <v>2380</v>
      </c>
      <c r="M18" s="2429">
        <f>IF(C1="",'数据-汇总表'!E3,SUMIF(项目类型,C1,'数据-汇总表'!E17:E26))</f>
        <v>2380</v>
      </c>
    </row>
    <row r="19" spans="1:35" ht="15">
      <c r="A19" s="2435" t="s">
        <v>2143</v>
      </c>
      <c r="B19" s="2436" t="s">
        <v>2144</v>
      </c>
      <c r="C19" s="143">
        <f ca="1">SUMIF(INDIRECT("'"&amp;C4&amp;"'"&amp;"!A:A"),'结果表-办公'!B19,INDIRECT("'"&amp;C4&amp;"'"&amp;"!B:B"))</f>
        <v>1884</v>
      </c>
      <c r="D19" s="144">
        <f ca="1">SUMIF(INDIRECT("'"&amp;D4&amp;"'"&amp;"!A:A"),'结果表-办公'!B19,INDIRECT("'"&amp;D4&amp;"'"&amp;"!B:B"))</f>
        <v>-309</v>
      </c>
      <c r="E19" s="2435" t="s">
        <v>2145</v>
      </c>
      <c r="F19" s="2436" t="s">
        <v>2144</v>
      </c>
      <c r="G19" s="145">
        <f ca="1">ROUND(C19*$C$18+D19*$D$18,0)</f>
        <v>788</v>
      </c>
      <c r="H19" s="2437" t="s">
        <v>2146</v>
      </c>
      <c r="I19" s="138"/>
      <c r="K19" s="2429" t="s">
        <v>2147</v>
      </c>
      <c r="L19" s="2429">
        <f>IF(C1="",'数据-汇总表'!D3,SUMIF(项目类型,C1,'数据-汇总表'!D17:D26)+SUMIF(项目类型,C1,'数据-汇总表'!H17:H27))</f>
        <v>608.87</v>
      </c>
      <c r="M19" s="2429">
        <f>IF(C1="",'数据-汇总表'!D3,SUMIF(项目类型,C1,'数据-汇总表'!D17:D26))</f>
        <v>608.87</v>
      </c>
    </row>
    <row r="20" spans="1:35" ht="15">
      <c r="A20" s="2438"/>
      <c r="B20" s="1250" t="s">
        <v>2148</v>
      </c>
      <c r="C20" s="146">
        <f ca="1">SUMIF(INDIRECT("'"&amp;C4&amp;"'"&amp;"!A:A"),'结果表-办公'!B20,INDIRECT("'"&amp;C4&amp;"'"&amp;"!B:B"))</f>
        <v>7914</v>
      </c>
      <c r="D20" s="147">
        <f ca="1">SUMIF(INDIRECT("'"&amp;D4&amp;"'"&amp;"!A:A"),'结果表-办公'!B20,INDIRECT("'"&amp;D4&amp;"'"&amp;"!B:B"))</f>
        <v>-1296</v>
      </c>
      <c r="E20" s="2438"/>
      <c r="F20" s="1250" t="s">
        <v>2148</v>
      </c>
      <c r="G20" s="148">
        <f ca="1">ROUND(C20*$C$18+D20*$D$18,0)</f>
        <v>3309</v>
      </c>
      <c r="H20" s="983" t="s">
        <v>2149</v>
      </c>
      <c r="I20" s="138"/>
    </row>
    <row r="21" spans="1:35" ht="15" customHeight="1" thickBot="1">
      <c r="A21" s="1003"/>
      <c r="B21" s="2439" t="s">
        <v>2150</v>
      </c>
      <c r="C21" s="789">
        <f ca="1">ROUND(C19*10000/L19,0)</f>
        <v>30943</v>
      </c>
      <c r="D21" s="790">
        <f ca="1">ROUND(D19*10000/L19,0)</f>
        <v>-5075</v>
      </c>
      <c r="E21" s="1003"/>
      <c r="F21" s="2439" t="s">
        <v>2150</v>
      </c>
      <c r="G21" s="149">
        <f ca="1">ROUND(G19*10000/L19,0)</f>
        <v>12942</v>
      </c>
      <c r="H21" s="2440" t="s">
        <v>2149</v>
      </c>
      <c r="I21" s="138"/>
    </row>
    <row r="22" spans="1:35" ht="15" thickBot="1">
      <c r="A22" s="2282" t="s">
        <v>2151</v>
      </c>
      <c r="B22" s="2441"/>
      <c r="C22" s="2442"/>
      <c r="D22" s="791">
        <f ca="1">IF(C19&lt;D19,D19/C19-1,C19/D19-1)</f>
        <v>-7.0970873786407767</v>
      </c>
      <c r="E22" s="138"/>
      <c r="F22" s="138"/>
      <c r="G22" s="138"/>
      <c r="H22" s="138"/>
      <c r="I22" s="138"/>
    </row>
    <row r="23" spans="1:35" ht="13.5" thickBot="1">
      <c r="A23" s="2419"/>
      <c r="B23" s="2419"/>
      <c r="C23" s="2419"/>
      <c r="D23" s="2419"/>
      <c r="E23" s="138"/>
      <c r="F23" s="138"/>
      <c r="G23" s="138"/>
      <c r="H23" s="138"/>
      <c r="I23" s="138"/>
    </row>
    <row r="24" spans="1:35" ht="14.25">
      <c r="A24" s="3102" t="s">
        <v>2152</v>
      </c>
      <c r="B24" s="2436" t="s">
        <v>2144</v>
      </c>
      <c r="C24" s="145">
        <f>IF(B30=0,0,D30)</f>
        <v>0</v>
      </c>
      <c r="D24" s="2443"/>
      <c r="E24" s="138"/>
      <c r="F24" s="138"/>
      <c r="G24" s="138"/>
      <c r="H24" s="138"/>
      <c r="I24" s="138"/>
    </row>
    <row r="25" spans="1:35" ht="14.25">
      <c r="A25" s="3103"/>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788</v>
      </c>
      <c r="D32" s="2450" t="s">
        <v>2159</v>
      </c>
      <c r="E32" s="138"/>
      <c r="F32" s="138"/>
      <c r="G32" s="138"/>
      <c r="H32" s="138"/>
      <c r="I32" s="138"/>
    </row>
    <row r="33" spans="1:15" ht="15">
      <c r="A33" s="960" t="s">
        <v>2160</v>
      </c>
      <c r="B33" s="2451"/>
      <c r="C33" s="2452" t="s">
        <v>3141</v>
      </c>
      <c r="D33" s="2453" t="s">
        <v>3075</v>
      </c>
      <c r="E33" s="2454" t="s">
        <v>2161</v>
      </c>
      <c r="F33" s="2944" t="str">
        <f>IF(D32="楼面单价","取值（单价）","取值（总价）")</f>
        <v>取值（总价）</v>
      </c>
      <c r="G33" s="138"/>
      <c r="H33" s="138"/>
      <c r="I33" s="138"/>
    </row>
    <row r="34" spans="1:15" ht="15">
      <c r="A34" s="2456"/>
      <c r="B34" s="2457" t="s">
        <v>2162</v>
      </c>
      <c r="C34" s="157">
        <f ca="1">IF(C33="自定义",F34,C32-C35)</f>
        <v>4452</v>
      </c>
      <c r="D34" s="1058">
        <f ca="1">IF(C33="自定义",ROUND(C34/C32,3),IF(C33="收益比率",SUMIF(INDIRECT("'"&amp;D33&amp;"'"&amp;"!b:b"),"土地收益比率",INDIRECT("'"&amp;D33&amp;"'"&amp;"!c:c")),SUMIF(INDIRECT("'"&amp;D33&amp;"'"&amp;"!b:b"),"土地成本比率",INDIRECT("'"&amp;D33&amp;"'"&amp;"!c:c"))))</f>
        <v>5.65</v>
      </c>
      <c r="E34" s="2458" t="s">
        <v>2163</v>
      </c>
      <c r="F34" s="1739"/>
      <c r="G34" s="138"/>
      <c r="H34" s="138"/>
      <c r="I34" s="138"/>
    </row>
    <row r="35" spans="1:15" ht="15.75" thickBot="1">
      <c r="A35" s="2459"/>
      <c r="B35" s="2460" t="s">
        <v>2164</v>
      </c>
      <c r="C35" s="1444">
        <f ca="1">IF(C33="自定义",F35,ROUND(C32*D35,0))</f>
        <v>-3664</v>
      </c>
      <c r="D35" s="1445">
        <f ca="1">IF(C33="自定义",ROUND(C35/C32,3),IF(C33="收益比率",SUMIF(INDIRECT("'"&amp;D33&amp;"'"&amp;"!b:b"),"建筑物收益比率",INDIRECT("'"&amp;D33&amp;"'"&amp;"!c:c")),SUMIF(INDIRECT("'"&amp;D33&amp;"'"&amp;"!b:b"),"建筑物成本比率",INDIRECT("'"&amp;D33&amp;"'"&amp;"!c:c"))))</f>
        <v>-4.6500000000000004</v>
      </c>
      <c r="E35" s="2461" t="s">
        <v>2165</v>
      </c>
      <c r="F35" s="163"/>
      <c r="G35" s="138"/>
      <c r="H35" s="138"/>
      <c r="I35" s="138"/>
    </row>
    <row r="36" spans="1:15" ht="15.75" thickBot="1">
      <c r="A36" s="3120" t="s">
        <v>2166</v>
      </c>
      <c r="B36" s="2462" t="s">
        <v>2167</v>
      </c>
      <c r="C36" s="154"/>
      <c r="D36" s="2463"/>
      <c r="E36" s="2464"/>
      <c r="F36" s="2465"/>
      <c r="G36" s="138"/>
      <c r="H36" s="138"/>
      <c r="I36" s="138"/>
    </row>
    <row r="37" spans="1:15" ht="15.75" thickBot="1">
      <c r="A37" s="3121"/>
      <c r="B37" s="2268" t="s">
        <v>2168</v>
      </c>
      <c r="C37" s="156"/>
      <c r="D37" s="1395"/>
      <c r="E37" s="1395"/>
      <c r="F37" s="2465"/>
      <c r="G37" s="138"/>
      <c r="H37" s="138"/>
      <c r="I37" s="138"/>
    </row>
    <row r="38" spans="1:15" ht="15.75" thickBot="1">
      <c r="A38" s="3122"/>
      <c r="B38" s="2466" t="s">
        <v>2169</v>
      </c>
      <c r="C38" s="727"/>
      <c r="D38" s="2467" t="s">
        <v>2170</v>
      </c>
      <c r="E38" s="1395"/>
      <c r="F38" s="2465"/>
      <c r="G38" s="138"/>
      <c r="H38" s="138"/>
      <c r="I38" s="138"/>
    </row>
    <row r="39" spans="1:15" ht="15">
      <c r="A39" s="2438" t="s">
        <v>2171</v>
      </c>
      <c r="B39" s="2468" t="s">
        <v>2154</v>
      </c>
      <c r="C39" s="2469" t="s">
        <v>2155</v>
      </c>
      <c r="D39" s="2469" t="s">
        <v>2174</v>
      </c>
      <c r="E39" s="2470" t="s">
        <v>2156</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99" t="s">
        <v>2180</v>
      </c>
      <c r="B45" s="3100"/>
      <c r="C45" s="3101"/>
      <c r="D45" s="164">
        <f ca="1">ROUND(H101*F45,0)</f>
        <v>788</v>
      </c>
      <c r="E45" s="165" t="s">
        <v>2181</v>
      </c>
      <c r="F45" s="166">
        <v>1</v>
      </c>
      <c r="G45" s="167" t="s">
        <v>2182</v>
      </c>
      <c r="H45" s="138"/>
      <c r="I45" s="138"/>
      <c r="J45" s="3159" t="s">
        <v>2183</v>
      </c>
      <c r="K45" s="3159"/>
      <c r="L45" s="3159"/>
      <c r="M45" s="3159"/>
      <c r="N45" s="3159"/>
      <c r="O45" s="3159"/>
    </row>
    <row r="46" spans="1:15" ht="14.25" customHeight="1">
      <c r="A46" s="3096" t="s">
        <v>2184</v>
      </c>
      <c r="B46" s="3097"/>
      <c r="C46" s="3097"/>
      <c r="D46" s="3097"/>
      <c r="E46" s="3097"/>
      <c r="F46" s="3097"/>
      <c r="G46" s="3098"/>
      <c r="H46" s="2481"/>
      <c r="I46" s="168"/>
      <c r="J46" s="2953">
        <v>1</v>
      </c>
      <c r="K46" s="3159" t="s">
        <v>2185</v>
      </c>
      <c r="L46" s="3159"/>
      <c r="M46" s="3179"/>
      <c r="N46" s="3179"/>
      <c r="O46" s="3179"/>
    </row>
    <row r="47" spans="1:15" ht="12" customHeight="1">
      <c r="A47" s="169" t="s">
        <v>2186</v>
      </c>
      <c r="B47" s="170"/>
      <c r="C47" s="171"/>
      <c r="D47" s="172" t="s">
        <v>2187</v>
      </c>
      <c r="E47" s="24" t="s">
        <v>2188</v>
      </c>
      <c r="F47" s="173" t="s">
        <v>2189</v>
      </c>
      <c r="G47" s="174" t="s">
        <v>2190</v>
      </c>
      <c r="H47" s="2481"/>
      <c r="I47" s="168"/>
      <c r="J47" s="2953">
        <v>2</v>
      </c>
      <c r="K47" s="3159" t="s">
        <v>2191</v>
      </c>
      <c r="L47" s="3159"/>
      <c r="M47" s="3180">
        <f>'数据-取费表'!B2</f>
        <v>43214</v>
      </c>
      <c r="N47" s="3180"/>
      <c r="O47" s="3180"/>
    </row>
    <row r="48" spans="1:15" ht="25.5">
      <c r="A48" s="3127" t="s">
        <v>2192</v>
      </c>
      <c r="B48" s="3110"/>
      <c r="C48" s="3110"/>
      <c r="D48" s="140">
        <f>IF(H48="情况1",0,IF(H48="情况2",D52,IF(H48="情况3",D53,IF(H48="情况4",D54))))</f>
        <v>0</v>
      </c>
      <c r="E48" s="2962" t="str">
        <f>IF(H48="情况4","(销售额-原购置价)×税（费）率","销售额×税（费）率")</f>
        <v>销售额×税（费）率</v>
      </c>
      <c r="F48" s="175" t="str">
        <f>IF(H48="情况1","免征",'数据-取费表'!B41)</f>
        <v>免征</v>
      </c>
      <c r="G48" s="2482" t="s">
        <v>2193</v>
      </c>
      <c r="H48" s="2483" t="s">
        <v>2194</v>
      </c>
      <c r="I48" s="2481"/>
      <c r="J48" s="2953">
        <v>3</v>
      </c>
      <c r="K48" s="3159" t="s">
        <v>2195</v>
      </c>
      <c r="L48" s="3159"/>
      <c r="M48" s="3181">
        <f ca="1">H101</f>
        <v>788</v>
      </c>
      <c r="N48" s="3181"/>
      <c r="O48" s="3181"/>
    </row>
    <row r="49" spans="1:35" ht="25.5" customHeight="1">
      <c r="A49" s="176" t="s">
        <v>2196</v>
      </c>
      <c r="B49" s="3095" t="s">
        <v>2197</v>
      </c>
      <c r="C49" s="3095"/>
      <c r="D49" s="177">
        <v>0</v>
      </c>
      <c r="E49" s="23" t="s">
        <v>2198</v>
      </c>
      <c r="F49" s="28" t="s">
        <v>34</v>
      </c>
      <c r="G49" s="3165"/>
      <c r="H49" s="138"/>
      <c r="I49" s="2484"/>
      <c r="J49" s="2953">
        <v>4</v>
      </c>
      <c r="K49" s="3159" t="str">
        <f>IF(项目基本情况!E8="房地产抵押价值","房地产抵押价值","抵押担保权已注销时的房地产抵押价值")</f>
        <v>抵押担保权已注销时的房地产抵押价值</v>
      </c>
      <c r="L49" s="3159"/>
      <c r="M49" s="3181" t="str">
        <f>IF(项目基本情况!E8="房地产抵押价值",H107,H109)</f>
        <v>——</v>
      </c>
      <c r="N49" s="3181"/>
      <c r="O49" s="3181"/>
    </row>
    <row r="50" spans="1:35" ht="25.5" customHeight="1">
      <c r="A50" s="178"/>
      <c r="B50" s="3095" t="s">
        <v>2199</v>
      </c>
      <c r="C50" s="3095"/>
      <c r="D50" s="179"/>
      <c r="E50" s="31"/>
      <c r="F50" s="180"/>
      <c r="G50" s="3166"/>
      <c r="H50" s="138"/>
      <c r="I50" s="2484"/>
      <c r="J50" s="3159" t="s">
        <v>2200</v>
      </c>
      <c r="K50" s="3159"/>
      <c r="L50" s="3159"/>
      <c r="M50" s="3159"/>
      <c r="N50" s="3159"/>
      <c r="O50" s="3159"/>
    </row>
    <row r="51" spans="1:35" ht="12" customHeight="1">
      <c r="A51" s="181"/>
      <c r="B51" s="3095" t="s">
        <v>2201</v>
      </c>
      <c r="C51" s="3095"/>
      <c r="D51" s="182"/>
      <c r="E51" s="30"/>
      <c r="F51" s="180"/>
      <c r="G51" s="3167"/>
      <c r="H51" s="138"/>
      <c r="I51" s="2484"/>
      <c r="J51" s="2946" t="s">
        <v>2202</v>
      </c>
      <c r="K51" s="3159" t="s">
        <v>2203</v>
      </c>
      <c r="L51" s="3159"/>
      <c r="M51" s="2946" t="s">
        <v>2204</v>
      </c>
      <c r="N51" s="2946" t="s">
        <v>2205</v>
      </c>
      <c r="O51" s="2946" t="s">
        <v>2206</v>
      </c>
    </row>
    <row r="52" spans="1:35" ht="24" customHeight="1">
      <c r="A52" s="183" t="s">
        <v>2207</v>
      </c>
      <c r="B52" s="3095" t="s">
        <v>2208</v>
      </c>
      <c r="C52" s="3095"/>
      <c r="D52" s="182">
        <f ca="1">ROUND(D45*'数据-取费表'!B41/(1+'数据-取费表'!C42),0)</f>
        <v>42</v>
      </c>
      <c r="E52" s="11" t="s">
        <v>2209</v>
      </c>
      <c r="F52" s="184">
        <f>'数据-取费表'!B41</f>
        <v>5.6000000000000001E-2</v>
      </c>
      <c r="G52" s="2486"/>
      <c r="H52" s="138"/>
      <c r="I52" s="2484"/>
      <c r="J52" s="2953">
        <v>1</v>
      </c>
      <c r="K52" s="3160" t="s">
        <v>2210</v>
      </c>
      <c r="L52" s="3160"/>
      <c r="M52" s="1754">
        <f>D48</f>
        <v>0</v>
      </c>
      <c r="N52" s="2953" t="str">
        <f>E48</f>
        <v>销售额×税（费）率</v>
      </c>
      <c r="O52" s="1755" t="str">
        <f>F48</f>
        <v>免征</v>
      </c>
    </row>
    <row r="53" spans="1:35" ht="12" customHeight="1">
      <c r="A53" s="183" t="s">
        <v>2211</v>
      </c>
      <c r="B53" s="3118" t="s">
        <v>2212</v>
      </c>
      <c r="C53" s="3119"/>
      <c r="D53" s="182">
        <f ca="1">ROUND(D45*'数据-取费表'!B41/(1+'数据-取费表'!C42),0)</f>
        <v>42</v>
      </c>
      <c r="E53" s="11" t="s">
        <v>2209</v>
      </c>
      <c r="F53" s="184">
        <f>'数据-取费表'!B41</f>
        <v>5.6000000000000001E-2</v>
      </c>
      <c r="G53" s="2486"/>
      <c r="H53" s="138"/>
      <c r="I53" s="2484"/>
      <c r="J53" s="2953">
        <v>2</v>
      </c>
      <c r="K53" s="3160" t="s">
        <v>2213</v>
      </c>
      <c r="L53" s="3160"/>
      <c r="M53" s="1754">
        <f t="shared" ref="M53:O54" ca="1" si="0">D55</f>
        <v>0</v>
      </c>
      <c r="N53" s="2953" t="str">
        <f t="shared" si="0"/>
        <v>销售额×税（费）率</v>
      </c>
      <c r="O53" s="1755">
        <f t="shared" si="0"/>
        <v>5.0000000000000001E-4</v>
      </c>
    </row>
    <row r="54" spans="1:35" ht="12" customHeight="1">
      <c r="A54" s="183" t="s">
        <v>2214</v>
      </c>
      <c r="B54" s="3118" t="s">
        <v>2215</v>
      </c>
      <c r="C54" s="3119"/>
      <c r="D54" s="182">
        <f ca="1">C68</f>
        <v>42</v>
      </c>
      <c r="E54" s="30" t="s">
        <v>2216</v>
      </c>
      <c r="F54" s="184">
        <f>'数据-取费表'!B41</f>
        <v>5.6000000000000001E-2</v>
      </c>
      <c r="G54" s="2486"/>
      <c r="H54" s="2487"/>
      <c r="I54" s="2484"/>
      <c r="J54" s="2953">
        <v>3</v>
      </c>
      <c r="K54" s="3160" t="s">
        <v>2217</v>
      </c>
      <c r="L54" s="3160"/>
      <c r="M54" s="1754">
        <f t="shared" ca="1" si="0"/>
        <v>445</v>
      </c>
      <c r="N54" s="2953" t="str">
        <f t="shared" si="0"/>
        <v>增值额×税（费）率</v>
      </c>
      <c r="O54" s="1756" t="str">
        <f t="shared" si="0"/>
        <v>——</v>
      </c>
    </row>
    <row r="55" spans="1:35" ht="24" customHeight="1">
      <c r="A55" s="3109" t="s">
        <v>2218</v>
      </c>
      <c r="B55" s="3110"/>
      <c r="C55" s="3110"/>
      <c r="D55" s="185">
        <f ca="1">IF(H55="个人住宅",0,ROUND(D45*I55,0))</f>
        <v>0</v>
      </c>
      <c r="E55" s="11" t="s">
        <v>2219</v>
      </c>
      <c r="F55" s="184">
        <f>IF(H55="正常",I55,"免征")</f>
        <v>5.0000000000000001E-4</v>
      </c>
      <c r="G55" s="2486"/>
      <c r="H55" s="2483" t="s">
        <v>2220</v>
      </c>
      <c r="I55" s="186">
        <f>'数据-取费表'!B49</f>
        <v>5.0000000000000001E-4</v>
      </c>
      <c r="J55" s="2953" t="str">
        <f>IF(H59="非个人房产","",4)</f>
        <v/>
      </c>
      <c r="K55" s="3160" t="str">
        <f>IF(H59="非个人房产","——","个人所得税")</f>
        <v>——</v>
      </c>
      <c r="L55" s="3160"/>
      <c r="M55" s="1757" t="str">
        <f>D59</f>
        <v>——</v>
      </c>
      <c r="N55" s="2954" t="str">
        <f>E59</f>
        <v>——</v>
      </c>
      <c r="O55" s="1758" t="str">
        <f>F59</f>
        <v>——</v>
      </c>
    </row>
    <row r="56" spans="1:35" ht="24.75">
      <c r="A56" s="3109" t="s">
        <v>2221</v>
      </c>
      <c r="B56" s="3110"/>
      <c r="C56" s="3110"/>
      <c r="D56" s="185">
        <f ca="1">IF(H56="个人住宅",D57,D58)</f>
        <v>445</v>
      </c>
      <c r="E56" s="11" t="s">
        <v>2222</v>
      </c>
      <c r="F56" s="184" t="str">
        <f>IF(H56="正常",F58,"免征")</f>
        <v>——</v>
      </c>
      <c r="G56" s="2488" t="s">
        <v>2223</v>
      </c>
      <c r="H56" s="2489" t="s">
        <v>2220</v>
      </c>
      <c r="I56" s="2490"/>
      <c r="J56" s="2953" t="str">
        <f>IF(项目基本情况!K6="上海银行",IF(J55="",4,J55+1),"")</f>
        <v/>
      </c>
      <c r="K56" s="3183" t="str">
        <f>IF(项目基本情况!K6="上海银行","其他处置费用","")</f>
        <v/>
      </c>
      <c r="L56" s="3184"/>
      <c r="M56" s="1754" t="str">
        <f>IF(项目基本情况!K6="上海银行",M69,"")</f>
        <v/>
      </c>
      <c r="N56" s="3186" t="str">
        <f>IF(项目基本情况!K6="上海银行","包含处置中涉及的律师、诉讼、拍卖、评估等费用","")</f>
        <v/>
      </c>
      <c r="O56" s="3187"/>
    </row>
    <row r="57" spans="1:35" ht="12.75">
      <c r="A57" s="183" t="s">
        <v>2196</v>
      </c>
      <c r="B57" s="3125" t="s">
        <v>2224</v>
      </c>
      <c r="C57" s="3134"/>
      <c r="D57" s="187">
        <v>0</v>
      </c>
      <c r="E57" s="23" t="s">
        <v>2198</v>
      </c>
      <c r="F57" s="155"/>
      <c r="G57" s="2486"/>
      <c r="H57" s="2490"/>
      <c r="I57" s="2490"/>
      <c r="J57" s="3160">
        <f>IF(AND(J55="",J56=""),4,IF(项目基本情况!K6="上海银行",'结果表-办公'!J56+1,'结果表-办公'!J55+1))</f>
        <v>4</v>
      </c>
      <c r="K57" s="3160" t="s">
        <v>2225</v>
      </c>
      <c r="L57" s="2491" t="s">
        <v>2226</v>
      </c>
      <c r="M57" s="1759"/>
      <c r="N57" s="1760">
        <f ca="1">SUMIF(M52:M56,"&lt;9e307")</f>
        <v>445</v>
      </c>
      <c r="O57" s="2492"/>
      <c r="P57" s="1753" t="e">
        <f ca="1">N57/M49</f>
        <v>#VALUE!</v>
      </c>
    </row>
    <row r="58" spans="1:35" ht="24.75">
      <c r="A58" s="183" t="s">
        <v>2207</v>
      </c>
      <c r="B58" s="3125" t="s">
        <v>2227</v>
      </c>
      <c r="C58" s="3126"/>
      <c r="D58" s="185">
        <f ca="1">IF(H58="转让取得",C81,C97)</f>
        <v>445</v>
      </c>
      <c r="E58" s="11" t="s">
        <v>2222</v>
      </c>
      <c r="F58" s="24" t="s">
        <v>34</v>
      </c>
      <c r="G58" s="2486"/>
      <c r="H58" s="2489" t="s">
        <v>2228</v>
      </c>
      <c r="I58" s="2490"/>
      <c r="J58" s="3160"/>
      <c r="K58" s="3160"/>
      <c r="L58" s="2491" t="s">
        <v>2229</v>
      </c>
      <c r="M58" s="1761"/>
      <c r="N58" s="2493" t="str">
        <f ca="1">NUMBERSTRING(INT(N57*10000),2)&amp;"元整"</f>
        <v>肆佰肆拾伍万元整</v>
      </c>
      <c r="O58" s="2494"/>
    </row>
    <row r="59" spans="1:35" ht="24.75" thickBot="1">
      <c r="A59" s="3163" t="s">
        <v>2230</v>
      </c>
      <c r="B59" s="3164"/>
      <c r="C59" s="3164"/>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61">
        <f>J57+1</f>
        <v>5</v>
      </c>
      <c r="K59" s="3160" t="s">
        <v>2232</v>
      </c>
      <c r="L59" s="2953" t="s">
        <v>2226</v>
      </c>
      <c r="M59" s="1762"/>
      <c r="N59" s="1763" t="e">
        <f ca="1">M49-N57</f>
        <v>#VALUE!</v>
      </c>
      <c r="O59" s="2496"/>
    </row>
    <row r="60" spans="1:35" ht="12" customHeight="1">
      <c r="A60" s="2497"/>
      <c r="B60" s="2419"/>
      <c r="C60" s="2419"/>
      <c r="D60" s="2419"/>
      <c r="E60" s="2167"/>
      <c r="F60" s="2490"/>
      <c r="G60" s="2490"/>
      <c r="H60" s="2498"/>
      <c r="I60" s="138"/>
      <c r="J60" s="3162"/>
      <c r="K60" s="3160"/>
      <c r="L60" s="2491" t="s">
        <v>2229</v>
      </c>
      <c r="M60" s="1761"/>
      <c r="N60" s="2493" t="e">
        <f ca="1">NUMBERSTRING(INT(N59*10000),2)&amp;"元整"</f>
        <v>#VALUE!</v>
      </c>
      <c r="O60" s="2494"/>
    </row>
    <row r="61" spans="1:35" ht="13.5" thickBot="1">
      <c r="A61" s="3107" t="s">
        <v>2233</v>
      </c>
      <c r="B61" s="3107"/>
      <c r="C61" s="3107"/>
      <c r="D61" s="3107"/>
      <c r="E61" s="3107"/>
      <c r="F61" s="2490"/>
      <c r="G61" s="2490"/>
      <c r="H61" s="2498"/>
      <c r="I61" s="138"/>
      <c r="J61" s="2953">
        <f>J59+1</f>
        <v>6</v>
      </c>
      <c r="K61" s="3160" t="s">
        <v>2234</v>
      </c>
      <c r="L61" s="3160"/>
      <c r="M61" s="1764"/>
      <c r="N61" s="1765" t="e">
        <f ca="1">ROUND(N59*10000/'数据-汇总表'!E3,0)</f>
        <v>#VALUE!</v>
      </c>
      <c r="O61" s="2499"/>
    </row>
    <row r="62" spans="1:35" ht="12.75">
      <c r="A62" s="3123" t="s">
        <v>2235</v>
      </c>
      <c r="B62" s="3124"/>
      <c r="C62" s="2958"/>
      <c r="D62" s="2958" t="s">
        <v>2236</v>
      </c>
      <c r="E62" s="192" t="s">
        <v>2237</v>
      </c>
      <c r="F62" s="2490"/>
      <c r="G62" s="2490"/>
      <c r="H62" s="2498"/>
      <c r="I62" s="138"/>
    </row>
    <row r="63" spans="1:35" ht="12.75">
      <c r="A63" s="203" t="s">
        <v>775</v>
      </c>
      <c r="B63" s="193" t="s">
        <v>2238</v>
      </c>
      <c r="C63" s="194">
        <f ca="1">ROUND((C64+C65)/(1+'数据-取费表'!C42),0)</f>
        <v>750</v>
      </c>
      <c r="D63" s="195"/>
      <c r="E63" s="196"/>
      <c r="F63" s="2490"/>
      <c r="G63" s="2490"/>
      <c r="H63" s="2498"/>
      <c r="I63" s="138"/>
      <c r="J63" s="3185" t="s">
        <v>2239</v>
      </c>
      <c r="K63" s="2949"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788</v>
      </c>
      <c r="D64" s="200" t="s">
        <v>32</v>
      </c>
      <c r="E64" s="201"/>
      <c r="F64" s="2490"/>
      <c r="G64" s="2490"/>
      <c r="H64" s="2498"/>
      <c r="I64" s="138"/>
      <c r="J64" s="3185"/>
      <c r="K64" s="2949"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85"/>
      <c r="K65" s="2949"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85"/>
      <c r="K66" s="2949" t="s">
        <v>2247</v>
      </c>
      <c r="L66" s="1752" t="e">
        <f>M49*0.5%</f>
        <v>#VALUE!</v>
      </c>
      <c r="M66" s="24" t="e">
        <f>IF(L66&gt;0.5,0.5,ROUND(L66,0))</f>
        <v>#VALUE!</v>
      </c>
      <c r="N66" s="138" t="s">
        <v>2248</v>
      </c>
      <c r="Z66" s="2424"/>
      <c r="AI66" s="2425"/>
    </row>
    <row r="67" spans="1:35" ht="14.25" customHeight="1">
      <c r="A67" s="203" t="s">
        <v>773</v>
      </c>
      <c r="B67" s="204" t="s">
        <v>2249</v>
      </c>
      <c r="C67" s="207">
        <f ca="1">C63-C66</f>
        <v>750</v>
      </c>
      <c r="D67" s="200" t="s">
        <v>32</v>
      </c>
      <c r="E67" s="201"/>
      <c r="F67" s="2490"/>
      <c r="G67" s="2490"/>
      <c r="H67" s="2498"/>
      <c r="I67" s="138"/>
      <c r="J67" s="3185"/>
      <c r="K67" s="2949"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42</v>
      </c>
      <c r="D68" s="211">
        <f>'数据-取费表'!B41</f>
        <v>5.6000000000000001E-2</v>
      </c>
      <c r="E68" s="212"/>
      <c r="F68" s="2490"/>
      <c r="G68" s="2490"/>
      <c r="H68" s="2498"/>
      <c r="I68" s="138"/>
      <c r="J68" s="3185"/>
      <c r="K68" s="2949"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85"/>
      <c r="K69" s="2949"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4" t="s">
        <v>2254</v>
      </c>
      <c r="B70" s="3145"/>
      <c r="C70" s="3145"/>
      <c r="D70" s="3145"/>
      <c r="E70" s="3145"/>
      <c r="F70" s="3145"/>
      <c r="G70" s="3145"/>
      <c r="H70" s="314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3" t="s">
        <v>2235</v>
      </c>
      <c r="B71" s="3124"/>
      <c r="C71" s="2958"/>
      <c r="D71" s="2958"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750</v>
      </c>
      <c r="D72" s="200" t="s">
        <v>32</v>
      </c>
      <c r="E72" s="2960"/>
      <c r="F72" s="2959"/>
      <c r="G72" s="2959"/>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5</v>
      </c>
      <c r="D73" s="200" t="s">
        <v>32</v>
      </c>
      <c r="E73" s="2960"/>
      <c r="F73" s="2959"/>
      <c r="G73" s="2959"/>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2960"/>
      <c r="F74" s="2959"/>
      <c r="G74" s="2959"/>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18" t="s">
        <v>2263</v>
      </c>
      <c r="F76" s="3095"/>
      <c r="G76" s="3095"/>
      <c r="H76" s="314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2950" t="s">
        <v>2265</v>
      </c>
      <c r="F77" s="224"/>
      <c r="G77" s="2514" t="s">
        <v>2266</v>
      </c>
      <c r="H77" s="2961" t="str">
        <f>IF(G77="个人买卖住房","免征印花税"," ")</f>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5</v>
      </c>
      <c r="D78" s="226">
        <f>'数据-取费表'!B43</f>
        <v>6.000000000000001E-3</v>
      </c>
      <c r="E78" s="3104" t="s">
        <v>2268</v>
      </c>
      <c r="F78" s="3105"/>
      <c r="G78" s="3105"/>
      <c r="H78" s="311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4" t="s">
        <v>2269</v>
      </c>
      <c r="C79" s="207">
        <f ca="1">C72-C73</f>
        <v>745</v>
      </c>
      <c r="D79" s="200" t="s">
        <v>32</v>
      </c>
      <c r="E79" s="2960"/>
      <c r="F79" s="2959"/>
      <c r="G79" s="2959"/>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149</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445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4" t="s">
        <v>2272</v>
      </c>
      <c r="B83" s="3145"/>
      <c r="C83" s="3145"/>
      <c r="D83" s="3145"/>
      <c r="E83" s="3145"/>
      <c r="F83" s="3145"/>
      <c r="G83" s="3145"/>
      <c r="H83" s="314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3" t="s">
        <v>2235</v>
      </c>
      <c r="B84" s="3124"/>
      <c r="C84" s="2958"/>
      <c r="D84" s="2958"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750</v>
      </c>
      <c r="D85" s="200" t="s">
        <v>32</v>
      </c>
      <c r="E85" s="2960"/>
      <c r="F85" s="2959"/>
      <c r="G85" s="2959"/>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5</v>
      </c>
      <c r="D86" s="235"/>
      <c r="E86" s="2960"/>
      <c r="F86" s="2959"/>
      <c r="G86" s="2959"/>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2955"/>
      <c r="F87" s="2956"/>
      <c r="G87" s="2956"/>
      <c r="H87" s="2957"/>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2956"/>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2956"/>
      <c r="G89" s="2956"/>
      <c r="H89" s="2957"/>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c>
      <c r="F90" s="2956"/>
      <c r="G90" s="2956"/>
      <c r="H90" s="2957"/>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04" t="s">
        <v>2281</v>
      </c>
      <c r="F91" s="3105"/>
      <c r="G91" s="3105"/>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04" t="s">
        <v>2285</v>
      </c>
      <c r="F92" s="3105"/>
      <c r="G92" s="3105"/>
      <c r="H92" s="311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5</v>
      </c>
      <c r="D93" s="226">
        <f>'数据-取费表'!B43</f>
        <v>6.000000000000001E-3</v>
      </c>
      <c r="E93" s="3104" t="s">
        <v>2268</v>
      </c>
      <c r="F93" s="3105"/>
      <c r="G93" s="3105"/>
      <c r="H93" s="311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15" t="s">
        <v>2289</v>
      </c>
      <c r="F94" s="3116"/>
      <c r="G94" s="3116"/>
      <c r="H94" s="311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4" t="s">
        <v>2269</v>
      </c>
      <c r="C95" s="207">
        <f ca="1">ROUND(C85-C86,0)</f>
        <v>745</v>
      </c>
      <c r="D95" s="200" t="s">
        <v>32</v>
      </c>
      <c r="E95" s="2960"/>
      <c r="F95" s="2959"/>
      <c r="G95" s="2959"/>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149</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445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89" t="s">
        <v>2291</v>
      </c>
      <c r="B100" s="3090"/>
      <c r="C100" s="3090"/>
      <c r="D100" s="3106"/>
      <c r="E100" s="3090" t="s">
        <v>2292</v>
      </c>
      <c r="F100" s="3090"/>
      <c r="G100" s="3090"/>
      <c r="H100" s="3106"/>
      <c r="I100" s="138"/>
    </row>
    <row r="101" spans="1:35" ht="18.75" customHeight="1">
      <c r="A101" s="3168" t="s">
        <v>2293</v>
      </c>
      <c r="B101" s="3169"/>
      <c r="C101" s="736" t="str">
        <f>C4</f>
        <v>比较法-办公</v>
      </c>
      <c r="D101" s="737" t="str">
        <f>D4</f>
        <v>收益法 (元) 办公</v>
      </c>
      <c r="E101" s="3182" t="s">
        <v>2294</v>
      </c>
      <c r="F101" s="3136"/>
      <c r="G101" s="2521" t="s">
        <v>2295</v>
      </c>
      <c r="H101" s="1048">
        <f ca="1">H118</f>
        <v>788</v>
      </c>
      <c r="I101" s="138"/>
    </row>
    <row r="102" spans="1:35" ht="18.75" customHeight="1">
      <c r="A102" s="3138" t="s">
        <v>2296</v>
      </c>
      <c r="B102" s="2521" t="s">
        <v>2295</v>
      </c>
      <c r="C102" s="736">
        <f ca="1">C19</f>
        <v>1884</v>
      </c>
      <c r="D102" s="737">
        <f ca="1">D19</f>
        <v>-309</v>
      </c>
      <c r="E102" s="3182"/>
      <c r="F102" s="3136"/>
      <c r="G102" s="2521" t="s">
        <v>2297</v>
      </c>
      <c r="H102" s="371">
        <f ca="1">I118</f>
        <v>3311</v>
      </c>
      <c r="I102" s="138"/>
    </row>
    <row r="103" spans="1:35" ht="42.75" customHeight="1">
      <c r="A103" s="3138"/>
      <c r="B103" s="2521" t="s">
        <v>2297</v>
      </c>
      <c r="C103" s="738">
        <f ca="1">C20</f>
        <v>7914</v>
      </c>
      <c r="D103" s="739">
        <f ca="1">D20</f>
        <v>-1296</v>
      </c>
      <c r="E103" s="3177" t="s">
        <v>2298</v>
      </c>
      <c r="F103" s="3178"/>
      <c r="G103" s="2522" t="s">
        <v>2299</v>
      </c>
      <c r="H103" s="1048">
        <f>IF(D36="正常操作",H104+H105+H106,H105+H106)</f>
        <v>0</v>
      </c>
      <c r="I103" s="138"/>
    </row>
    <row r="104" spans="1:35" ht="18.75" customHeight="1">
      <c r="A104" s="3138" t="s">
        <v>2300</v>
      </c>
      <c r="B104" s="2523" t="s">
        <v>2295</v>
      </c>
      <c r="C104" s="740">
        <f ca="1">H118</f>
        <v>788</v>
      </c>
      <c r="D104" s="741"/>
      <c r="E104" s="2268" t="s">
        <v>2301</v>
      </c>
      <c r="F104" s="2259"/>
      <c r="G104" s="2522" t="s">
        <v>2299</v>
      </c>
      <c r="H104" s="1049">
        <f>IF(D36="同一抵押权人同一抵押物续贷",C36&amp;"（未扣减，详见特别提示）",C36)</f>
        <v>0</v>
      </c>
      <c r="I104" s="138"/>
    </row>
    <row r="105" spans="1:35" ht="18.75" customHeight="1" thickBot="1">
      <c r="A105" s="3139"/>
      <c r="B105" s="2524" t="s">
        <v>2297</v>
      </c>
      <c r="C105" s="742">
        <f ca="1">I118</f>
        <v>3311</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35" t="str">
        <f>IF(项目基本情况!E8="已注销","——","3.房地产抵押价值")</f>
        <v>3.房地产抵押价值</v>
      </c>
      <c r="F107" s="3136"/>
      <c r="G107" s="2521" t="s">
        <v>2295</v>
      </c>
      <c r="H107" s="1048">
        <f ca="1">IF(E107="——","——",H101-H103)</f>
        <v>788</v>
      </c>
      <c r="I107" s="138"/>
    </row>
    <row r="108" spans="1:35" ht="18.75" customHeight="1">
      <c r="A108" s="138"/>
      <c r="B108" s="138"/>
      <c r="C108" s="138"/>
      <c r="D108" s="138"/>
      <c r="E108" s="3135"/>
      <c r="F108" s="3136"/>
      <c r="G108" s="2521" t="s">
        <v>2297</v>
      </c>
      <c r="H108" s="371">
        <f ca="1">ROUND(H107*10000/'数据-汇总表'!E3,0)</f>
        <v>2887</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21" t="s">
        <v>2295</v>
      </c>
      <c r="H109" s="348" t="str">
        <f>IF(E109="——","——",H101-H105-H106)</f>
        <v>——</v>
      </c>
      <c r="I109" s="138"/>
    </row>
    <row r="110" spans="1:35" ht="18.75" customHeight="1">
      <c r="A110" s="138"/>
      <c r="B110" s="138"/>
      <c r="C110" s="138"/>
      <c r="D110" s="138"/>
      <c r="E110" s="3135"/>
      <c r="F110" s="3136"/>
      <c r="G110" s="2521" t="s">
        <v>2297</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21" t="s">
        <v>2295</v>
      </c>
      <c r="H111" s="1048" t="str">
        <f>IF(E111="——","——",N59)</f>
        <v>——</v>
      </c>
      <c r="I111" s="138"/>
    </row>
    <row r="112" spans="1:35" ht="18.75" customHeight="1" thickBot="1">
      <c r="A112" s="138"/>
      <c r="B112" s="138"/>
      <c r="C112" s="138"/>
      <c r="D112" s="138"/>
      <c r="E112" s="3172"/>
      <c r="F112" s="3173"/>
      <c r="G112" s="2526" t="s">
        <v>2297</v>
      </c>
      <c r="H112" s="790" t="str">
        <f>IF(E111="——","——",N61)</f>
        <v>——</v>
      </c>
      <c r="I112" s="138"/>
    </row>
    <row r="113" spans="1:11" ht="18.75" customHeight="1">
      <c r="A113" s="138"/>
      <c r="B113" s="138"/>
      <c r="C113" s="138"/>
      <c r="D113" s="138"/>
      <c r="E113" s="3140" t="s">
        <v>2303</v>
      </c>
      <c r="F113" s="3140"/>
      <c r="G113" s="3140"/>
      <c r="H113" s="3140"/>
      <c r="I113" s="138"/>
    </row>
    <row r="114" spans="1:11" ht="3.75" customHeight="1">
      <c r="A114" s="2419"/>
      <c r="B114" s="2419"/>
      <c r="C114" s="2419"/>
      <c r="D114" s="2419"/>
      <c r="E114" s="2497"/>
      <c r="F114" s="2497"/>
      <c r="G114" s="2497"/>
      <c r="H114" s="2497"/>
      <c r="I114" s="2419"/>
    </row>
    <row r="115" spans="1:11" ht="18.75" customHeight="1">
      <c r="A115" s="3153" t="s">
        <v>2305</v>
      </c>
      <c r="B115" s="3154"/>
      <c r="C115" s="3154"/>
      <c r="D115" s="3154"/>
      <c r="E115" s="3154"/>
      <c r="F115" s="3154"/>
      <c r="G115" s="3154"/>
      <c r="H115" s="3154"/>
      <c r="I115" s="3155"/>
    </row>
    <row r="116" spans="1:11" ht="27" customHeight="1">
      <c r="A116" s="3046" t="s">
        <v>2306</v>
      </c>
      <c r="B116" s="3141" t="s">
        <v>2307</v>
      </c>
      <c r="C116" s="3141" t="s">
        <v>2308</v>
      </c>
      <c r="D116" s="3157" t="s">
        <v>2309</v>
      </c>
      <c r="E116" s="3158"/>
      <c r="F116" s="3149" t="s">
        <v>2310</v>
      </c>
      <c r="G116" s="3149"/>
      <c r="H116" s="3046" t="s">
        <v>2311</v>
      </c>
      <c r="I116" s="3046"/>
    </row>
    <row r="117" spans="1:11" ht="18.75" customHeight="1">
      <c r="A117" s="3046"/>
      <c r="B117" s="3142"/>
      <c r="C117" s="3142"/>
      <c r="D117" s="2945" t="s">
        <v>2312</v>
      </c>
      <c r="E117" s="2945" t="s">
        <v>2313</v>
      </c>
      <c r="F117" s="2945" t="s">
        <v>2312</v>
      </c>
      <c r="G117" s="2945" t="s">
        <v>2314</v>
      </c>
      <c r="H117" s="2945" t="s">
        <v>2312</v>
      </c>
      <c r="I117" s="2945" t="s">
        <v>2314</v>
      </c>
    </row>
    <row r="118" spans="1:11" ht="24.75" customHeight="1">
      <c r="A118" s="2527" t="str">
        <f>项目基本情况!S2</f>
        <v>新疆省昌吉市延安南路46号小区房地产</v>
      </c>
      <c r="B118" s="2945">
        <f>M18</f>
        <v>2380</v>
      </c>
      <c r="C118" s="2945">
        <f>M19</f>
        <v>608.87</v>
      </c>
      <c r="D118" s="2945">
        <f ca="1">ROUND(IF(D32="总价",C34,E118*B118/10000),0)</f>
        <v>4452</v>
      </c>
      <c r="E118" s="2945">
        <f ca="1">ROUND(IF(C33="自定义",IF(D32="楼面单价",C34,D118*10000/B118),I118-G118),0)</f>
        <v>18706</v>
      </c>
      <c r="F118" s="2945">
        <f ca="1">ROUND(IF(D32="总价",C35,G118*B118/10000),0)</f>
        <v>-3664</v>
      </c>
      <c r="G118" s="2945">
        <f ca="1">ROUND(IF(D32="楼面单价",C35,F118*10000/B118),0)</f>
        <v>-15395</v>
      </c>
      <c r="H118" s="2945">
        <f ca="1">ROUND(IF(D32="总价",C32,I118*B118/10000),0)</f>
        <v>788</v>
      </c>
      <c r="I118" s="2945">
        <f ca="1">ROUND(IF(D32="楼面单价",C32,H118*10000/B118),0)</f>
        <v>3311</v>
      </c>
    </row>
    <row r="119" spans="1:11" ht="18.75" customHeight="1">
      <c r="A119" s="3046" t="s">
        <v>2315</v>
      </c>
      <c r="B119" s="3046"/>
      <c r="C119" s="3046"/>
      <c r="D119" s="3146" t="str">
        <f ca="1">NUMBERSTRING(INT(D118*10000),2)&amp;"元整"</f>
        <v>肆仟肆佰伍拾贰万元整</v>
      </c>
      <c r="E119" s="3148"/>
      <c r="F119" s="3146" t="e">
        <f ca="1">NUMBERSTRING(INT(F118*10000),2)&amp;"元整"</f>
        <v>#NUM!</v>
      </c>
      <c r="G119" s="3148"/>
      <c r="H119" s="3146" t="str">
        <f ca="1">NUMBERSTRING(INT(H118*10000),2)&amp;"元整"</f>
        <v>柒佰捌拾捌万元整</v>
      </c>
      <c r="I119" s="3148"/>
    </row>
    <row r="120" spans="1:11" ht="18.75" customHeight="1">
      <c r="A120" s="3174" t="str">
        <f>IF(项目基本情况!B9="房地产市场价值","",MID(E103,3,LEN(E103)-2))</f>
        <v/>
      </c>
      <c r="B120" s="3175"/>
      <c r="C120" s="3176"/>
      <c r="D120" s="3174">
        <f>H103</f>
        <v>0</v>
      </c>
      <c r="E120" s="3175"/>
      <c r="F120" s="3175"/>
      <c r="G120" s="3175"/>
      <c r="H120" s="3175"/>
      <c r="I120" s="3176"/>
      <c r="K120" s="2424" t="str">
        <f>IF(D120=0,"故，本次评估不存在"&amp;A120,"故，本次评估"&amp;A120&amp;"为人民币"&amp;D120&amp;"万元整。")</f>
        <v>故，本次评估不存在</v>
      </c>
    </row>
    <row r="121" spans="1:11" ht="18.75" customHeight="1">
      <c r="A121" s="3150" t="s">
        <v>2315</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
      </c>
      <c r="B122" s="3137"/>
      <c r="C122" s="3137"/>
      <c r="D122" s="3174">
        <f ca="1">H107</f>
        <v>788</v>
      </c>
      <c r="E122" s="3175"/>
      <c r="F122" s="3175"/>
      <c r="G122" s="3175"/>
      <c r="H122" s="3175"/>
      <c r="I122" s="3176"/>
    </row>
    <row r="123" spans="1:11" ht="18.75" customHeight="1">
      <c r="A123" s="3046" t="s">
        <v>2315</v>
      </c>
      <c r="B123" s="3046"/>
      <c r="C123" s="3046"/>
      <c r="D123" s="3146" t="str">
        <f ca="1">NUMBERSTRING(INT(D122*10000),2)&amp;"元整"</f>
        <v>柒佰捌拾捌万元整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2315</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2315</v>
      </c>
      <c r="B127" s="3046"/>
      <c r="C127" s="3046"/>
      <c r="D127" s="3146" t="e">
        <f>NUMBERSTRING(INT(D126*10000),2)&amp;"元整"</f>
        <v>#VALUE!</v>
      </c>
      <c r="E127" s="3147"/>
      <c r="F127" s="3147"/>
      <c r="G127" s="3147"/>
      <c r="H127" s="3147"/>
      <c r="I127" s="3148"/>
    </row>
    <row r="128" spans="1:11" ht="21.75" customHeight="1">
      <c r="A128" s="3156" t="s">
        <v>2316</v>
      </c>
      <c r="B128" s="3156"/>
      <c r="C128" s="3156"/>
      <c r="D128" s="3156"/>
      <c r="E128" s="3156"/>
      <c r="F128" s="3156"/>
      <c r="G128" s="3156"/>
      <c r="H128" s="3156"/>
      <c r="I128" s="3156"/>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4" zoomScale="80" zoomScaleNormal="80" workbookViewId="0">
      <selection activeCell="D19" sqref="D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2640</v>
      </c>
      <c r="C1" s="1637" t="s">
        <v>2528</v>
      </c>
      <c r="D1" s="1624" t="s">
        <v>3066</v>
      </c>
      <c r="E1" s="2660"/>
      <c r="F1" s="2587" t="s">
        <v>3071</v>
      </c>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f>IF(C2="——",ROUND(C49*D3/10000,0),ROUND(C49*D3/10000,0)-D2)</f>
        <v>935</v>
      </c>
      <c r="C2" s="2589" t="s">
        <v>70</v>
      </c>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f>IF(C2="——",C49,ROUND(B2*10000/D3,0))</f>
        <v>26715</v>
      </c>
      <c r="C3" s="400" t="s">
        <v>2642</v>
      </c>
      <c r="D3" s="399">
        <f>IF(D1="",'数据-汇总表'!E3,SUMIF('数据-汇总表'!$C19:$C33,D1,'数据-汇总表'!$E19:$E33))</f>
        <v>349.87</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0" t="s">
        <v>2646</v>
      </c>
      <c r="AC4" s="3212" t="s">
        <v>2647</v>
      </c>
    </row>
    <row r="5" spans="1:29" ht="15">
      <c r="A5" s="404"/>
      <c r="B5" s="405"/>
      <c r="C5" s="3233" t="s">
        <v>3083</v>
      </c>
      <c r="D5" s="3234"/>
      <c r="E5" s="3240" t="s">
        <v>3085</v>
      </c>
      <c r="F5" s="3241"/>
      <c r="G5" s="3233" t="s">
        <v>3084</v>
      </c>
      <c r="H5" s="3234"/>
      <c r="I5" s="3233" t="s">
        <v>3114</v>
      </c>
      <c r="J5" s="3234"/>
      <c r="K5" s="610"/>
      <c r="L5" s="1133"/>
      <c r="M5" s="1134"/>
      <c r="N5" s="1134"/>
      <c r="O5" s="1134"/>
      <c r="P5" s="3221"/>
      <c r="Q5" s="3222"/>
      <c r="R5" s="3227"/>
      <c r="S5" s="3228"/>
      <c r="T5" s="3227"/>
      <c r="U5" s="3228"/>
      <c r="V5" s="3210"/>
      <c r="W5" s="3210"/>
      <c r="X5" s="1816"/>
      <c r="Y5" s="3227"/>
      <c r="Z5" s="3228"/>
      <c r="AA5" s="3213"/>
      <c r="AB5" s="3210"/>
      <c r="AC5" s="3213"/>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0"/>
      <c r="AC6" s="3214"/>
    </row>
    <row r="7" spans="1:29" s="117" customFormat="1" ht="15.75" thickBot="1">
      <c r="A7" s="408" t="s">
        <v>2546</v>
      </c>
      <c r="B7" s="409"/>
      <c r="C7" s="410">
        <f>'数据-取费表'!B2</f>
        <v>43214</v>
      </c>
      <c r="D7" s="411">
        <v>100</v>
      </c>
      <c r="E7" s="412">
        <v>43191</v>
      </c>
      <c r="F7" s="413">
        <f>SUMIF(58:58,YEAR(E7)&amp;"-"&amp;MONTH(E7),59:59)</f>
        <v>100</v>
      </c>
      <c r="G7" s="412">
        <v>43191</v>
      </c>
      <c r="H7" s="411">
        <f>SUMIF(58:58,YEAR(G7)&amp;"-"&amp;MONTH(G7),59:59)</f>
        <v>100</v>
      </c>
      <c r="I7" s="412">
        <v>43191</v>
      </c>
      <c r="J7" s="411">
        <f>SUMIF(58:58,YEAR(I7)&amp;"-"&amp;MONTH(I7),59:59)</f>
        <v>100</v>
      </c>
      <c r="K7" s="611"/>
      <c r="L7" s="1135"/>
      <c r="M7" s="1136"/>
      <c r="N7" s="1136"/>
      <c r="O7" s="1136"/>
      <c r="P7" s="3235" t="s">
        <v>2547</v>
      </c>
      <c r="Q7" s="3237"/>
      <c r="R7" s="770" t="s">
        <v>17</v>
      </c>
      <c r="S7" s="771">
        <f t="shared" ref="S7:S15" si="0">F7</f>
        <v>100</v>
      </c>
      <c r="T7" s="770" t="s">
        <v>17</v>
      </c>
      <c r="U7" s="771">
        <f t="shared" ref="U7:U15" si="1">H7</f>
        <v>100</v>
      </c>
      <c r="V7" s="770" t="s">
        <v>17</v>
      </c>
      <c r="W7" s="771">
        <f t="shared" ref="W7:W15" si="2">J7</f>
        <v>100</v>
      </c>
      <c r="X7" s="772"/>
      <c r="Y7" s="3235" t="s">
        <v>2547</v>
      </c>
      <c r="Z7" s="3236"/>
      <c r="AA7" s="773">
        <f>D7/F7</f>
        <v>1</v>
      </c>
      <c r="AB7" s="773">
        <f>D7/H7</f>
        <v>1</v>
      </c>
      <c r="AC7" s="773">
        <f>D7/J7</f>
        <v>1</v>
      </c>
    </row>
    <row r="8" spans="1:29" s="117" customFormat="1" ht="15.75" thickBot="1">
      <c r="A8" s="408" t="s">
        <v>2548</v>
      </c>
      <c r="B8" s="409"/>
      <c r="C8" s="414" t="s">
        <v>2650</v>
      </c>
      <c r="D8" s="411">
        <v>100</v>
      </c>
      <c r="E8" s="2968" t="s">
        <v>3072</v>
      </c>
      <c r="F8" s="413">
        <f>SUMIF(61:61,E8,62:62)-SUMIF(61:61,C8,62:62)+100</f>
        <v>100</v>
      </c>
      <c r="G8" s="2968" t="s">
        <v>3072</v>
      </c>
      <c r="H8" s="411">
        <f>SUMIF(61:61,G8,62:62)-SUMIF(61:61,C8,62:62)+100</f>
        <v>100</v>
      </c>
      <c r="I8" s="2968" t="s">
        <v>3072</v>
      </c>
      <c r="J8" s="411">
        <f>SUMIF(61:61,I8,62:62)-SUMIF(61:61,C8,62:62)+100</f>
        <v>100</v>
      </c>
      <c r="K8" s="611"/>
      <c r="L8" s="1135"/>
      <c r="M8" s="1136"/>
      <c r="N8" s="1136"/>
      <c r="O8" s="1136"/>
      <c r="P8" s="3235" t="s">
        <v>2550</v>
      </c>
      <c r="Q8" s="3236"/>
      <c r="R8" s="770" t="s">
        <v>17</v>
      </c>
      <c r="S8" s="771">
        <f t="shared" si="0"/>
        <v>100</v>
      </c>
      <c r="T8" s="770" t="s">
        <v>17</v>
      </c>
      <c r="U8" s="771">
        <f t="shared" si="1"/>
        <v>100</v>
      </c>
      <c r="V8" s="770" t="s">
        <v>17</v>
      </c>
      <c r="W8" s="771">
        <f t="shared" si="2"/>
        <v>100</v>
      </c>
      <c r="X8" s="772"/>
      <c r="Y8" s="3235" t="s">
        <v>2550</v>
      </c>
      <c r="Z8" s="3236"/>
      <c r="AA8" s="773">
        <f t="shared" ref="AA8:AA46" si="3">D8/F8</f>
        <v>1</v>
      </c>
      <c r="AB8" s="773">
        <f t="shared" ref="AB8:AB46" si="4">D8/H8</f>
        <v>1</v>
      </c>
      <c r="AC8" s="773">
        <f t="shared" ref="AC8:AC46" si="5">D8/J8</f>
        <v>1</v>
      </c>
    </row>
    <row r="9" spans="1:29" s="117" customFormat="1">
      <c r="A9" s="415" t="s">
        <v>2551</v>
      </c>
      <c r="B9" s="71" t="s">
        <v>2552</v>
      </c>
      <c r="C9" s="2969" t="s">
        <v>3082</v>
      </c>
      <c r="D9" s="135">
        <v>100</v>
      </c>
      <c r="E9" s="2971" t="s">
        <v>3082</v>
      </c>
      <c r="F9" s="418">
        <f>SUMIF(63:63,E9,64:64)-SUMIF(63:63,C9,64:64)+100</f>
        <v>100</v>
      </c>
      <c r="G9" s="2971" t="s">
        <v>3082</v>
      </c>
      <c r="H9" s="135">
        <f>SUMIF(63:63,G9,64:64)-SUMIF(63:63,C9,64:64)+100</f>
        <v>100</v>
      </c>
      <c r="I9" s="2971" t="s">
        <v>3082</v>
      </c>
      <c r="J9" s="135">
        <f>SUMIF(63:63,I9,64:64)-SUMIF(63:63,C9,64:64)+100</f>
        <v>100</v>
      </c>
      <c r="K9" s="61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29" s="427" customFormat="1" ht="27.75" thickBot="1">
      <c r="A10" s="421"/>
      <c r="B10" s="422" t="s">
        <v>2555</v>
      </c>
      <c r="C10" s="423" t="s">
        <v>3080</v>
      </c>
      <c r="D10" s="136">
        <v>100</v>
      </c>
      <c r="E10" s="424" t="s">
        <v>3080</v>
      </c>
      <c r="F10" s="425">
        <f>SUMIF(65:65,E10,66:66)-SUMIF(65:65,C10,66:66)+100</f>
        <v>100</v>
      </c>
      <c r="G10" s="423" t="s">
        <v>3080</v>
      </c>
      <c r="H10" s="136">
        <f>SUMIF(65:65,G10,66:66)-SUMIF(65:65,C10,66:66)+100</f>
        <v>100</v>
      </c>
      <c r="I10" s="423" t="s">
        <v>3080</v>
      </c>
      <c r="J10" s="136">
        <f>SUMIF(65:65,I10,66:66)-SUMIF(65:65,C10,66:66)+100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11"/>
      <c r="Q11" s="1798" t="str">
        <f t="shared" si="6"/>
        <v>容积率</v>
      </c>
      <c r="R11" s="770" t="s">
        <v>17</v>
      </c>
      <c r="S11" s="771">
        <f t="shared" si="0"/>
        <v>100</v>
      </c>
      <c r="T11" s="770" t="s">
        <v>17</v>
      </c>
      <c r="U11" s="771">
        <f t="shared" si="1"/>
        <v>100</v>
      </c>
      <c r="V11" s="770" t="s">
        <v>17</v>
      </c>
      <c r="W11" s="771">
        <f t="shared" si="2"/>
        <v>100</v>
      </c>
      <c r="X11" s="772"/>
      <c r="Y11" s="3046"/>
      <c r="Z11" s="55" t="str">
        <f t="shared" si="7"/>
        <v>容积率</v>
      </c>
      <c r="AA11" s="773">
        <f t="shared" si="3"/>
        <v>1</v>
      </c>
      <c r="AB11" s="773">
        <f t="shared" si="4"/>
        <v>1</v>
      </c>
      <c r="AC11" s="773">
        <f t="shared" si="5"/>
        <v>1</v>
      </c>
    </row>
    <row r="12" spans="1:29" s="117" customFormat="1" ht="15" hidden="1">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hidden="1">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hidden="1"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81">
      <c r="A15" s="440" t="s">
        <v>2557</v>
      </c>
      <c r="B15" s="69" t="s">
        <v>2651</v>
      </c>
      <c r="C15" s="2606" t="str">
        <f>估价对象房地状况!C4</f>
        <v>估价对象周边商业氛围一般，有华阳广场，人流量一般，商业繁华度一般</v>
      </c>
      <c r="D15" s="441">
        <v>100</v>
      </c>
      <c r="E15" s="2986" t="s">
        <v>3160</v>
      </c>
      <c r="F15" s="443">
        <f>SUMIF(76:76,E16,77:77)-SUMIF(76:76,C16,77:77)+100</f>
        <v>100</v>
      </c>
      <c r="G15" s="2987" t="s">
        <v>3168</v>
      </c>
      <c r="H15" s="441">
        <f>SUMIF(76:76,G16,77:77)-SUMIF(76:76,C16,77:77)+100</f>
        <v>100</v>
      </c>
      <c r="I15" s="2986" t="s">
        <v>3159</v>
      </c>
      <c r="J15" s="441">
        <f>SUMIF(76:76,I16,77:77)-SUMIF(76:76,C16,77:77)+100</f>
        <v>100</v>
      </c>
      <c r="K15" s="614">
        <v>2</v>
      </c>
      <c r="L15" s="1143"/>
      <c r="M15" s="1134"/>
      <c r="N15" s="1134"/>
      <c r="O15" s="1134"/>
      <c r="P15" s="3201" t="s">
        <v>2558</v>
      </c>
      <c r="Q15" s="1813" t="str">
        <f t="shared" si="6"/>
        <v>商业繁华度</v>
      </c>
      <c r="R15" s="774" t="s">
        <v>17</v>
      </c>
      <c r="S15" s="775">
        <f t="shared" si="0"/>
        <v>100</v>
      </c>
      <c r="T15" s="774" t="s">
        <v>17</v>
      </c>
      <c r="U15" s="775">
        <f t="shared" si="1"/>
        <v>100</v>
      </c>
      <c r="V15" s="774" t="s">
        <v>17</v>
      </c>
      <c r="W15" s="775">
        <f t="shared" si="2"/>
        <v>100</v>
      </c>
      <c r="X15" s="1816"/>
      <c r="Y15" s="3203" t="s">
        <v>2558</v>
      </c>
      <c r="Z15" s="1817" t="str">
        <f t="shared" si="7"/>
        <v>商业繁华度</v>
      </c>
      <c r="AA15" s="1814">
        <f t="shared" si="3"/>
        <v>1</v>
      </c>
      <c r="AB15" s="1814">
        <f t="shared" si="4"/>
        <v>1</v>
      </c>
      <c r="AC15" s="1814">
        <f t="shared" si="5"/>
        <v>1</v>
      </c>
    </row>
    <row r="16" spans="1:29" ht="15">
      <c r="A16" s="428"/>
      <c r="B16" s="446"/>
      <c r="C16" s="447" t="s">
        <v>3088</v>
      </c>
      <c r="D16" s="448"/>
      <c r="E16" s="447" t="s">
        <v>3088</v>
      </c>
      <c r="F16" s="449"/>
      <c r="G16" s="447" t="s">
        <v>3088</v>
      </c>
      <c r="H16" s="450"/>
      <c r="I16" s="447" t="s">
        <v>3088</v>
      </c>
      <c r="J16" s="448"/>
      <c r="K16" s="615"/>
      <c r="L16" s="1143"/>
      <c r="M16" s="1134"/>
      <c r="N16" s="1134"/>
      <c r="O16" s="1134"/>
      <c r="P16" s="3202"/>
      <c r="Q16" s="1813"/>
      <c r="R16" s="774"/>
      <c r="S16" s="775"/>
      <c r="T16" s="774"/>
      <c r="U16" s="775"/>
      <c r="V16" s="774"/>
      <c r="W16" s="775"/>
      <c r="X16" s="1816"/>
      <c r="Y16" s="3204"/>
      <c r="Z16" s="1817"/>
      <c r="AA16" s="1814">
        <v>1</v>
      </c>
      <c r="AB16" s="1814">
        <v>1</v>
      </c>
      <c r="AC16" s="1814">
        <v>1</v>
      </c>
    </row>
    <row r="17" spans="1:29" ht="142.5">
      <c r="A17" s="428"/>
      <c r="B17" s="451" t="s">
        <v>2095</v>
      </c>
      <c r="C17" s="2610" t="str">
        <f>估价对象房地状况!C6</f>
        <v>估价对象周边道路路网密集，有延安南路、塔城东路、公共交通通达情况较好，有1路、54路、44路，停车便捷程度较好，综合评价交通便捷度较好</v>
      </c>
      <c r="D17" s="450">
        <v>100</v>
      </c>
      <c r="E17" s="2989" t="s">
        <v>3161</v>
      </c>
      <c r="F17" s="453">
        <f>SUMIF(78:78,E18,79:79)-SUMIF(78:78,C18,79:79)+100</f>
        <v>100</v>
      </c>
      <c r="G17" s="2990" t="s">
        <v>3167</v>
      </c>
      <c r="H17" s="455">
        <f>SUMIF(78:78,G18,79:79)-SUMIF(78:78,C18,79:79)+100</f>
        <v>98</v>
      </c>
      <c r="I17" s="2989" t="s">
        <v>3158</v>
      </c>
      <c r="J17" s="455">
        <f>SUMIF(78:78,I18,79:79)-SUMIF(78:78,C18,79:79)+100</f>
        <v>100</v>
      </c>
      <c r="K17" s="614">
        <v>2</v>
      </c>
      <c r="L17" s="1143"/>
      <c r="M17" s="1134"/>
      <c r="N17" s="1134"/>
      <c r="O17" s="1134"/>
      <c r="P17" s="3202"/>
      <c r="Q17" s="1813" t="str">
        <f>B17</f>
        <v>交通便捷度</v>
      </c>
      <c r="R17" s="774" t="s">
        <v>17</v>
      </c>
      <c r="S17" s="775">
        <f>F17</f>
        <v>100</v>
      </c>
      <c r="T17" s="774" t="s">
        <v>17</v>
      </c>
      <c r="U17" s="775">
        <f>H17</f>
        <v>98</v>
      </c>
      <c r="V17" s="774" t="s">
        <v>17</v>
      </c>
      <c r="W17" s="775">
        <f>J17</f>
        <v>100</v>
      </c>
      <c r="X17" s="1816"/>
      <c r="Y17" s="3204"/>
      <c r="Z17" s="1817" t="str">
        <f>Q17</f>
        <v>交通便捷度</v>
      </c>
      <c r="AA17" s="1814">
        <f t="shared" si="3"/>
        <v>1</v>
      </c>
      <c r="AB17" s="1814">
        <f t="shared" si="4"/>
        <v>1.0204081632653061</v>
      </c>
      <c r="AC17" s="1814">
        <f t="shared" si="5"/>
        <v>1</v>
      </c>
    </row>
    <row r="18" spans="1:29" ht="15">
      <c r="A18" s="428"/>
      <c r="B18" s="456"/>
      <c r="C18" s="2611" t="s">
        <v>3089</v>
      </c>
      <c r="D18" s="450"/>
      <c r="E18" s="2613" t="s">
        <v>3089</v>
      </c>
      <c r="F18" s="453"/>
      <c r="G18" s="2612" t="s">
        <v>3088</v>
      </c>
      <c r="H18" s="448"/>
      <c r="I18" s="2613" t="s">
        <v>3089</v>
      </c>
      <c r="J18" s="448"/>
      <c r="K18" s="615"/>
      <c r="L18" s="1143"/>
      <c r="M18" s="1134"/>
      <c r="N18" s="1134"/>
      <c r="O18" s="1134"/>
      <c r="P18" s="3202"/>
      <c r="Q18" s="1813"/>
      <c r="R18" s="774"/>
      <c r="S18" s="775"/>
      <c r="T18" s="774"/>
      <c r="U18" s="775"/>
      <c r="V18" s="774"/>
      <c r="W18" s="775"/>
      <c r="X18" s="1816"/>
      <c r="Y18" s="3204"/>
      <c r="Z18" s="1817"/>
      <c r="AA18" s="1814">
        <v>1</v>
      </c>
      <c r="AB18" s="1814">
        <v>1</v>
      </c>
      <c r="AC18" s="1814">
        <v>1</v>
      </c>
    </row>
    <row r="19" spans="1:29" ht="128.25">
      <c r="A19" s="428"/>
      <c r="B19" s="451" t="s">
        <v>2652</v>
      </c>
      <c r="C19" s="2610" t="str">
        <f>估价对象房地状况!C7</f>
        <v>估价对象所在区域有中国工商银行、昌吉市北京南路石油新村社区卫生服务站、铭日商店、昌吉市第五小学，公共配套设施较较齐备</v>
      </c>
      <c r="D19" s="455">
        <v>100</v>
      </c>
      <c r="E19" s="2991" t="s">
        <v>3164</v>
      </c>
      <c r="F19" s="458">
        <f>SUMIF(80:80,E20,81:81)-SUMIF(80:80,C20,81:81)+100</f>
        <v>100</v>
      </c>
      <c r="G19" s="2992" t="s">
        <v>3169</v>
      </c>
      <c r="H19" s="450">
        <f>SUMIF(80:80,G20,81:81)-SUMIF(80:80,C20,81:81)+100</f>
        <v>100</v>
      </c>
      <c r="I19" s="2991" t="s">
        <v>3166</v>
      </c>
      <c r="J19" s="450">
        <f>SUMIF(80:80,I20,81:81)-SUMIF(80:80,C20,81:81)+100</f>
        <v>100</v>
      </c>
      <c r="K19" s="614">
        <v>2</v>
      </c>
      <c r="L19" s="1143"/>
      <c r="M19" s="1134"/>
      <c r="N19" s="1134"/>
      <c r="O19" s="1134"/>
      <c r="P19" s="3202"/>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1814">
        <f t="shared" si="5"/>
        <v>1</v>
      </c>
    </row>
    <row r="20" spans="1:29" ht="15">
      <c r="A20" s="428"/>
      <c r="B20" s="456"/>
      <c r="C20" s="447" t="s">
        <v>3089</v>
      </c>
      <c r="D20" s="448"/>
      <c r="E20" s="2608" t="s">
        <v>3089</v>
      </c>
      <c r="F20" s="449"/>
      <c r="G20" s="2607" t="s">
        <v>3089</v>
      </c>
      <c r="H20" s="448"/>
      <c r="I20" s="2608" t="s">
        <v>3089</v>
      </c>
      <c r="J20" s="448"/>
      <c r="K20" s="615"/>
      <c r="L20" s="1143"/>
      <c r="M20" s="1134"/>
      <c r="N20" s="1134"/>
      <c r="O20" s="1134"/>
      <c r="P20" s="3202"/>
      <c r="Q20" s="1813"/>
      <c r="R20" s="774"/>
      <c r="S20" s="775"/>
      <c r="T20" s="774"/>
      <c r="U20" s="775"/>
      <c r="V20" s="774"/>
      <c r="W20" s="775"/>
      <c r="X20" s="1816"/>
      <c r="Y20" s="3204"/>
      <c r="Z20" s="1817"/>
      <c r="AA20" s="1814">
        <v>1</v>
      </c>
      <c r="AB20" s="1814">
        <v>1</v>
      </c>
      <c r="AC20" s="1814">
        <v>1</v>
      </c>
    </row>
    <row r="21" spans="1:29" ht="40.5">
      <c r="A21" s="428"/>
      <c r="B21" s="1387" t="s">
        <v>2653</v>
      </c>
      <c r="C21" s="2610" t="str">
        <f>估价对象房地状况!C8</f>
        <v>估价对象所在区域基础设施七通</v>
      </c>
      <c r="D21" s="455">
        <v>100</v>
      </c>
      <c r="E21" s="2991" t="s">
        <v>3171</v>
      </c>
      <c r="F21" s="458">
        <f>SUMIF(82:82,E22,83:83)-SUMIF(82:82,C22,83:83)+100</f>
        <v>100</v>
      </c>
      <c r="G21" s="2992" t="s">
        <v>3121</v>
      </c>
      <c r="H21" s="450">
        <f>SUMIF(82:82,G22,83:83)-SUMIF(82:82,C22,83:83)+100</f>
        <v>100</v>
      </c>
      <c r="I21" s="2991" t="s">
        <v>3122</v>
      </c>
      <c r="J21" s="450">
        <f>SUMIF(82:82,I22,83:83)-SUMIF(82:82,C22,83:83)+100</f>
        <v>100</v>
      </c>
      <c r="K21" s="614">
        <v>2</v>
      </c>
      <c r="L21" s="1143"/>
      <c r="M21" s="1134"/>
      <c r="N21" s="1134"/>
      <c r="O21" s="1134"/>
      <c r="P21" s="3202"/>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1" t="s">
        <v>3090</v>
      </c>
      <c r="D22" s="448"/>
      <c r="E22" s="2973" t="s">
        <v>3091</v>
      </c>
      <c r="F22" s="449"/>
      <c r="G22" s="2973" t="s">
        <v>3091</v>
      </c>
      <c r="H22" s="448"/>
      <c r="I22" s="2973" t="s">
        <v>3091</v>
      </c>
      <c r="J22" s="448"/>
      <c r="K22" s="1386"/>
      <c r="L22" s="1143"/>
      <c r="M22" s="1134"/>
      <c r="N22" s="1134"/>
      <c r="O22" s="1134"/>
      <c r="P22" s="3202"/>
      <c r="Q22" s="1813"/>
      <c r="R22" s="774"/>
      <c r="S22" s="775"/>
      <c r="T22" s="774"/>
      <c r="U22" s="775"/>
      <c r="V22" s="774"/>
      <c r="W22" s="775"/>
      <c r="X22" s="1816"/>
      <c r="Y22" s="3204"/>
      <c r="Z22" s="1817"/>
      <c r="AA22" s="1814">
        <v>1</v>
      </c>
      <c r="AB22" s="1814">
        <v>1</v>
      </c>
      <c r="AC22" s="1814">
        <v>1</v>
      </c>
    </row>
    <row r="23" spans="1:29" ht="99.75">
      <c r="A23" s="428"/>
      <c r="B23" s="451" t="s">
        <v>2100</v>
      </c>
      <c r="C23" s="2667" t="str">
        <f>估价对象房地状况!C9</f>
        <v>区域内有晋昌公园，自然环境较好；有昌吉回族自治州技师培训学院，人文环境较好；综合评价环境状况较好</v>
      </c>
      <c r="D23" s="450">
        <v>100</v>
      </c>
      <c r="E23" s="2989" t="s">
        <v>3165</v>
      </c>
      <c r="F23" s="453">
        <f>SUMIF(84:84,E24,85:85)-SUMIF(84:84,C24,85:85)+100</f>
        <v>100</v>
      </c>
      <c r="G23" s="2990" t="s">
        <v>3170</v>
      </c>
      <c r="H23" s="450">
        <f>SUMIF(84:84,G24,85:85)-SUMIF(84:84,C24,85:85)+100</f>
        <v>98</v>
      </c>
      <c r="I23" s="2989" t="s">
        <v>3163</v>
      </c>
      <c r="J23" s="450">
        <f>SUMIF(84:84,I24,85:85)-SUMIF(84:84,C24,85:85)+100</f>
        <v>100</v>
      </c>
      <c r="K23" s="614">
        <v>2</v>
      </c>
      <c r="L23" s="1143"/>
      <c r="M23" s="1134"/>
      <c r="N23" s="1134"/>
      <c r="O23" s="1134"/>
      <c r="P23" s="3202"/>
      <c r="Q23" s="1813" t="str">
        <f>B23</f>
        <v>自然及人文环境</v>
      </c>
      <c r="R23" s="774" t="s">
        <v>17</v>
      </c>
      <c r="S23" s="775">
        <f>F23</f>
        <v>100</v>
      </c>
      <c r="T23" s="774" t="s">
        <v>17</v>
      </c>
      <c r="U23" s="775">
        <f>H23</f>
        <v>98</v>
      </c>
      <c r="V23" s="774" t="s">
        <v>17</v>
      </c>
      <c r="W23" s="775">
        <f>J23</f>
        <v>100</v>
      </c>
      <c r="X23" s="1816"/>
      <c r="Y23" s="3204"/>
      <c r="Z23" s="1817" t="str">
        <f>Q23</f>
        <v>自然及人文环境</v>
      </c>
      <c r="AA23" s="1814">
        <f t="shared" si="3"/>
        <v>1</v>
      </c>
      <c r="AB23" s="1814">
        <f t="shared" si="4"/>
        <v>1.0204081632653061</v>
      </c>
      <c r="AC23" s="1814">
        <f t="shared" si="5"/>
        <v>1</v>
      </c>
    </row>
    <row r="24" spans="1:29" ht="15">
      <c r="A24" s="428"/>
      <c r="B24" s="456"/>
      <c r="C24" s="447" t="s">
        <v>3089</v>
      </c>
      <c r="D24" s="448"/>
      <c r="E24" s="2974" t="s">
        <v>3089</v>
      </c>
      <c r="F24" s="449"/>
      <c r="G24" s="2975" t="s">
        <v>3088</v>
      </c>
      <c r="H24" s="448"/>
      <c r="I24" s="2974" t="s">
        <v>3092</v>
      </c>
      <c r="J24" s="448"/>
      <c r="K24" s="615"/>
      <c r="L24" s="1143"/>
      <c r="M24" s="1134"/>
      <c r="N24" s="1134"/>
      <c r="O24" s="1134"/>
      <c r="P24" s="3202"/>
      <c r="Q24" s="1813"/>
      <c r="R24" s="774"/>
      <c r="S24" s="775"/>
      <c r="T24" s="774"/>
      <c r="U24" s="775"/>
      <c r="V24" s="774"/>
      <c r="W24" s="775"/>
      <c r="X24" s="1816"/>
      <c r="Y24" s="3204"/>
      <c r="Z24" s="1817"/>
      <c r="AA24" s="1814">
        <v>1</v>
      </c>
      <c r="AB24" s="1814">
        <v>1</v>
      </c>
      <c r="AC24" s="1814">
        <v>1</v>
      </c>
    </row>
    <row r="25" spans="1:29" ht="15">
      <c r="A25" s="428"/>
      <c r="B25" s="422" t="s">
        <v>2654</v>
      </c>
      <c r="C25" s="2976" t="s">
        <v>3093</v>
      </c>
      <c r="D25" s="435">
        <v>100</v>
      </c>
      <c r="E25" s="2976" t="s">
        <v>3093</v>
      </c>
      <c r="F25" s="461">
        <f>SUMIF(86:86,E25,87:87)-SUMIF(86:86,C25,87:87)+100</f>
        <v>100</v>
      </c>
      <c r="G25" s="2976" t="s">
        <v>3093</v>
      </c>
      <c r="H25" s="435">
        <f>SUMIF(86:86,G25,87:87)-SUMIF(86:86,C25,87:87)+100</f>
        <v>100</v>
      </c>
      <c r="I25" s="2976" t="s">
        <v>3093</v>
      </c>
      <c r="J25" s="435">
        <f>SUMIF(86:86,I25,87:87)-SUMIF(86:86,C25,87:87)+100</f>
        <v>100</v>
      </c>
      <c r="K25" s="612"/>
      <c r="L25" s="1143"/>
      <c r="M25" s="1134"/>
      <c r="N25" s="1134"/>
      <c r="O25" s="1134"/>
      <c r="P25" s="3202"/>
      <c r="Q25" s="1813" t="str">
        <f t="shared" ref="Q25:Q46" si="11">B25</f>
        <v>临街状况</v>
      </c>
      <c r="R25" s="774" t="s">
        <v>17</v>
      </c>
      <c r="S25" s="775">
        <f>F25</f>
        <v>100</v>
      </c>
      <c r="T25" s="774" t="s">
        <v>17</v>
      </c>
      <c r="U25" s="775">
        <f>H25</f>
        <v>100</v>
      </c>
      <c r="V25" s="774" t="s">
        <v>17</v>
      </c>
      <c r="W25" s="775">
        <f>J25</f>
        <v>100</v>
      </c>
      <c r="X25" s="1816"/>
      <c r="Y25" s="3204"/>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2"/>
      <c r="Q26" s="1813" t="str">
        <f t="shared" si="11"/>
        <v>平面位置/可视性</v>
      </c>
      <c r="R26" s="774" t="s">
        <v>17</v>
      </c>
      <c r="S26" s="775">
        <f>F26</f>
        <v>100</v>
      </c>
      <c r="T26" s="774" t="s">
        <v>17</v>
      </c>
      <c r="U26" s="775">
        <f>H26</f>
        <v>100</v>
      </c>
      <c r="V26" s="774" t="s">
        <v>17</v>
      </c>
      <c r="W26" s="775">
        <f>J26</f>
        <v>100</v>
      </c>
      <c r="X26" s="1816"/>
      <c r="Y26" s="3204"/>
      <c r="Z26" s="1817" t="str">
        <f>Q26</f>
        <v>平面位置/可视性</v>
      </c>
      <c r="AA26" s="1814">
        <f t="shared" si="3"/>
        <v>1</v>
      </c>
      <c r="AB26" s="1814">
        <f t="shared" si="4"/>
        <v>1</v>
      </c>
      <c r="AC26" s="1814">
        <f t="shared" si="5"/>
        <v>1</v>
      </c>
    </row>
    <row r="27" spans="1:29" s="117" customFormat="1" ht="15">
      <c r="A27" s="431"/>
      <c r="B27" s="451" t="s">
        <v>2656</v>
      </c>
      <c r="C27" s="2977"/>
      <c r="D27" s="462">
        <v>100</v>
      </c>
      <c r="E27" s="2977"/>
      <c r="F27" s="464">
        <f>SUMIF(90:90,E27,91:91)-SUMIF(90:90,C27,91:91)+100</f>
        <v>100</v>
      </c>
      <c r="G27" s="2977"/>
      <c r="H27" s="462">
        <f>SUMIF(90:90,G27,91:91)-SUMIF(90:90,C27,91:91)+100</f>
        <v>100</v>
      </c>
      <c r="I27" s="2977"/>
      <c r="J27" s="462">
        <f>SUMIF(90:90,I27,91:91)-SUMIF(90:90,C27,91:91)+100</f>
        <v>100</v>
      </c>
      <c r="K27" s="612"/>
      <c r="L27" s="1135"/>
      <c r="M27" s="1136"/>
      <c r="N27" s="1136"/>
      <c r="O27" s="1136"/>
      <c r="P27" s="3202"/>
      <c r="Q27" s="1798" t="str">
        <f t="shared" si="11"/>
        <v>人流量</v>
      </c>
      <c r="R27" s="770" t="s">
        <v>17</v>
      </c>
      <c r="S27" s="771">
        <f>F27</f>
        <v>100</v>
      </c>
      <c r="T27" s="770" t="s">
        <v>17</v>
      </c>
      <c r="U27" s="771">
        <f>H27</f>
        <v>100</v>
      </c>
      <c r="V27" s="770" t="s">
        <v>17</v>
      </c>
      <c r="W27" s="771">
        <f>J27</f>
        <v>100</v>
      </c>
      <c r="X27" s="772"/>
      <c r="Y27" s="3204"/>
      <c r="Z27" s="55" t="str">
        <f>Q27</f>
        <v>人流量</v>
      </c>
      <c r="AA27" s="1814">
        <f>D27/F27</f>
        <v>1</v>
      </c>
      <c r="AB27" s="1814">
        <f>D27/H27</f>
        <v>1</v>
      </c>
      <c r="AC27" s="1814">
        <f>D27/J27</f>
        <v>1</v>
      </c>
    </row>
    <row r="28" spans="1:29" ht="15">
      <c r="A28" s="428"/>
      <c r="B28" s="422" t="s">
        <v>2657</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20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2"/>
      <c r="Q29" s="1813">
        <f t="shared" si="11"/>
        <v>111</v>
      </c>
      <c r="R29" s="774" t="s">
        <v>17</v>
      </c>
      <c r="S29" s="775">
        <f t="shared" si="12"/>
        <v>100</v>
      </c>
      <c r="T29" s="774" t="s">
        <v>17</v>
      </c>
      <c r="U29" s="775">
        <f t="shared" si="13"/>
        <v>100</v>
      </c>
      <c r="V29" s="774" t="s">
        <v>17</v>
      </c>
      <c r="W29" s="775">
        <f t="shared" si="14"/>
        <v>100</v>
      </c>
      <c r="X29" s="1816"/>
      <c r="Y29" s="320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2"/>
      <c r="Q30" s="1813">
        <f t="shared" si="11"/>
        <v>111</v>
      </c>
      <c r="R30" s="774" t="s">
        <v>17</v>
      </c>
      <c r="S30" s="775">
        <f t="shared" si="12"/>
        <v>100</v>
      </c>
      <c r="T30" s="774" t="s">
        <v>17</v>
      </c>
      <c r="U30" s="775">
        <f t="shared" si="13"/>
        <v>100</v>
      </c>
      <c r="V30" s="774" t="s">
        <v>17</v>
      </c>
      <c r="W30" s="775">
        <f t="shared" si="14"/>
        <v>100</v>
      </c>
      <c r="X30" s="1816"/>
      <c r="Y30" s="320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2"/>
      <c r="Q31" s="1813">
        <f t="shared" si="11"/>
        <v>111</v>
      </c>
      <c r="R31" s="774" t="s">
        <v>17</v>
      </c>
      <c r="S31" s="775">
        <f t="shared" si="12"/>
        <v>100</v>
      </c>
      <c r="T31" s="774" t="s">
        <v>17</v>
      </c>
      <c r="U31" s="775">
        <f t="shared" si="13"/>
        <v>100</v>
      </c>
      <c r="V31" s="774" t="s">
        <v>17</v>
      </c>
      <c r="W31" s="775">
        <f t="shared" si="14"/>
        <v>100</v>
      </c>
      <c r="X31" s="1816"/>
      <c r="Y31" s="3204"/>
      <c r="Z31" s="1817">
        <f t="shared" si="15"/>
        <v>111</v>
      </c>
      <c r="AA31" s="1814">
        <f t="shared" si="3"/>
        <v>1</v>
      </c>
      <c r="AB31" s="1814">
        <f t="shared" si="4"/>
        <v>1</v>
      </c>
      <c r="AC31" s="1814">
        <f t="shared" si="5"/>
        <v>1</v>
      </c>
    </row>
    <row r="32" spans="1:29" ht="15">
      <c r="A32" s="440" t="s">
        <v>2561</v>
      </c>
      <c r="B32" s="71" t="s">
        <v>2658</v>
      </c>
      <c r="C32" s="2978" t="s">
        <v>3095</v>
      </c>
      <c r="D32" s="467">
        <v>100</v>
      </c>
      <c r="E32" s="2978" t="s">
        <v>3094</v>
      </c>
      <c r="F32" s="461">
        <f>SUMIF(100:100,E32,101:101)-SUMIF(100:100,C32,101:101)+100</f>
        <v>100</v>
      </c>
      <c r="G32" s="2978" t="s">
        <v>3094</v>
      </c>
      <c r="H32" s="435">
        <f>SUMIF(100:100,G32,101:101)-SUMIF(100:100,C32,101:101)+100</f>
        <v>100</v>
      </c>
      <c r="I32" s="2978" t="s">
        <v>3094</v>
      </c>
      <c r="J32" s="467">
        <f>SUMIF(100:100,I32,101:101)-SUMIF(100:100,C32,101:101)+100</f>
        <v>100</v>
      </c>
      <c r="K32" s="612"/>
      <c r="L32" s="1143"/>
      <c r="M32" s="1134"/>
      <c r="N32" s="1134"/>
      <c r="O32" s="1134"/>
      <c r="P32" s="3205" t="s">
        <v>2563</v>
      </c>
      <c r="Q32" s="1813" t="str">
        <f t="shared" si="11"/>
        <v>商业类型</v>
      </c>
      <c r="R32" s="774" t="s">
        <v>17</v>
      </c>
      <c r="S32" s="775">
        <f t="shared" si="12"/>
        <v>100</v>
      </c>
      <c r="T32" s="774" t="s">
        <v>17</v>
      </c>
      <c r="U32" s="775">
        <f t="shared" si="13"/>
        <v>100</v>
      </c>
      <c r="V32" s="774" t="s">
        <v>17</v>
      </c>
      <c r="W32" s="775">
        <f t="shared" si="14"/>
        <v>100</v>
      </c>
      <c r="X32" s="1816"/>
      <c r="Y32" s="3208" t="s">
        <v>2563</v>
      </c>
      <c r="Z32" s="1817" t="str">
        <f t="shared" si="15"/>
        <v>商业类型</v>
      </c>
      <c r="AA32" s="1814">
        <f t="shared" si="3"/>
        <v>1</v>
      </c>
      <c r="AB32" s="1814">
        <f t="shared" si="4"/>
        <v>1</v>
      </c>
      <c r="AC32" s="1814">
        <f t="shared" si="5"/>
        <v>1</v>
      </c>
    </row>
    <row r="33" spans="1:29" s="471" customFormat="1" ht="15">
      <c r="A33" s="468"/>
      <c r="B33" s="422" t="s">
        <v>2564</v>
      </c>
      <c r="C33" s="469">
        <f>'数据-汇总表'!F19</f>
        <v>349.87</v>
      </c>
      <c r="D33" s="136">
        <v>100</v>
      </c>
      <c r="E33" s="430">
        <v>100</v>
      </c>
      <c r="F33" s="425">
        <f>LOOKUP(E33,103:103,104:104)-LOOKUP(C33,103:103,104:104)+100</f>
        <v>102</v>
      </c>
      <c r="G33" s="429">
        <v>100</v>
      </c>
      <c r="H33" s="136">
        <f>LOOKUP(G33,103:103,104:104)-LOOKUP(C33,103:103,104:104)+100</f>
        <v>102</v>
      </c>
      <c r="I33" s="429">
        <v>100</v>
      </c>
      <c r="J33" s="136">
        <f>LOOKUP(I33,103:103,104:104)-LOOKUP(C33,103:103,104:104)+100</f>
        <v>102</v>
      </c>
      <c r="K33" s="613"/>
      <c r="L33" s="1141"/>
      <c r="M33" s="1144"/>
      <c r="N33" s="1144"/>
      <c r="O33" s="1144"/>
      <c r="P33" s="3206"/>
      <c r="Q33" s="776" t="str">
        <f t="shared" si="11"/>
        <v>项目建筑规模</v>
      </c>
      <c r="R33" s="777" t="s">
        <v>17</v>
      </c>
      <c r="S33" s="778">
        <f t="shared" si="12"/>
        <v>102</v>
      </c>
      <c r="T33" s="777" t="s">
        <v>17</v>
      </c>
      <c r="U33" s="778">
        <f t="shared" si="13"/>
        <v>102</v>
      </c>
      <c r="V33" s="777" t="s">
        <v>17</v>
      </c>
      <c r="W33" s="778">
        <f t="shared" si="14"/>
        <v>102</v>
      </c>
      <c r="X33" s="779"/>
      <c r="Y33" s="3208"/>
      <c r="Z33" s="780" t="str">
        <f t="shared" si="15"/>
        <v>项目建筑规模</v>
      </c>
      <c r="AA33" s="1814">
        <f t="shared" si="3"/>
        <v>0.98039215686274506</v>
      </c>
      <c r="AB33" s="1814">
        <f t="shared" si="4"/>
        <v>0.98039215686274506</v>
      </c>
      <c r="AC33" s="1814">
        <f t="shared" si="5"/>
        <v>0.98039215686274506</v>
      </c>
    </row>
    <row r="34" spans="1:29" ht="15">
      <c r="A34" s="472"/>
      <c r="B34" s="422" t="s">
        <v>2565</v>
      </c>
      <c r="C34" s="2979" t="s">
        <v>3096</v>
      </c>
      <c r="D34" s="435">
        <v>100</v>
      </c>
      <c r="E34" s="2979" t="s">
        <v>3096</v>
      </c>
      <c r="F34" s="461">
        <f>SUMIF(105:105,E34,106:106)-SUMIF(105:105,C34,106:106)+100</f>
        <v>100</v>
      </c>
      <c r="G34" s="2979" t="s">
        <v>3096</v>
      </c>
      <c r="H34" s="435">
        <f>SUMIF(105:105,G34,106:106)-SUMIF(105:105,C34,106:106)+100</f>
        <v>100</v>
      </c>
      <c r="I34" s="2979" t="s">
        <v>3096</v>
      </c>
      <c r="J34" s="435">
        <f>SUMIF(105:105,I34,106:106)-SUMIF(105:105,C34,106:106)+100</f>
        <v>100</v>
      </c>
      <c r="K34" s="612"/>
      <c r="L34" s="1143"/>
      <c r="M34" s="1134"/>
      <c r="N34" s="1134"/>
      <c r="O34" s="1134"/>
      <c r="P34" s="3206"/>
      <c r="Q34" s="1813" t="str">
        <f t="shared" si="11"/>
        <v>建筑结构</v>
      </c>
      <c r="R34" s="774" t="s">
        <v>17</v>
      </c>
      <c r="S34" s="775">
        <f t="shared" si="12"/>
        <v>100</v>
      </c>
      <c r="T34" s="774" t="s">
        <v>17</v>
      </c>
      <c r="U34" s="775">
        <f t="shared" si="13"/>
        <v>100</v>
      </c>
      <c r="V34" s="774" t="s">
        <v>17</v>
      </c>
      <c r="W34" s="775">
        <f t="shared" si="14"/>
        <v>100</v>
      </c>
      <c r="X34" s="1816"/>
      <c r="Y34" s="3208"/>
      <c r="Z34" s="1817" t="str">
        <f t="shared" si="15"/>
        <v>建筑结构</v>
      </c>
      <c r="AA34" s="1814">
        <f t="shared" si="3"/>
        <v>1</v>
      </c>
      <c r="AB34" s="1814">
        <f t="shared" si="4"/>
        <v>1</v>
      </c>
      <c r="AC34" s="1814">
        <f t="shared" si="5"/>
        <v>1</v>
      </c>
    </row>
    <row r="35" spans="1:29" ht="15">
      <c r="A35" s="472"/>
      <c r="B35" s="422" t="s">
        <v>2659</v>
      </c>
      <c r="C35" s="2980" t="s">
        <v>3100</v>
      </c>
      <c r="D35" s="435">
        <v>100</v>
      </c>
      <c r="E35" s="2980" t="s">
        <v>3100</v>
      </c>
      <c r="F35" s="461">
        <f>SUMIF(107:107,E35,108:108)-SUMIF(107:107,C35,108:108)+100</f>
        <v>100</v>
      </c>
      <c r="G35" s="2980" t="s">
        <v>3100</v>
      </c>
      <c r="H35" s="435">
        <f>SUMIF(107:107,G35,108:108)-SUMIF(107:107,C35,108:108)+100</f>
        <v>100</v>
      </c>
      <c r="I35" s="2980" t="s">
        <v>3100</v>
      </c>
      <c r="J35" s="435">
        <f>SUMIF(107:107,I35,108:108)-SUMIF(107:107,C35,108:108)+100</f>
        <v>100</v>
      </c>
      <c r="K35" s="612"/>
      <c r="L35" s="1143"/>
      <c r="M35" s="1134"/>
      <c r="N35" s="1134"/>
      <c r="O35" s="1134"/>
      <c r="P35" s="3206"/>
      <c r="Q35" s="1813" t="str">
        <f t="shared" si="11"/>
        <v>公共部分装修</v>
      </c>
      <c r="R35" s="774" t="s">
        <v>17</v>
      </c>
      <c r="S35" s="775">
        <f t="shared" si="12"/>
        <v>100</v>
      </c>
      <c r="T35" s="774" t="s">
        <v>17</v>
      </c>
      <c r="U35" s="775">
        <f t="shared" si="13"/>
        <v>100</v>
      </c>
      <c r="V35" s="774" t="s">
        <v>17</v>
      </c>
      <c r="W35" s="775">
        <f t="shared" si="14"/>
        <v>100</v>
      </c>
      <c r="X35" s="1816"/>
      <c r="Y35" s="3208"/>
      <c r="Z35" s="1817" t="str">
        <f t="shared" si="15"/>
        <v>公共部分装修</v>
      </c>
      <c r="AA35" s="1814">
        <f t="shared" si="3"/>
        <v>1</v>
      </c>
      <c r="AB35" s="1814">
        <f t="shared" si="4"/>
        <v>1</v>
      </c>
      <c r="AC35" s="1814">
        <f t="shared" si="5"/>
        <v>1</v>
      </c>
    </row>
    <row r="36" spans="1:29" ht="15">
      <c r="A36" s="472"/>
      <c r="B36" s="422" t="s">
        <v>2660</v>
      </c>
      <c r="C36" s="474">
        <v>1</v>
      </c>
      <c r="D36" s="435">
        <v>100</v>
      </c>
      <c r="E36" s="474">
        <v>1</v>
      </c>
      <c r="F36" s="461">
        <f>LOOKUP(E36,110:110,111:111)-LOOKUP(C36,110:110,111:111)+100</f>
        <v>100</v>
      </c>
      <c r="G36" s="474">
        <v>1</v>
      </c>
      <c r="H36" s="461">
        <f>LOOKUP(G36,110:110,111:111)-LOOKUP(C36,110:110,111:111)+100</f>
        <v>100</v>
      </c>
      <c r="I36" s="474">
        <v>0.98</v>
      </c>
      <c r="J36" s="435">
        <f>LOOKUP(I36,110:110,111:111)-LOOKUP(C36,110:110,111:111)+100</f>
        <v>100</v>
      </c>
      <c r="K36" s="612"/>
      <c r="L36" s="1143"/>
      <c r="M36" s="1134"/>
      <c r="N36" s="1134"/>
      <c r="O36" s="1134"/>
      <c r="P36" s="3206"/>
      <c r="Q36" s="1813" t="str">
        <f t="shared" si="11"/>
        <v>成新度</v>
      </c>
      <c r="R36" s="774" t="s">
        <v>17</v>
      </c>
      <c r="S36" s="775">
        <f t="shared" si="12"/>
        <v>100</v>
      </c>
      <c r="T36" s="774" t="s">
        <v>17</v>
      </c>
      <c r="U36" s="775">
        <f t="shared" si="13"/>
        <v>100</v>
      </c>
      <c r="V36" s="774" t="s">
        <v>17</v>
      </c>
      <c r="W36" s="775">
        <f t="shared" si="14"/>
        <v>100</v>
      </c>
      <c r="X36" s="1816"/>
      <c r="Y36" s="3208"/>
      <c r="Z36" s="1817" t="str">
        <f t="shared" si="15"/>
        <v>成新度</v>
      </c>
      <c r="AA36" s="1814">
        <f t="shared" si="3"/>
        <v>1</v>
      </c>
      <c r="AB36" s="1814">
        <f t="shared" si="4"/>
        <v>1</v>
      </c>
      <c r="AC36" s="1814">
        <f t="shared" si="5"/>
        <v>1</v>
      </c>
    </row>
    <row r="37" spans="1:29" s="117" customFormat="1" ht="15">
      <c r="A37" s="473"/>
      <c r="B37" s="422" t="s">
        <v>2661</v>
      </c>
      <c r="C37" s="2980" t="s">
        <v>3097</v>
      </c>
      <c r="D37" s="136">
        <v>100</v>
      </c>
      <c r="E37" s="2980" t="s">
        <v>3097</v>
      </c>
      <c r="F37" s="461">
        <f>SUMIF(112:112,E37,113:113)-SUMIF(112:112,C37,113:113)+100</f>
        <v>100</v>
      </c>
      <c r="G37" s="2980" t="s">
        <v>3097</v>
      </c>
      <c r="H37" s="435">
        <f>SUMIF(112:112,G37,113:113)-SUMIF(112:112,C37,113:113)+100</f>
        <v>100</v>
      </c>
      <c r="I37" s="2980" t="s">
        <v>3097</v>
      </c>
      <c r="J37" s="435">
        <f>SUMIF(112:112,I37,113:113)-SUMIF(112:112,C37,113:113)+100</f>
        <v>100</v>
      </c>
      <c r="K37" s="612"/>
      <c r="L37" s="1135"/>
      <c r="M37" s="1136"/>
      <c r="N37" s="1136"/>
      <c r="O37" s="1136"/>
      <c r="P37" s="3206"/>
      <c r="Q37" s="1798"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06" t="s">
        <v>2563</v>
      </c>
      <c r="Q38" s="1813" t="str">
        <f t="shared" si="11"/>
        <v>业态</v>
      </c>
      <c r="R38" s="774" t="s">
        <v>17</v>
      </c>
      <c r="S38" s="775">
        <f t="shared" si="12"/>
        <v>100</v>
      </c>
      <c r="T38" s="774" t="s">
        <v>17</v>
      </c>
      <c r="U38" s="775">
        <f t="shared" si="13"/>
        <v>100</v>
      </c>
      <c r="V38" s="774" t="s">
        <v>17</v>
      </c>
      <c r="W38" s="775">
        <f t="shared" si="14"/>
        <v>100</v>
      </c>
      <c r="X38" s="1816"/>
      <c r="Y38" s="3208" t="s">
        <v>2563</v>
      </c>
      <c r="Z38" s="1817" t="str">
        <f t="shared" si="15"/>
        <v>业态</v>
      </c>
      <c r="AA38" s="1814">
        <f t="shared" si="3"/>
        <v>1</v>
      </c>
      <c r="AB38" s="1814">
        <f t="shared" si="4"/>
        <v>1</v>
      </c>
      <c r="AC38" s="1814">
        <f t="shared" si="5"/>
        <v>1</v>
      </c>
    </row>
    <row r="39" spans="1:29" ht="15">
      <c r="A39" s="472"/>
      <c r="B39" s="422" t="s">
        <v>2663</v>
      </c>
      <c r="C39" s="2616" t="s">
        <v>3098</v>
      </c>
      <c r="D39" s="435">
        <v>100</v>
      </c>
      <c r="E39" s="2616" t="s">
        <v>3098</v>
      </c>
      <c r="F39" s="461">
        <f>SUMIF(116:116,E39,117:117)-SUMIF(116:116,C39,117:117)+100</f>
        <v>100</v>
      </c>
      <c r="G39" s="2616" t="s">
        <v>3098</v>
      </c>
      <c r="H39" s="435">
        <f>SUMIF(116:116,G39,117:117)-SUMIF(116:116,C39,117:117)+100</f>
        <v>100</v>
      </c>
      <c r="I39" s="2616" t="s">
        <v>3098</v>
      </c>
      <c r="J39" s="435">
        <f>SUMIF(116:116,I39,117:117)-SUMIF(116:116,C39,117:117)+100</f>
        <v>100</v>
      </c>
      <c r="K39" s="612"/>
      <c r="L39" s="1143"/>
      <c r="M39" s="1134"/>
      <c r="N39" s="1134"/>
      <c r="O39" s="1134"/>
      <c r="P39" s="3206"/>
      <c r="Q39" s="1813" t="str">
        <f t="shared" si="11"/>
        <v>层高</v>
      </c>
      <c r="R39" s="774" t="s">
        <v>17</v>
      </c>
      <c r="S39" s="775">
        <f t="shared" si="12"/>
        <v>100</v>
      </c>
      <c r="T39" s="774" t="s">
        <v>17</v>
      </c>
      <c r="U39" s="775">
        <f t="shared" si="13"/>
        <v>100</v>
      </c>
      <c r="V39" s="774" t="s">
        <v>17</v>
      </c>
      <c r="W39" s="775">
        <f t="shared" si="14"/>
        <v>100</v>
      </c>
      <c r="X39" s="1816"/>
      <c r="Y39" s="3208"/>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6"/>
      <c r="Q40" s="1813" t="str">
        <f t="shared" si="11"/>
        <v>单套建筑面积</v>
      </c>
      <c r="R40" s="774" t="s">
        <v>17</v>
      </c>
      <c r="S40" s="775">
        <f t="shared" si="12"/>
        <v>100</v>
      </c>
      <c r="T40" s="774" t="s">
        <v>17</v>
      </c>
      <c r="U40" s="775">
        <f t="shared" si="13"/>
        <v>100</v>
      </c>
      <c r="V40" s="774" t="s">
        <v>17</v>
      </c>
      <c r="W40" s="775">
        <f t="shared" si="14"/>
        <v>100</v>
      </c>
      <c r="X40" s="1816"/>
      <c r="Y40" s="3208"/>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4">
        <f t="shared" si="3"/>
        <v>1</v>
      </c>
      <c r="AB41" s="1814">
        <f t="shared" si="4"/>
        <v>1</v>
      </c>
      <c r="AC41" s="1814">
        <f t="shared" si="5"/>
        <v>1</v>
      </c>
    </row>
    <row r="42" spans="1:29" ht="15">
      <c r="A42" s="472"/>
      <c r="B42" s="422" t="s">
        <v>2666</v>
      </c>
      <c r="C42" s="2980" t="s">
        <v>3173</v>
      </c>
      <c r="D42" s="435">
        <v>100</v>
      </c>
      <c r="E42" s="2980" t="s">
        <v>3099</v>
      </c>
      <c r="F42" s="461">
        <f>SUMIF(122:122,E42,123:123)-SUMIF(122:122,C42,123:123)+100</f>
        <v>98</v>
      </c>
      <c r="G42" s="2980" t="s">
        <v>3099</v>
      </c>
      <c r="H42" s="435">
        <f>SUMIF(122:122,G42,123:123)-SUMIF(122:122,C42,123:123)+100</f>
        <v>98</v>
      </c>
      <c r="I42" s="2980" t="s">
        <v>3099</v>
      </c>
      <c r="J42" s="435">
        <f>SUMIF(122:122,I42,123:123)-SUMIF(122:122,C42,123:123)+100</f>
        <v>98</v>
      </c>
      <c r="K42" s="612">
        <v>1</v>
      </c>
      <c r="L42" s="1143"/>
      <c r="M42" s="1134"/>
      <c r="N42" s="1134"/>
      <c r="O42" s="1134"/>
      <c r="P42" s="3206"/>
      <c r="Q42" s="1813" t="str">
        <f t="shared" si="11"/>
        <v>内部装修</v>
      </c>
      <c r="R42" s="774" t="s">
        <v>17</v>
      </c>
      <c r="S42" s="775">
        <f t="shared" si="12"/>
        <v>98</v>
      </c>
      <c r="T42" s="774" t="s">
        <v>17</v>
      </c>
      <c r="U42" s="775">
        <f t="shared" si="13"/>
        <v>98</v>
      </c>
      <c r="V42" s="774" t="s">
        <v>17</v>
      </c>
      <c r="W42" s="775">
        <f t="shared" si="14"/>
        <v>98</v>
      </c>
      <c r="X42" s="1816"/>
      <c r="Y42" s="3208"/>
      <c r="Z42" s="1817" t="str">
        <f t="shared" si="15"/>
        <v>内部装修</v>
      </c>
      <c r="AA42" s="1814">
        <f t="shared" si="3"/>
        <v>1.0204081632653061</v>
      </c>
      <c r="AB42" s="1814">
        <f t="shared" si="4"/>
        <v>1.0204081632653061</v>
      </c>
      <c r="AC42" s="1814">
        <f t="shared" si="5"/>
        <v>1.0204081632653061</v>
      </c>
    </row>
    <row r="43" spans="1:29" ht="15">
      <c r="A43" s="472"/>
      <c r="B43" s="422" t="s">
        <v>2574</v>
      </c>
      <c r="C43" s="2980" t="s">
        <v>3092</v>
      </c>
      <c r="D43" s="435">
        <v>100</v>
      </c>
      <c r="E43" s="2980" t="s">
        <v>3092</v>
      </c>
      <c r="F43" s="461">
        <f>SUMIF(124:124,E43,125:125)-SUMIF(124:124,C43,125:125)+100</f>
        <v>100</v>
      </c>
      <c r="G43" s="2980" t="s">
        <v>3092</v>
      </c>
      <c r="H43" s="435">
        <f>SUMIF(124:124,G43,125:125)-SUMIF(124:124,C43,125:125)+100</f>
        <v>100</v>
      </c>
      <c r="I43" s="2980" t="s">
        <v>3092</v>
      </c>
      <c r="J43" s="435">
        <f>SUMIF(124:124,I43,125:125)-SUMIF(124:124,C43,125:125)+100</f>
        <v>100</v>
      </c>
      <c r="K43" s="612"/>
      <c r="L43" s="1143"/>
      <c r="M43" s="1134"/>
      <c r="N43" s="1134"/>
      <c r="O43" s="1134"/>
      <c r="P43" s="3206"/>
      <c r="Q43" s="1813" t="str">
        <f t="shared" si="11"/>
        <v>内部装修维护情况</v>
      </c>
      <c r="R43" s="774" t="s">
        <v>17</v>
      </c>
      <c r="S43" s="775">
        <f t="shared" si="12"/>
        <v>100</v>
      </c>
      <c r="T43" s="774" t="s">
        <v>17</v>
      </c>
      <c r="U43" s="775">
        <f t="shared" si="13"/>
        <v>100</v>
      </c>
      <c r="V43" s="774" t="s">
        <v>17</v>
      </c>
      <c r="W43" s="775">
        <f t="shared" si="14"/>
        <v>100</v>
      </c>
      <c r="X43" s="1816"/>
      <c r="Y43" s="320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6"/>
      <c r="Q44" s="1798">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6"/>
      <c r="Q45" s="1813">
        <f t="shared" si="11"/>
        <v>111</v>
      </c>
      <c r="R45" s="774" t="s">
        <v>17</v>
      </c>
      <c r="S45" s="775">
        <f t="shared" si="12"/>
        <v>100</v>
      </c>
      <c r="T45" s="774" t="s">
        <v>17</v>
      </c>
      <c r="U45" s="775">
        <f t="shared" si="13"/>
        <v>100</v>
      </c>
      <c r="V45" s="774" t="s">
        <v>17</v>
      </c>
      <c r="W45" s="775">
        <f t="shared" si="14"/>
        <v>100</v>
      </c>
      <c r="X45" s="1816"/>
      <c r="Y45" s="3208"/>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9"/>
      <c r="Z46" s="1817">
        <f t="shared" si="15"/>
        <v>111</v>
      </c>
      <c r="AA46" s="1814">
        <f t="shared" si="3"/>
        <v>1</v>
      </c>
      <c r="AB46" s="1814">
        <f t="shared" si="4"/>
        <v>1</v>
      </c>
      <c r="AC46" s="1814">
        <f t="shared" si="5"/>
        <v>1</v>
      </c>
    </row>
    <row r="47" spans="1:29" ht="15">
      <c r="A47" s="479" t="s">
        <v>2575</v>
      </c>
      <c r="B47" s="480"/>
      <c r="C47" s="1410" t="s">
        <v>1</v>
      </c>
      <c r="D47" s="1411"/>
      <c r="E47" s="1412">
        <v>26000</v>
      </c>
      <c r="F47" s="1413"/>
      <c r="G47" s="1414">
        <v>27000</v>
      </c>
      <c r="H47" s="1415"/>
      <c r="I47" s="1412">
        <v>26000</v>
      </c>
      <c r="J47" s="1415"/>
      <c r="K47" s="783"/>
      <c r="L47" s="1146"/>
      <c r="M47" s="1147"/>
      <c r="N47" s="1134"/>
      <c r="O47" s="1147"/>
      <c r="P47" s="3196" t="str">
        <f>A47</f>
        <v>成交单价（元/平方米）</v>
      </c>
      <c r="Q47" s="3196"/>
      <c r="R47" s="3210">
        <f>E47</f>
        <v>26000</v>
      </c>
      <c r="S47" s="3210"/>
      <c r="T47" s="3210">
        <f>G47</f>
        <v>27000</v>
      </c>
      <c r="U47" s="3210"/>
      <c r="V47" s="3210">
        <f>I47</f>
        <v>26000</v>
      </c>
      <c r="W47" s="3210"/>
      <c r="X47" s="759"/>
      <c r="Y47" s="781"/>
      <c r="Z47" s="759"/>
      <c r="AA47" s="759"/>
      <c r="AB47" s="759"/>
      <c r="AC47" s="759"/>
    </row>
    <row r="48" spans="1:29" ht="15.75" thickBot="1">
      <c r="A48" s="486" t="s">
        <v>2667</v>
      </c>
      <c r="B48" s="487"/>
      <c r="C48" s="1416">
        <f>R49</f>
        <v>26715</v>
      </c>
      <c r="D48" s="1417"/>
      <c r="E48" s="1418">
        <f>R48</f>
        <v>26010</v>
      </c>
      <c r="F48" s="1418"/>
      <c r="G48" s="1416">
        <f>T48</f>
        <v>28125</v>
      </c>
      <c r="H48" s="1417"/>
      <c r="I48" s="1418">
        <f>V48</f>
        <v>26010</v>
      </c>
      <c r="J48" s="1417"/>
      <c r="K48" s="784"/>
      <c r="L48" s="1146"/>
      <c r="M48" s="1147"/>
      <c r="N48" s="1134"/>
      <c r="O48" s="1147"/>
      <c r="P48" s="3196" t="str">
        <f>A48</f>
        <v>比较价值（元/平方米）</v>
      </c>
      <c r="Q48" s="3196"/>
      <c r="R48" s="3197">
        <f>IF(F1="售价",ROUND(PRODUCT(R47,AA7:AA46),0),ROUND(PRODUCT(R47,AA7:AA46),1))</f>
        <v>26010</v>
      </c>
      <c r="S48" s="3197"/>
      <c r="T48" s="3197">
        <f>IF(F1="售价",ROUND(PRODUCT(T47,AB7:AB46),0),ROUND(PRODUCT(T47,AB7:AB46),1))</f>
        <v>28125</v>
      </c>
      <c r="U48" s="3197"/>
      <c r="V48" s="3197">
        <f>IF(F1="售价",ROUND(PRODUCT(V47,AC7:AC46),0),ROUND(PRODUCT(V47,AC7:AC46),1))</f>
        <v>26010</v>
      </c>
      <c r="W48" s="3197"/>
      <c r="X48" s="759"/>
      <c r="Y48" s="759"/>
      <c r="Z48" s="759"/>
      <c r="AA48" s="759"/>
      <c r="AB48" s="759"/>
      <c r="AC48" s="759"/>
    </row>
    <row r="49" spans="1:29" ht="15.75" thickBot="1">
      <c r="A49" s="492" t="s">
        <v>2668</v>
      </c>
      <c r="B49" s="493"/>
      <c r="C49" s="1420">
        <f>R49</f>
        <v>26715</v>
      </c>
      <c r="D49" s="1420"/>
      <c r="E49" s="1420"/>
      <c r="F49" s="1420"/>
      <c r="G49" s="1420"/>
      <c r="H49" s="1420"/>
      <c r="I49" s="1420"/>
      <c r="J49" s="1420"/>
      <c r="K49" s="785"/>
      <c r="L49" s="1146"/>
      <c r="M49" s="1147"/>
      <c r="N49" s="1134"/>
      <c r="O49" s="1147"/>
      <c r="P49" s="3198" t="str">
        <f>A49</f>
        <v>估价对象XX用房的比较价值（楼面单价，元/平方米）</v>
      </c>
      <c r="Q49" s="3199"/>
      <c r="R49" s="3200">
        <f>IF(F1="售价",ROUND(AVERAGE(R48:V48),0),ROUND(AVERAGE(R48:V48),1))</f>
        <v>26715</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f>IF(E47&lt;E48,E48/E47-1,E47/E48-1)</f>
        <v>3.8461538461542766E-4</v>
      </c>
      <c r="F52" s="500" t="str">
        <f>IF(OR(E52&gt;=0.3,E52&lt;=-0.3),"超过30%","")</f>
        <v/>
      </c>
      <c r="G52" s="499">
        <f>IF(G47&lt;G48,G48/G47-1,G47/G48-1)</f>
        <v>4.1666666666666741E-2</v>
      </c>
      <c r="H52" s="500" t="str">
        <f>IF(OR(G52&gt;=0.3,G52&lt;=-0.3),"超过30%","")</f>
        <v/>
      </c>
      <c r="I52" s="499">
        <f>IF(I47&lt;I48,I48/I47-1,I47/I48-1)</f>
        <v>3.8461538461542766E-4</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f>IF(E48&lt;G48,G48/E48-1,E48/G48-1)</f>
        <v>8.1314878892733589E-2</v>
      </c>
      <c r="F53" s="500" t="str">
        <f>IF(OR(E53&gt;=0.2,E53&lt;=-0.2),"超过20%","")</f>
        <v/>
      </c>
      <c r="G53" s="499">
        <f>IF(G48&lt;I48,I48/G48-1,G48/I48-1)</f>
        <v>8.1314878892733589E-2</v>
      </c>
      <c r="H53" s="500" t="str">
        <f>IF(OR(G53&gt;=0.2,G53&lt;=-0.2),"超过20%","")</f>
        <v/>
      </c>
      <c r="I53" s="499">
        <f>IF(I48&lt;E48,E48/I48-1,I48/E48-1)</f>
        <v>0</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f>IF(E47&lt;G47,G47/E47-1,E47/G47-1)</f>
        <v>3.8461538461538547E-2</v>
      </c>
      <c r="F54" s="500" t="str">
        <f>IF(OR(E54&gt;=0.3,E54&lt;=-0.3),"超过30%","")</f>
        <v/>
      </c>
      <c r="G54" s="499">
        <f>IF(G47&lt;I47,I47/G47-1,G47/I47-1)</f>
        <v>3.8461538461538547E-2</v>
      </c>
      <c r="H54" s="500" t="str">
        <f>IF(OR(G54&gt;=0.3,G54&lt;=-0.3),"超过30%","")</f>
        <v/>
      </c>
      <c r="I54" s="499">
        <f>IF(I47&lt;E47,E47/I47-1,I47/E47-1)</f>
        <v>0</v>
      </c>
      <c r="J54" s="500" t="str">
        <f>IF(OR(I54&gt;=0.3,I54&lt;=-0.3),"超过30%","")</f>
        <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2546</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t="str">
        <f>C9</f>
        <v>商业</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2556</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v>0</v>
      </c>
      <c r="D68" s="549">
        <v>1</v>
      </c>
      <c r="E68" s="549">
        <v>2</v>
      </c>
      <c r="F68" s="549">
        <v>3</v>
      </c>
      <c r="G68" s="549">
        <v>4</v>
      </c>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3"/>
      <c r="Q85" s="504"/>
    </row>
    <row r="86" spans="1:17" s="117" customFormat="1" ht="15.75" thickTop="1">
      <c r="A86" s="579"/>
      <c r="B86" s="538" t="s">
        <v>2678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2561</v>
      </c>
      <c r="B100" s="528" t="s">
        <v>2679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29.25" thickTop="1">
      <c r="A102" s="534"/>
      <c r="B102" s="538" t="s">
        <v>2611</v>
      </c>
      <c r="C102" s="578" t="str">
        <f>C103&amp;"(含)"&amp;"-"&amp;D103</f>
        <v>0(含)-300</v>
      </c>
      <c r="D102" s="578" t="str">
        <f t="shared" ref="D102:L102" si="23">D103&amp;"(含)"&amp;"-"&amp;E103</f>
        <v>300(含)-600</v>
      </c>
      <c r="E102" s="578" t="str">
        <f t="shared" si="23"/>
        <v>600(含)-900</v>
      </c>
      <c r="F102" s="578" t="str">
        <f t="shared" si="23"/>
        <v>900(含)-1200</v>
      </c>
      <c r="G102" s="578" t="str">
        <f t="shared" si="23"/>
        <v>1200(含)-1500</v>
      </c>
      <c r="H102" s="578" t="str">
        <f t="shared" si="23"/>
        <v>1500(含)-1800</v>
      </c>
      <c r="I102" s="578" t="str">
        <f t="shared" si="23"/>
        <v>1800(含)-2100</v>
      </c>
      <c r="J102" s="578" t="str">
        <f t="shared" si="23"/>
        <v>2100(含)-2400</v>
      </c>
      <c r="K102" s="578" t="str">
        <f t="shared" si="23"/>
        <v>2400(含)-2700</v>
      </c>
      <c r="L102" s="578" t="str">
        <f t="shared" si="23"/>
        <v>2700(含)-</v>
      </c>
      <c r="M102" s="622" t="str">
        <f>M103&amp;"(含)"&amp;"-"&amp;P103</f>
        <v>(含)-</v>
      </c>
      <c r="N102" s="1154"/>
      <c r="O102" s="1154"/>
      <c r="P102" s="2633"/>
      <c r="Q102" s="504"/>
    </row>
    <row r="103" spans="1:17" s="471" customFormat="1">
      <c r="A103" s="593"/>
      <c r="B103" s="594"/>
      <c r="C103" s="595">
        <v>0</v>
      </c>
      <c r="D103" s="595">
        <v>300</v>
      </c>
      <c r="E103" s="595">
        <v>600</v>
      </c>
      <c r="F103" s="595">
        <v>900</v>
      </c>
      <c r="G103" s="595">
        <v>1200</v>
      </c>
      <c r="H103" s="595">
        <v>1500</v>
      </c>
      <c r="I103" s="595">
        <v>1800</v>
      </c>
      <c r="J103" s="596">
        <v>2100</v>
      </c>
      <c r="K103" s="596">
        <v>2400</v>
      </c>
      <c r="L103" s="597">
        <v>2700</v>
      </c>
      <c r="M103" s="598"/>
      <c r="N103" s="1157"/>
      <c r="O103" s="1157"/>
      <c r="P103" s="2634"/>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v>82</v>
      </c>
      <c r="M104" s="537">
        <v>80</v>
      </c>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2983" t="s">
        <v>3172</v>
      </c>
      <c r="D122" s="2983" t="s">
        <v>3174</v>
      </c>
      <c r="E122" s="2983" t="s">
        <v>3175</v>
      </c>
      <c r="F122" s="3329" t="s">
        <v>3177</v>
      </c>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3066</v>
      </c>
      <c r="D1" s="1823" t="s">
        <v>70</v>
      </c>
      <c r="E1" s="1824" t="s">
        <v>1387</v>
      </c>
      <c r="F1" s="1286">
        <f ca="1">J53</f>
        <v>33.25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494</v>
      </c>
      <c r="C2" s="1848" t="s">
        <v>1591</v>
      </c>
      <c r="D2" s="1941">
        <f ca="1">C40+J29+L46</f>
        <v>4944139</v>
      </c>
      <c r="E2" s="1849" t="s">
        <v>1592</v>
      </c>
      <c r="F2" s="1850"/>
      <c r="G2" s="1851"/>
      <c r="H2" s="1843"/>
      <c r="I2" s="1843"/>
      <c r="J2" s="1843"/>
      <c r="K2" s="1844"/>
      <c r="L2" s="1843"/>
      <c r="M2" s="1843"/>
    </row>
    <row r="3" spans="1:37" ht="18" customHeight="1" thickBot="1">
      <c r="A3" s="1852" t="s">
        <v>1593</v>
      </c>
      <c r="B3" s="1853">
        <f ca="1">IF(ISERROR(D2/F43),0,ROUND(D2/F43,0))</f>
        <v>14131</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345228</v>
      </c>
      <c r="D5" s="1825" t="s">
        <v>1601</v>
      </c>
      <c r="E5" s="1296"/>
      <c r="F5" s="1297"/>
      <c r="G5" s="1854"/>
      <c r="H5" s="344">
        <v>1</v>
      </c>
      <c r="I5" s="345" t="s">
        <v>1600</v>
      </c>
      <c r="J5" s="1295">
        <f ca="1">J6+J10+J12</f>
        <v>0</v>
      </c>
      <c r="K5" s="1825" t="s">
        <v>1601</v>
      </c>
      <c r="L5" s="1296"/>
      <c r="M5" s="1297"/>
    </row>
    <row r="6" spans="1:37" ht="18" customHeight="1">
      <c r="A6" s="1294" t="s">
        <v>1035</v>
      </c>
      <c r="B6" s="3193" t="s">
        <v>1403</v>
      </c>
      <c r="C6" s="1299">
        <f ca="1">ROUND(F6*F8*F7*(1-F9),0)</f>
        <v>344797</v>
      </c>
      <c r="D6" s="164" t="s">
        <v>3027</v>
      </c>
      <c r="E6" s="347" t="s">
        <v>1405</v>
      </c>
      <c r="F6" s="348">
        <f ca="1">INDIRECT("'数据-取费表'!u"&amp;$G$1)</f>
        <v>3</v>
      </c>
      <c r="G6" s="1854"/>
      <c r="H6" s="1294" t="s">
        <v>1035</v>
      </c>
      <c r="I6" s="3193" t="s">
        <v>1403</v>
      </c>
      <c r="J6" s="346">
        <f ca="1">ROUND(M6*M8*M7*(1-M9),0)</f>
        <v>0</v>
      </c>
      <c r="K6" s="1837" t="s">
        <v>3028</v>
      </c>
      <c r="L6" s="347" t="s">
        <v>1405</v>
      </c>
      <c r="M6" s="348">
        <f ca="1">INDIRECT("'数据-取费表'!z"&amp;$G$1)</f>
        <v>0</v>
      </c>
    </row>
    <row r="7" spans="1:37" ht="18" customHeight="1">
      <c r="A7" s="1298"/>
      <c r="B7" s="3194"/>
      <c r="C7" s="1300"/>
      <c r="D7" s="352"/>
      <c r="E7" s="1301" t="s">
        <v>1406</v>
      </c>
      <c r="F7" s="348">
        <f ca="1">IF(INDIRECT("'数据-取费表'!ah"&amp;$G$1)="",INDIRECT("'数据-取费表'!k"&amp;$G$1),INDIRECT("'数据-取费表'!ah"&amp;$G$1))</f>
        <v>349.87</v>
      </c>
      <c r="G7" s="1854"/>
      <c r="H7" s="349"/>
      <c r="I7" s="3194"/>
      <c r="J7" s="351"/>
      <c r="K7" s="352"/>
      <c r="L7" s="347" t="s">
        <v>1406</v>
      </c>
      <c r="M7" s="348">
        <f ca="1">F7</f>
        <v>349.87</v>
      </c>
    </row>
    <row r="8" spans="1:37" ht="18" customHeight="1">
      <c r="A8" s="349"/>
      <c r="B8" s="3194"/>
      <c r="C8" s="351"/>
      <c r="D8" s="352"/>
      <c r="E8" s="347" t="s">
        <v>1407</v>
      </c>
      <c r="F8" s="348">
        <f ca="1">INDIRECT("'数据-取费表'!ai"&amp;$G$1)</f>
        <v>365</v>
      </c>
      <c r="G8" s="1854"/>
      <c r="H8" s="349"/>
      <c r="I8" s="3194"/>
      <c r="J8" s="351"/>
      <c r="K8" s="352"/>
      <c r="L8" s="347" t="s">
        <v>1407</v>
      </c>
      <c r="M8" s="348">
        <f ca="1">INDIRECT("'数据-取费表'!ai"&amp;$G$1)</f>
        <v>365</v>
      </c>
    </row>
    <row r="9" spans="1:37" ht="18" customHeight="1">
      <c r="A9" s="349"/>
      <c r="B9" s="3195"/>
      <c r="C9" s="351"/>
      <c r="D9" s="352"/>
      <c r="E9" s="347" t="s">
        <v>1408</v>
      </c>
      <c r="F9" s="357">
        <f ca="1">INDIRECT("'数据-取费表'!w"&amp;$G$1)</f>
        <v>0.1</v>
      </c>
      <c r="G9" s="1854"/>
      <c r="H9" s="349"/>
      <c r="I9" s="3195"/>
      <c r="J9" s="351"/>
      <c r="K9" s="352"/>
      <c r="L9" s="358" t="s">
        <v>1408</v>
      </c>
      <c r="M9" s="359">
        <f ca="1">INDIRECT("'数据-取费表'!ab"&amp;$G$1)</f>
        <v>0</v>
      </c>
    </row>
    <row r="10" spans="1:37" ht="18" customHeight="1">
      <c r="A10" s="1294" t="s">
        <v>1039</v>
      </c>
      <c r="B10" s="1826" t="s">
        <v>1409</v>
      </c>
      <c r="C10" s="361">
        <f ca="1">ROUND(IF(F10="押一",C6/12*F11,IF(F10="押二",C6/12*2*F11,IF(F10="押三",C6/12*3*F11,C11*F11))),0)</f>
        <v>431</v>
      </c>
      <c r="D10" s="1827" t="s">
        <v>3038</v>
      </c>
      <c r="E10" s="358" t="s">
        <v>1410</v>
      </c>
      <c r="F10" s="1369" t="s">
        <v>3070</v>
      </c>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1394845</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909662</v>
      </c>
      <c r="D14" s="1803" t="s">
        <v>1418</v>
      </c>
      <c r="E14" s="1797"/>
      <c r="F14" s="364"/>
      <c r="G14" s="1854"/>
      <c r="H14" s="1204" t="s">
        <v>1035</v>
      </c>
      <c r="I14" s="347" t="s">
        <v>1419</v>
      </c>
      <c r="J14" s="24">
        <f ca="1">C29</f>
        <v>1394845</v>
      </c>
      <c r="K14" s="15"/>
      <c r="L14" s="982"/>
      <c r="M14" s="983"/>
    </row>
    <row r="15" spans="1:37" s="1861" customFormat="1" ht="18" customHeight="1" thickBot="1">
      <c r="A15" s="1204" t="s">
        <v>1036</v>
      </c>
      <c r="B15" s="347" t="s">
        <v>1420</v>
      </c>
      <c r="C15" s="24">
        <f ca="1">ROUND(C14*F15,0)</f>
        <v>27290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33625</v>
      </c>
      <c r="K16" s="1340" t="s">
        <v>1425</v>
      </c>
      <c r="L16" s="1341"/>
      <c r="M16" s="1297"/>
    </row>
    <row r="17" spans="1:37" s="1861" customFormat="1" ht="18" customHeight="1">
      <c r="A17" s="1204" t="s">
        <v>1390</v>
      </c>
      <c r="B17" s="347" t="s">
        <v>1426</v>
      </c>
      <c r="C17" s="24">
        <f ca="1">ROUND(F17*(F43+INDIRECT("'数据-取费表'!S"&amp;$G$1)),0)</f>
        <v>69974</v>
      </c>
      <c r="D17" s="347" t="s">
        <v>1427</v>
      </c>
      <c r="E17" s="347" t="s">
        <v>1428</v>
      </c>
      <c r="F17" s="26">
        <f>'数据-取费表'!B35</f>
        <v>200</v>
      </c>
      <c r="G17" s="1857"/>
      <c r="H17" s="1204" t="s">
        <v>1035</v>
      </c>
      <c r="I17" s="347" t="s">
        <v>1429</v>
      </c>
      <c r="J17" s="24">
        <f ca="1">ROUND(IF(项目基本情况!B11="自然人",J5*M17,J18+J19+J20),0)</f>
        <v>12702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13645</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1020571</v>
      </c>
      <c r="D19" s="140" t="s">
        <v>1436</v>
      </c>
      <c r="E19" s="1821"/>
      <c r="F19" s="26"/>
      <c r="G19" s="1854"/>
      <c r="H19" s="1204" t="s">
        <v>1036</v>
      </c>
      <c r="I19" s="347" t="s">
        <v>1437</v>
      </c>
      <c r="J19" s="24">
        <f ca="1">IF(K19="按租金收入计税",ROUND(J5*M19,0),ROUND(C29*M19*0.7,0))</f>
        <v>11717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20411</v>
      </c>
      <c r="D20" s="369" t="s">
        <v>1440</v>
      </c>
      <c r="E20" s="347" t="s">
        <v>1422</v>
      </c>
      <c r="F20" s="367">
        <f>'数据-取费表'!B37</f>
        <v>0.02</v>
      </c>
      <c r="G20" s="1857"/>
      <c r="H20" s="1204" t="s">
        <v>1389</v>
      </c>
      <c r="I20" s="164" t="s">
        <v>1441</v>
      </c>
      <c r="J20" s="25">
        <f ca="1">ROUND(M20*M21,0)</f>
        <v>985</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89.51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20923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36869</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-33625</v>
      </c>
      <c r="K25" s="1348" t="s">
        <v>1464</v>
      </c>
      <c r="L25" s="1349"/>
      <c r="M25" s="1350"/>
    </row>
    <row r="26" spans="1:37" ht="18" customHeight="1">
      <c r="A26" s="1204" t="s">
        <v>1034</v>
      </c>
      <c r="B26" s="347" t="s">
        <v>1465</v>
      </c>
      <c r="C26" s="24">
        <f ca="1">ROUND((C19+C20)*F26,0)</f>
        <v>208196</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1394845</v>
      </c>
      <c r="D29" s="1345"/>
      <c r="E29" s="1343"/>
      <c r="F29" s="1346"/>
      <c r="G29" s="1857"/>
      <c r="H29" s="380" t="s">
        <v>1033</v>
      </c>
      <c r="I29" s="381" t="s">
        <v>1479</v>
      </c>
      <c r="J29" s="382">
        <f ca="1">ROUND(J26/(1+F40)^F41,0)</f>
        <v>0</v>
      </c>
      <c r="K29" s="383" t="s">
        <v>1480</v>
      </c>
      <c r="L29" s="384"/>
      <c r="M29" s="385">
        <f ca="1">INDIRECT("'数据-取费表'!k"&amp;$G$1)</f>
        <v>349.87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90744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60824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18412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41427</v>
      </c>
      <c r="D33" s="3000" t="s">
        <v>3143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985</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89.51</v>
      </c>
      <c r="G35" s="1854"/>
      <c r="H35" s="745"/>
      <c r="I35" s="1863"/>
      <c r="J35" s="1864"/>
      <c r="K35" s="1865"/>
      <c r="L35" s="1862"/>
      <c r="M35" s="1862"/>
    </row>
    <row r="36" spans="1:18" ht="18" customHeight="1">
      <c r="A36" s="1355" t="s">
        <v>1039</v>
      </c>
      <c r="B36" s="347" t="s">
        <v>1449</v>
      </c>
      <c r="C36" s="24">
        <f ca="1">ROUND(C29*F36,0)</f>
        <v>20923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2092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6904.6</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254484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4902851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33.25</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14013</v>
      </c>
      <c r="D43" s="383" t="s">
        <v>1488</v>
      </c>
      <c r="E43" s="384" t="s">
        <v>1489</v>
      </c>
      <c r="F43" s="385">
        <f ca="1">INDIRECT("'数据-取费表'!k"&amp;$G$1)</f>
        <v>349.87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-7622553</v>
      </c>
      <c r="D45" s="1943" t="s">
        <v>1604</v>
      </c>
      <c r="E45" s="1869"/>
      <c r="F45" s="1869"/>
      <c r="O45" s="1872" t="s">
        <v>1519</v>
      </c>
      <c r="P45" s="1842"/>
      <c r="Q45" s="1842"/>
      <c r="R45" s="1842"/>
    </row>
    <row r="46" spans="1:18" s="1845" customFormat="1" ht="13.5" thickBot="1">
      <c r="A46" s="1873" t="s">
        <v>1520</v>
      </c>
      <c r="C46" s="1874">
        <f ca="1">ROUND(C45/10000,0)</f>
        <v>-762</v>
      </c>
      <c r="D46" s="1875" t="str">
        <f>C2</f>
        <v>万元</v>
      </c>
      <c r="I46" s="1876" t="s">
        <v>1521</v>
      </c>
      <c r="J46" s="1877"/>
      <c r="K46" s="1878"/>
      <c r="L46" s="1879">
        <f ca="1">IF(M47="住宅",0,IF(L48&gt;J51,L60,J60))</f>
        <v>41288</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3067</v>
      </c>
      <c r="K47" s="1885" t="s">
        <v>1527</v>
      </c>
      <c r="L47" s="1886">
        <f ca="1">INDIRECT("'数据-取费表'!d"&amp;$G$1)</f>
        <v>40</v>
      </c>
      <c r="M47" s="1841" t="str">
        <f>IF(ISNUMBER(FIND("住宅",C1)),"住宅","非住宅")</f>
        <v>非住宅</v>
      </c>
      <c r="O47" s="1887" t="s">
        <v>1040</v>
      </c>
      <c r="P47" s="1888" t="s">
        <v>1528</v>
      </c>
      <c r="Q47" s="1889">
        <f ca="1">C40+J29</f>
        <v>4902851</v>
      </c>
      <c r="R47" s="1889" t="s">
        <v>1529</v>
      </c>
    </row>
    <row r="48" spans="1:18" s="1845" customFormat="1" ht="28.5" thickBot="1">
      <c r="A48" s="1363" t="s">
        <v>1135</v>
      </c>
      <c r="B48" s="345" t="s">
        <v>1401</v>
      </c>
      <c r="C48" s="1820">
        <f ca="1">C49+C53+C55</f>
        <v>0</v>
      </c>
      <c r="D48" s="1365"/>
      <c r="E48" s="1366"/>
      <c r="F48" s="1184"/>
      <c r="G48" s="792"/>
      <c r="H48" s="793"/>
      <c r="I48" s="1890" t="s">
        <v>1530</v>
      </c>
      <c r="J48" s="1891" t="s">
        <v>3068</v>
      </c>
      <c r="K48" s="1892" t="s">
        <v>1531</v>
      </c>
      <c r="L48" s="1893">
        <f ca="1">INDIRECT("'数据-取费表'!f"&amp;$G$1)</f>
        <v>33.25</v>
      </c>
      <c r="O48" s="1887" t="s">
        <v>1041</v>
      </c>
      <c r="P48" s="1888" t="s">
        <v>1532</v>
      </c>
      <c r="Q48" s="1889">
        <f ca="1">J60</f>
        <v>41288</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2018</v>
      </c>
      <c r="K49" s="1892" t="s">
        <v>1535</v>
      </c>
      <c r="L49" s="1896"/>
      <c r="O49" s="1897" t="s">
        <v>1042</v>
      </c>
      <c r="P49" s="1888" t="s">
        <v>1536</v>
      </c>
      <c r="Q49" s="1889">
        <f ca="1">C29</f>
        <v>1394845</v>
      </c>
      <c r="R49" s="1889" t="s">
        <v>1529</v>
      </c>
    </row>
    <row r="50" spans="1:18" s="1845" customFormat="1" ht="13.5" thickBot="1">
      <c r="A50" s="1198"/>
      <c r="B50" s="1201"/>
      <c r="C50" s="1202"/>
      <c r="D50" s="1175"/>
      <c r="E50" s="1280" t="s">
        <v>1406</v>
      </c>
      <c r="F50" s="1281">
        <f ca="1">F7</f>
        <v>349.87</v>
      </c>
      <c r="H50" s="793"/>
      <c r="I50" s="1890" t="s">
        <v>1537</v>
      </c>
      <c r="J50" s="1898">
        <f>SUMPRODUCT((I63:I65=J47)*(J62:L62=J48)*(J63:L65))</f>
        <v>60</v>
      </c>
      <c r="K50" s="1892" t="s">
        <v>1538</v>
      </c>
      <c r="L50" s="1896"/>
      <c r="M50" s="1899"/>
      <c r="O50" s="1897" t="s">
        <v>1043</v>
      </c>
      <c r="P50" s="1888" t="s">
        <v>1539</v>
      </c>
      <c r="Q50" s="1900">
        <f ca="1">J58</f>
        <v>0.44600000000000001</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2293632</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33.25</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33.25</v>
      </c>
      <c r="K53" s="3191" t="s">
        <v>1548</v>
      </c>
      <c r="L53" s="3192"/>
      <c r="O53" s="1887" t="s">
        <v>1046</v>
      </c>
      <c r="P53" s="1888" t="s">
        <v>1549</v>
      </c>
      <c r="Q53" s="1889">
        <f ca="1">Q47+Q48</f>
        <v>4944139</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0.44600000000000001</v>
      </c>
      <c r="K55" s="1915" t="s">
        <v>1552</v>
      </c>
      <c r="L55" s="1916" t="s">
        <v>3069</v>
      </c>
      <c r="O55" s="1880" t="s">
        <v>1522</v>
      </c>
      <c r="P55" s="1881" t="s">
        <v>1523</v>
      </c>
      <c r="Q55" s="1882" t="s">
        <v>1524</v>
      </c>
      <c r="R55" s="1882" t="s">
        <v>1525</v>
      </c>
    </row>
    <row r="56" spans="1:18" s="1845" customFormat="1" ht="36" customHeight="1" thickTop="1" thickBot="1">
      <c r="A56" s="1179">
        <v>2</v>
      </c>
      <c r="B56" s="1180" t="s">
        <v>1414</v>
      </c>
      <c r="C56" s="276">
        <f ca="1">C13</f>
        <v>1394845</v>
      </c>
      <c r="D56" s="1917"/>
      <c r="E56" s="1918"/>
      <c r="F56" s="1910"/>
      <c r="I56" s="1919" t="s">
        <v>1554</v>
      </c>
      <c r="J56" s="1920" t="s">
        <v>3057</v>
      </c>
      <c r="K56" s="1890" t="s">
        <v>1555</v>
      </c>
      <c r="L56" s="1893" t="str">
        <f ca="1">IF(L48&lt;J51,"——",L48-J51)</f>
        <v>——</v>
      </c>
      <c r="O56" s="1887" t="s">
        <v>1040</v>
      </c>
      <c r="P56" s="1888" t="s">
        <v>1528</v>
      </c>
      <c r="Q56" s="1889">
        <f ca="1">C40+J29</f>
        <v>4902851</v>
      </c>
      <c r="R56" s="1889" t="s">
        <v>1529</v>
      </c>
    </row>
    <row r="57" spans="1:18" s="1845" customFormat="1" ht="24.75" thickBot="1">
      <c r="A57" s="1921"/>
      <c r="B57" s="1172" t="s">
        <v>1478</v>
      </c>
      <c r="C57" s="282">
        <f ca="1">C29</f>
        <v>1394845</v>
      </c>
      <c r="D57" s="1922"/>
      <c r="E57" s="1923"/>
      <c r="F57" s="1924"/>
      <c r="I57" s="1925" t="s">
        <v>1556</v>
      </c>
      <c r="J57" s="1926">
        <f ca="1">IF(OR(M47="住宅",J51&lt;L48,J56="是"),"——",J51-L48)</f>
        <v>26.75</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141167</v>
      </c>
      <c r="D58" s="1182" t="s">
        <v>1425</v>
      </c>
      <c r="E58" s="1183"/>
      <c r="F58" s="1184"/>
      <c r="I58" s="1925" t="s">
        <v>1560</v>
      </c>
      <c r="J58" s="1927">
        <f ca="1">IF(J55&lt;0.4,0.4,J55)</f>
        <v>0.44600000000000001</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118152</v>
      </c>
      <c r="D59" s="1185" t="s">
        <v>1430</v>
      </c>
      <c r="E59" s="1186" t="s">
        <v>1431</v>
      </c>
      <c r="F59" s="368" t="str">
        <f ca="1">IF(项目基本情况!B11="企业","",IF(INDIRECT("'数据-取费表'!c"&amp;$G$1)="住宅",5%,IF(F49*F50*F51/12/(1+'数据-取费表'!C42)&gt;20000,12%,7%)))</f>
        <v/>
      </c>
      <c r="I59" s="1925" t="s">
        <v>1563</v>
      </c>
      <c r="J59" s="1926">
        <f ca="1">IF(OR(M47="住宅",J51&lt;L48,J56="是"),"——",ROUND(C29*J58,0))</f>
        <v>622101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f ca="1">IF(OR(M47="住宅",J51&lt;L48,J56="是"),"0",ROUND(J59/(1+J52)^J53,0))</f>
        <v>41288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117167</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985</v>
      </c>
      <c r="D62" s="1187" t="s">
        <v>1497</v>
      </c>
      <c r="E62" s="1172" t="s">
        <v>1498</v>
      </c>
      <c r="F62" s="371">
        <f t="shared" si="0"/>
        <v>11</v>
      </c>
      <c r="I62" s="1932" t="s">
        <v>1570</v>
      </c>
      <c r="J62" s="1933" t="s">
        <v>1571</v>
      </c>
      <c r="K62" s="1933" t="s">
        <v>1572</v>
      </c>
      <c r="L62" s="1933" t="s">
        <v>1573</v>
      </c>
      <c r="M62" s="1934" t="s">
        <v>1574</v>
      </c>
      <c r="O62" s="1887" t="s">
        <v>1046</v>
      </c>
      <c r="P62" s="1888" t="s">
        <v>1575</v>
      </c>
      <c r="Q62" s="1889">
        <f ca="1">Q56+Q57</f>
        <v>4902851</v>
      </c>
      <c r="R62" s="1889" t="s">
        <v>1047</v>
      </c>
    </row>
    <row r="63" spans="1:18" s="1845" customFormat="1" ht="13.5" thickBot="1">
      <c r="A63" s="372"/>
      <c r="B63" s="1178"/>
      <c r="C63" s="29"/>
      <c r="D63" s="1188"/>
      <c r="E63" s="1172" t="s">
        <v>1499</v>
      </c>
      <c r="F63" s="348">
        <f t="shared" ca="1" si="0"/>
        <v>89.51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20923</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2092</v>
      </c>
      <c r="D65" s="1186" t="s">
        <v>1454</v>
      </c>
      <c r="E65" s="1172" t="s">
        <v>1455</v>
      </c>
      <c r="F65" s="376">
        <f t="shared" ca="1" si="0"/>
        <v>1.5E-3</v>
      </c>
      <c r="I65" s="1932" t="s">
        <v>1579</v>
      </c>
      <c r="J65" s="1933">
        <v>40</v>
      </c>
      <c r="K65" s="1933">
        <v>30</v>
      </c>
      <c r="L65" s="1933">
        <v>50</v>
      </c>
      <c r="M65" s="1935">
        <v>0.02</v>
      </c>
      <c r="O65" s="1887" t="s">
        <v>1040</v>
      </c>
      <c r="P65" s="1888" t="s">
        <v>1580</v>
      </c>
      <c r="Q65" s="1889">
        <f ca="1">C40+J29</f>
        <v>4902851</v>
      </c>
      <c r="R65" s="1889" t="s">
        <v>1529</v>
      </c>
    </row>
    <row r="66" spans="1:18" s="1845" customFormat="1" ht="16.5" thickBot="1">
      <c r="A66" s="1204" t="s">
        <v>1504</v>
      </c>
      <c r="B66" s="1172" t="s">
        <v>1439</v>
      </c>
      <c r="C66" s="24">
        <f ca="1">ROUND(C48*F66,0)</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-141167</v>
      </c>
      <c r="D67" s="1185" t="s">
        <v>1464</v>
      </c>
      <c r="E67" s="1190"/>
      <c r="F67" s="1191"/>
      <c r="O67" s="1897" t="s">
        <v>1042</v>
      </c>
      <c r="P67" s="1888" t="s">
        <v>1562</v>
      </c>
      <c r="Q67" s="1936">
        <f ca="1">L51</f>
        <v>2293632</v>
      </c>
      <c r="R67" s="1889" t="s">
        <v>1582</v>
      </c>
    </row>
    <row r="68" spans="1:18" s="1845" customFormat="1" ht="16.5" thickBot="1">
      <c r="A68" s="1169" t="s">
        <v>1032</v>
      </c>
      <c r="B68" s="1170" t="s">
        <v>1485</v>
      </c>
      <c r="C68" s="346">
        <f ca="1">ROUND(C67*(1-((1+F70)/(1+F68))^F69)/(F68-F70),0)</f>
        <v>-2719702</v>
      </c>
      <c r="D68" s="1187" t="s">
        <v>1469</v>
      </c>
      <c r="E68" s="1172" t="s">
        <v>1470</v>
      </c>
      <c r="F68" s="357">
        <f ca="1">F40</f>
        <v>5.5E-2</v>
      </c>
      <c r="O68" s="1897" t="s">
        <v>1043</v>
      </c>
      <c r="P68" s="1937" t="s">
        <v>1583</v>
      </c>
      <c r="Q68" s="1889">
        <f ca="1">ROUND(Q69-Q70*Q71,0)</f>
        <v>142896</v>
      </c>
      <c r="R68" s="1889" t="s">
        <v>1051</v>
      </c>
    </row>
    <row r="69" spans="1:18" s="1845" customFormat="1" ht="13.5" thickBot="1">
      <c r="A69" s="1173"/>
      <c r="B69" s="1174"/>
      <c r="C69" s="351"/>
      <c r="D69" s="1192" t="s">
        <v>1473</v>
      </c>
      <c r="E69" s="1172" t="s">
        <v>1474</v>
      </c>
      <c r="F69" s="379">
        <f ca="1">F41</f>
        <v>33.25</v>
      </c>
      <c r="O69" s="1897" t="s">
        <v>1048</v>
      </c>
      <c r="P69" s="1937" t="s">
        <v>1584</v>
      </c>
      <c r="Q69" s="1889">
        <f ca="1">C39</f>
        <v>254484</v>
      </c>
      <c r="R69" s="1889" t="s">
        <v>1529</v>
      </c>
    </row>
    <row r="70" spans="1:18" s="1845" customFormat="1" ht="13.5" thickBot="1">
      <c r="A70" s="1176"/>
      <c r="B70" s="1177"/>
      <c r="C70" s="355"/>
      <c r="D70" s="1188"/>
      <c r="E70" s="1172" t="s">
        <v>1477</v>
      </c>
      <c r="F70" s="1278">
        <f ca="1">F42</f>
        <v>0.02</v>
      </c>
      <c r="O70" s="1897" t="s">
        <v>1049</v>
      </c>
      <c r="P70" s="1937" t="s">
        <v>1585</v>
      </c>
      <c r="Q70" s="1889">
        <f ca="1">C13</f>
        <v>1394845</v>
      </c>
      <c r="R70" s="1889" t="s">
        <v>1529</v>
      </c>
    </row>
    <row r="71" spans="1:18" s="1845" customFormat="1" ht="13.5" thickBot="1">
      <c r="A71" s="1193" t="s">
        <v>1033</v>
      </c>
      <c r="B71" s="1194" t="s">
        <v>1487</v>
      </c>
      <c r="C71" s="382">
        <f ca="1">ROUND(C68/F71,0)</f>
        <v>-7773</v>
      </c>
      <c r="D71" s="1195" t="s">
        <v>1488</v>
      </c>
      <c r="E71" s="1196" t="s">
        <v>1489</v>
      </c>
      <c r="F71" s="385">
        <f ca="1">F43</f>
        <v>349.87</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111588</v>
      </c>
      <c r="D75" s="1845"/>
      <c r="E75" s="1845"/>
      <c r="F75" s="1845"/>
      <c r="K75" s="1871"/>
      <c r="L75" s="1845"/>
      <c r="O75" s="1887" t="s">
        <v>1046</v>
      </c>
      <c r="P75" s="1888" t="s">
        <v>1549</v>
      </c>
      <c r="Q75" s="1889">
        <f ca="1">Q65+Q66</f>
        <v>4902851</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0.56200000000000006</v>
      </c>
    </row>
    <row r="80" spans="1:18">
      <c r="B80" s="386" t="s">
        <v>1511</v>
      </c>
      <c r="C80" s="318">
        <f ca="1">ROUND(C75/C39,3)</f>
        <v>0.438</v>
      </c>
    </row>
    <row r="81" spans="2:3">
      <c r="B81" s="314" t="s">
        <v>1512</v>
      </c>
      <c r="C81" s="282"/>
    </row>
    <row r="82" spans="2:3">
      <c r="B82" s="317" t="s">
        <v>1513</v>
      </c>
      <c r="C82" s="319">
        <f ca="1">1-C83</f>
        <v>0.71599999999999997</v>
      </c>
    </row>
    <row r="83" spans="2:3">
      <c r="B83" s="317" t="s">
        <v>1514</v>
      </c>
      <c r="C83" s="318">
        <f ca="1">ROUND(C13/C40,3)</f>
        <v>0.28399999999999997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185</v>
      </c>
      <c r="C2" s="2569" t="s">
        <v>2517</v>
      </c>
      <c r="D2" s="2570" t="s">
        <v>2518</v>
      </c>
      <c r="E2" s="2571">
        <f>SUM(E6:E13)</f>
        <v>2729.87</v>
      </c>
    </row>
    <row r="3" spans="1:6" ht="15.75">
      <c r="A3" s="2567" t="s">
        <v>1395</v>
      </c>
      <c r="B3" s="2568">
        <f ca="1">ROUND(B2*10000/E2,0)</f>
        <v>678</v>
      </c>
      <c r="C3" s="2569" t="s">
        <v>2525</v>
      </c>
      <c r="D3" s="2572"/>
      <c r="E3" s="2573"/>
    </row>
    <row r="4" spans="1:6" ht="15.75">
      <c r="A4" s="2574"/>
      <c r="B4" s="2572"/>
      <c r="C4" s="2572"/>
      <c r="D4" s="2572"/>
      <c r="E4" s="2573"/>
    </row>
    <row r="5" spans="1:6" ht="15">
      <c r="A5" s="2575" t="s">
        <v>2519</v>
      </c>
      <c r="B5" s="3242" t="s">
        <v>2520</v>
      </c>
      <c r="C5" s="3242"/>
      <c r="D5" s="2576"/>
      <c r="E5" s="2577" t="s">
        <v>2521</v>
      </c>
      <c r="F5" s="2578" t="s">
        <v>2522</v>
      </c>
    </row>
    <row r="6" spans="1:6">
      <c r="A6" s="2579" t="str">
        <f>'数据-取费表'!AN6</f>
        <v>收益法 (元)</v>
      </c>
      <c r="B6" s="2578">
        <f ca="1">IF(F6="是",'数据-取费表'!AO6,0)</f>
        <v>494</v>
      </c>
      <c r="C6" s="2569" t="s">
        <v>2517</v>
      </c>
      <c r="D6" s="2572"/>
      <c r="E6" s="2580">
        <f>IF(OR(A6=0,F6="否"),0,'数据-取费表'!K6+'数据-取费表'!S6)</f>
        <v>349.87</v>
      </c>
      <c r="F6" s="2581" t="s">
        <v>2523</v>
      </c>
    </row>
    <row r="7" spans="1:6">
      <c r="A7" s="2579" t="str">
        <f>'数据-取费表'!AN7</f>
        <v>收益法 (元) 办公</v>
      </c>
      <c r="B7" s="2578">
        <f ca="1">IF(F7="是",'数据-取费表'!AO7,0)</f>
        <v>-309</v>
      </c>
      <c r="C7" s="2569" t="s">
        <v>2517</v>
      </c>
      <c r="D7" s="2572"/>
      <c r="E7" s="2580">
        <f>IF(OR(A7=0,F7="否"),0,'数据-取费表'!K7+'数据-取费表'!S7)</f>
        <v>2380</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9" t="s">
        <v>1076</v>
      </c>
      <c r="B1" s="3260"/>
      <c r="C1" s="3261"/>
      <c r="D1" s="3262">
        <f>SUM(I10,I15,I20,I21,I23)</f>
        <v>0</v>
      </c>
      <c r="E1" s="3262"/>
      <c r="F1" s="3262"/>
      <c r="G1" s="3262"/>
      <c r="H1" s="3262"/>
      <c r="I1" s="3263"/>
    </row>
    <row r="2" spans="1:9">
      <c r="A2" s="3249" t="s">
        <v>1077</v>
      </c>
      <c r="B2" s="3250" t="s">
        <v>1078</v>
      </c>
      <c r="C2" s="3250"/>
      <c r="D2" s="1304" t="s">
        <v>1079</v>
      </c>
      <c r="E2" s="1304" t="s">
        <v>1080</v>
      </c>
      <c r="F2" s="1304" t="s">
        <v>1081</v>
      </c>
      <c r="G2" s="1304" t="s">
        <v>1082</v>
      </c>
      <c r="H2" s="1304" t="s">
        <v>1083</v>
      </c>
      <c r="I2" s="1305" t="s">
        <v>1084</v>
      </c>
    </row>
    <row r="3" spans="1:9">
      <c r="A3" s="3249"/>
      <c r="B3" s="3250" t="s">
        <v>1085</v>
      </c>
      <c r="C3" s="3250"/>
      <c r="D3" s="1306"/>
      <c r="E3" s="1304"/>
      <c r="F3" s="1307"/>
      <c r="G3" s="1307"/>
      <c r="H3" s="1308"/>
      <c r="I3" s="1309">
        <f>ROUND(D3*E3*F3*G3*H3/10000,0)</f>
        <v>0</v>
      </c>
    </row>
    <row r="4" spans="1:9">
      <c r="A4" s="3249"/>
      <c r="B4" s="3250" t="s">
        <v>1086</v>
      </c>
      <c r="C4" s="3250"/>
      <c r="D4" s="1306"/>
      <c r="E4" s="1304"/>
      <c r="F4" s="1307"/>
      <c r="G4" s="1307"/>
      <c r="H4" s="1308"/>
      <c r="I4" s="1309">
        <f t="shared" ref="I4:I9" si="0">ROUND(D4*E4*F4*G4*H4/10000,0)</f>
        <v>0</v>
      </c>
    </row>
    <row r="5" spans="1:9">
      <c r="A5" s="3249"/>
      <c r="B5" s="3250" t="s">
        <v>1087</v>
      </c>
      <c r="C5" s="3250"/>
      <c r="D5" s="1306"/>
      <c r="E5" s="1304"/>
      <c r="F5" s="1307"/>
      <c r="G5" s="1307"/>
      <c r="H5" s="1308"/>
      <c r="I5" s="1309">
        <f t="shared" si="0"/>
        <v>0</v>
      </c>
    </row>
    <row r="6" spans="1:9">
      <c r="A6" s="3249"/>
      <c r="B6" s="3250" t="s">
        <v>1088</v>
      </c>
      <c r="C6" s="3250"/>
      <c r="D6" s="1306"/>
      <c r="E6" s="1304"/>
      <c r="F6" s="1307"/>
      <c r="G6" s="1307"/>
      <c r="H6" s="1308"/>
      <c r="I6" s="1309">
        <f t="shared" si="0"/>
        <v>0</v>
      </c>
    </row>
    <row r="7" spans="1:9">
      <c r="A7" s="3249"/>
      <c r="B7" s="3250" t="s">
        <v>1089</v>
      </c>
      <c r="C7" s="3250"/>
      <c r="D7" s="1306"/>
      <c r="E7" s="1304"/>
      <c r="F7" s="1307"/>
      <c r="G7" s="1307"/>
      <c r="H7" s="1308"/>
      <c r="I7" s="1309">
        <f t="shared" si="0"/>
        <v>0</v>
      </c>
    </row>
    <row r="8" spans="1:9">
      <c r="A8" s="3249"/>
      <c r="B8" s="3250" t="s">
        <v>1090</v>
      </c>
      <c r="C8" s="3250"/>
      <c r="D8" s="1306"/>
      <c r="E8" s="1304"/>
      <c r="F8" s="1307"/>
      <c r="G8" s="1307"/>
      <c r="H8" s="1308"/>
      <c r="I8" s="1309">
        <f t="shared" si="0"/>
        <v>0</v>
      </c>
    </row>
    <row r="9" spans="1:9">
      <c r="A9" s="3249"/>
      <c r="B9" s="3250" t="s">
        <v>1091</v>
      </c>
      <c r="C9" s="3250"/>
      <c r="D9" s="1306"/>
      <c r="E9" s="1304"/>
      <c r="F9" s="1307"/>
      <c r="G9" s="1307"/>
      <c r="H9" s="1308"/>
      <c r="I9" s="1309">
        <f t="shared" si="0"/>
        <v>0</v>
      </c>
    </row>
    <row r="10" spans="1:9">
      <c r="A10" s="3249"/>
      <c r="B10" s="3251" t="s">
        <v>1092</v>
      </c>
      <c r="C10" s="3251"/>
      <c r="D10" s="1310"/>
      <c r="E10" s="1310" t="e">
        <f>ROUND(D1*10000/D10/H9,0)</f>
        <v>#DIV/0!</v>
      </c>
      <c r="F10" s="1311"/>
      <c r="G10" s="1311"/>
      <c r="H10" s="1312"/>
      <c r="I10" s="1313">
        <f>SUM(I3:I9)</f>
        <v>0</v>
      </c>
    </row>
    <row r="11" spans="1:9" ht="14.25">
      <c r="A11" s="3249" t="s">
        <v>1093</v>
      </c>
      <c r="B11" s="3250" t="s">
        <v>1094</v>
      </c>
      <c r="C11" s="3250"/>
      <c r="D11" s="1306" t="s">
        <v>1095</v>
      </c>
      <c r="E11" s="1306" t="s">
        <v>1096</v>
      </c>
      <c r="F11" s="1307" t="s">
        <v>1097</v>
      </c>
      <c r="G11" s="1307" t="s">
        <v>1083</v>
      </c>
      <c r="H11" s="1314" t="s">
        <v>1098</v>
      </c>
      <c r="I11" s="1305" t="s">
        <v>1084</v>
      </c>
    </row>
    <row r="12" spans="1:9">
      <c r="A12" s="3249"/>
      <c r="B12" s="3250" t="s">
        <v>1099</v>
      </c>
      <c r="C12" s="3250"/>
      <c r="D12" s="1306"/>
      <c r="E12" s="1306"/>
      <c r="F12" s="1307"/>
      <c r="G12" s="1308"/>
      <c r="H12" s="1315"/>
      <c r="I12" s="1305">
        <f>ROUND(D12*E12*F12*G12/10000,0)</f>
        <v>0</v>
      </c>
    </row>
    <row r="13" spans="1:9">
      <c r="A13" s="3249"/>
      <c r="B13" s="3250" t="s">
        <v>1100</v>
      </c>
      <c r="C13" s="3250"/>
      <c r="D13" s="1306"/>
      <c r="E13" s="1306"/>
      <c r="F13" s="1307"/>
      <c r="G13" s="1308"/>
      <c r="H13" s="1315"/>
      <c r="I13" s="1305">
        <f>ROUND(D13*E13*F13*G13/10000,0)</f>
        <v>0</v>
      </c>
    </row>
    <row r="14" spans="1:9">
      <c r="A14" s="3249"/>
      <c r="B14" s="3250" t="s">
        <v>1101</v>
      </c>
      <c r="C14" s="3250"/>
      <c r="D14" s="1306"/>
      <c r="E14" s="1306"/>
      <c r="F14" s="1307"/>
      <c r="G14" s="1308"/>
      <c r="H14" s="1315"/>
      <c r="I14" s="1305">
        <f>ROUND(D14*E14*F14*G14/10000,0)</f>
        <v>0</v>
      </c>
    </row>
    <row r="15" spans="1:9">
      <c r="A15" s="3249"/>
      <c r="B15" s="3251" t="s">
        <v>1092</v>
      </c>
      <c r="C15" s="3251"/>
      <c r="D15" s="1310"/>
      <c r="E15" s="1310">
        <f>SUM(E12:E14)</f>
        <v>0</v>
      </c>
      <c r="F15" s="1311"/>
      <c r="G15" s="1308"/>
      <c r="H15" s="1315"/>
      <c r="I15" s="1316">
        <f>SUM(I12:I14)</f>
        <v>0</v>
      </c>
    </row>
    <row r="16" spans="1:9" ht="24">
      <c r="A16" s="3249" t="s">
        <v>1102</v>
      </c>
      <c r="B16" s="3250" t="s">
        <v>1103</v>
      </c>
      <c r="C16" s="3250"/>
      <c r="D16" s="1306" t="s">
        <v>1079</v>
      </c>
      <c r="E16" s="1317" t="s">
        <v>1104</v>
      </c>
      <c r="F16" s="1307" t="s">
        <v>1105</v>
      </c>
      <c r="G16" s="1308" t="s">
        <v>1083</v>
      </c>
      <c r="H16" s="1314" t="s">
        <v>1098</v>
      </c>
      <c r="I16" s="1305" t="s">
        <v>1084</v>
      </c>
    </row>
    <row r="17" spans="1:9" ht="14.25">
      <c r="A17" s="3249"/>
      <c r="B17" s="3250" t="s">
        <v>1106</v>
      </c>
      <c r="C17" s="3250"/>
      <c r="D17" s="1306"/>
      <c r="E17" s="1306"/>
      <c r="F17" s="1307"/>
      <c r="G17" s="1308"/>
      <c r="H17" s="1318"/>
      <c r="I17" s="1319">
        <f>ROUND(D17*E17*F17*G17/10000,0)</f>
        <v>0</v>
      </c>
    </row>
    <row r="18" spans="1:9" ht="14.25">
      <c r="A18" s="3249"/>
      <c r="B18" s="3250" t="s">
        <v>1107</v>
      </c>
      <c r="C18" s="3250"/>
      <c r="D18" s="1306"/>
      <c r="E18" s="1306"/>
      <c r="F18" s="1307"/>
      <c r="G18" s="1308"/>
      <c r="H18" s="1318"/>
      <c r="I18" s="1319">
        <f>ROUND(D18*E18*F18*G18/10000,0)</f>
        <v>0</v>
      </c>
    </row>
    <row r="19" spans="1:9" ht="14.25">
      <c r="A19" s="3249"/>
      <c r="B19" s="3250" t="s">
        <v>1108</v>
      </c>
      <c r="C19" s="3250"/>
      <c r="D19" s="1306"/>
      <c r="E19" s="1306"/>
      <c r="F19" s="1307"/>
      <c r="G19" s="1308"/>
      <c r="H19" s="1318"/>
      <c r="I19" s="1319">
        <f>ROUND(D19*E19*F19*G19/10000,0)</f>
        <v>0</v>
      </c>
    </row>
    <row r="20" spans="1:9">
      <c r="A20" s="3249"/>
      <c r="B20" s="3251" t="s">
        <v>1092</v>
      </c>
      <c r="C20" s="3251"/>
      <c r="D20" s="1310">
        <f>SUM(D17:D19)</f>
        <v>0</v>
      </c>
      <c r="E20" s="1310"/>
      <c r="F20" s="1311"/>
      <c r="G20" s="1308"/>
      <c r="H20" s="1315"/>
      <c r="I20" s="1316">
        <f>SUM(I17:I19)</f>
        <v>0</v>
      </c>
    </row>
    <row r="21" spans="1:9">
      <c r="A21" s="3249" t="s">
        <v>1109</v>
      </c>
      <c r="B21" s="3252"/>
      <c r="C21" s="3252"/>
      <c r="D21" s="3252"/>
      <c r="E21" s="3252"/>
      <c r="F21" s="3252"/>
      <c r="G21" s="3252"/>
      <c r="H21" s="1768">
        <v>0.1</v>
      </c>
      <c r="I21" s="1313">
        <f>ROUND(I10*H21,0)</f>
        <v>0</v>
      </c>
    </row>
    <row r="22" spans="1:9" ht="14.25">
      <c r="A22" s="3253" t="s">
        <v>1110</v>
      </c>
      <c r="B22" s="3254"/>
      <c r="C22" s="3255"/>
      <c r="D22" s="1320" t="s">
        <v>1111</v>
      </c>
      <c r="E22" s="1320" t="s">
        <v>1112</v>
      </c>
      <c r="F22" s="1321" t="s">
        <v>1113</v>
      </c>
      <c r="G22" s="1321" t="s">
        <v>1114</v>
      </c>
      <c r="H22" s="1314" t="s">
        <v>1115</v>
      </c>
      <c r="I22" s="1305" t="s">
        <v>1116</v>
      </c>
    </row>
    <row r="23" spans="1:9" ht="14.25" thickBot="1">
      <c r="A23" s="3256"/>
      <c r="B23" s="3257"/>
      <c r="C23" s="3258"/>
      <c r="D23" s="1322"/>
      <c r="E23" s="1322"/>
      <c r="F23" s="1322"/>
      <c r="G23" s="1323"/>
      <c r="H23" s="1324"/>
      <c r="I23" s="1325">
        <f>ROUND(E23*D23*F23*(1-G23)/10000,0)</f>
        <v>0</v>
      </c>
    </row>
    <row r="26" spans="1:9">
      <c r="A26" s="1326" t="s">
        <v>1117</v>
      </c>
      <c r="B26" s="1326"/>
      <c r="C26" s="1326"/>
      <c r="D26" s="1326"/>
      <c r="E26" s="3246">
        <f>C27-C30-C31-C32</f>
        <v>0</v>
      </c>
      <c r="F26" s="3246"/>
      <c r="G26" s="3246"/>
      <c r="H26" s="1740" t="s">
        <v>1340</v>
      </c>
    </row>
    <row r="27" spans="1:9">
      <c r="A27" s="1327">
        <v>1</v>
      </c>
      <c r="B27" s="1328" t="s">
        <v>1118</v>
      </c>
      <c r="C27" s="1328">
        <f>C28+C29</f>
        <v>0</v>
      </c>
      <c r="D27" s="1328"/>
      <c r="E27" s="3247"/>
      <c r="F27" s="3247"/>
      <c r="G27" s="3247"/>
    </row>
    <row r="28" spans="1:9">
      <c r="A28" s="1329" t="s">
        <v>1119</v>
      </c>
      <c r="B28" s="1328" t="s">
        <v>1120</v>
      </c>
      <c r="C28" s="1328"/>
      <c r="D28" s="1328"/>
      <c r="E28" s="3247"/>
      <c r="F28" s="3247"/>
      <c r="G28" s="324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8"/>
      <c r="F32" s="3248"/>
      <c r="G32" s="3248"/>
    </row>
    <row r="33" spans="1:7" hidden="1">
      <c r="A33" s="3243" t="s">
        <v>1129</v>
      </c>
      <c r="B33" s="3244"/>
      <c r="C33" s="3244"/>
      <c r="D33" s="3245"/>
      <c r="E33" s="3246"/>
      <c r="F33" s="3246"/>
      <c r="G33" s="3246"/>
    </row>
    <row r="34" spans="1:7" hidden="1">
      <c r="A34" s="1331">
        <v>1</v>
      </c>
      <c r="B34" s="1328" t="s">
        <v>1130</v>
      </c>
      <c r="C34" s="1328"/>
      <c r="D34" s="1328"/>
      <c r="E34" s="3247"/>
      <c r="F34" s="3247"/>
      <c r="G34" s="3247"/>
    </row>
    <row r="35" spans="1:7" hidden="1">
      <c r="A35" s="1331">
        <v>2</v>
      </c>
      <c r="B35" s="1328" t="s">
        <v>1131</v>
      </c>
      <c r="C35" s="1328"/>
      <c r="D35" s="1328"/>
      <c r="E35" s="3247"/>
      <c r="F35" s="3247"/>
      <c r="G35" s="3247"/>
    </row>
    <row r="36" spans="1:7" hidden="1">
      <c r="A36" s="1331">
        <v>3</v>
      </c>
      <c r="B36" s="1328" t="s">
        <v>1132</v>
      </c>
      <c r="C36" s="1328"/>
      <c r="D36" s="1328"/>
      <c r="E36" s="3247"/>
      <c r="F36" s="3247"/>
      <c r="G36" s="3247"/>
    </row>
    <row r="37" spans="1:7" hidden="1">
      <c r="A37" s="1331">
        <v>4</v>
      </c>
      <c r="B37" s="1328" t="s">
        <v>1133</v>
      </c>
      <c r="C37" s="1328"/>
      <c r="D37" s="1328"/>
      <c r="E37" s="3247"/>
      <c r="F37" s="3247"/>
      <c r="G37" s="3247"/>
    </row>
    <row r="38" spans="1:7" hidden="1">
      <c r="A38" s="3243" t="s">
        <v>1134</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2532</v>
      </c>
      <c r="D3" s="399">
        <f>IF(D1="",'数据-汇总表'!E3,SUMIF('数据-汇总表'!$C19:$C33,D1,'数据-汇总表'!$E19:$E33))</f>
        <v>2729.87</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2533</v>
      </c>
      <c r="B4" s="402"/>
      <c r="C4" s="3215" t="s">
        <v>2534</v>
      </c>
      <c r="D4" s="3216"/>
      <c r="E4" s="3217" t="s">
        <v>2535</v>
      </c>
      <c r="F4" s="3218"/>
      <c r="G4" s="3215" t="s">
        <v>2536</v>
      </c>
      <c r="H4" s="3216"/>
      <c r="I4" s="3215" t="s">
        <v>2537</v>
      </c>
      <c r="J4" s="3216"/>
      <c r="K4" s="2599" t="s">
        <v>2538</v>
      </c>
      <c r="L4" s="1133"/>
      <c r="M4" s="1134"/>
      <c r="N4" s="1134"/>
      <c r="O4" s="1134"/>
      <c r="P4" s="3219" t="s">
        <v>2539</v>
      </c>
      <c r="Q4" s="3220"/>
      <c r="R4" s="3225" t="s">
        <v>2535</v>
      </c>
      <c r="S4" s="3226"/>
      <c r="T4" s="3225" t="s">
        <v>2536</v>
      </c>
      <c r="U4" s="3226"/>
      <c r="V4" s="3210" t="s">
        <v>2537</v>
      </c>
      <c r="W4" s="3210"/>
      <c r="X4" s="1816"/>
      <c r="Y4" s="3225" t="s">
        <v>2539</v>
      </c>
      <c r="Z4" s="3226"/>
      <c r="AA4" s="3212" t="s">
        <v>2535</v>
      </c>
      <c r="AB4" s="3212" t="s">
        <v>2536</v>
      </c>
      <c r="AC4" s="3212" t="s">
        <v>2537</v>
      </c>
    </row>
    <row r="5" spans="1:29" ht="15">
      <c r="A5" s="404"/>
      <c r="B5" s="405"/>
      <c r="C5" s="3264" t="s">
        <v>2540</v>
      </c>
      <c r="D5" s="3234"/>
      <c r="E5" s="3265" t="s">
        <v>2541</v>
      </c>
      <c r="F5" s="3241"/>
      <c r="G5" s="3264" t="s">
        <v>2542</v>
      </c>
      <c r="H5" s="3234"/>
      <c r="I5" s="3264" t="s">
        <v>2543</v>
      </c>
      <c r="J5" s="3234"/>
      <c r="K5" s="260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31" t="s">
        <v>2544</v>
      </c>
      <c r="D6" s="3232"/>
      <c r="E6" s="3238" t="s">
        <v>2544</v>
      </c>
      <c r="F6" s="3239"/>
      <c r="G6" s="3231" t="s">
        <v>2544</v>
      </c>
      <c r="H6" s="3232"/>
      <c r="I6" s="3231" t="s">
        <v>2544</v>
      </c>
      <c r="J6" s="3232"/>
      <c r="K6" s="260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35" t="s">
        <v>2547</v>
      </c>
      <c r="Q7" s="3237"/>
      <c r="R7" s="770" t="s">
        <v>23</v>
      </c>
      <c r="S7" s="771">
        <f t="shared" ref="S7:S15" si="0">F7</f>
        <v>0</v>
      </c>
      <c r="T7" s="770" t="s">
        <v>23</v>
      </c>
      <c r="U7" s="771">
        <f t="shared" ref="U7:U15" si="1">H7</f>
        <v>0</v>
      </c>
      <c r="V7" s="770" t="s">
        <v>23</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35" t="s">
        <v>2550</v>
      </c>
      <c r="Q8" s="3236"/>
      <c r="R8" s="770" t="s">
        <v>23</v>
      </c>
      <c r="S8" s="771">
        <f t="shared" si="0"/>
        <v>0</v>
      </c>
      <c r="T8" s="770" t="s">
        <v>23</v>
      </c>
      <c r="U8" s="771">
        <f t="shared" si="1"/>
        <v>0</v>
      </c>
      <c r="V8" s="770" t="s">
        <v>23</v>
      </c>
      <c r="W8" s="771">
        <f t="shared" si="2"/>
        <v>0</v>
      </c>
      <c r="X8" s="772"/>
      <c r="Y8" s="3235" t="s">
        <v>2550</v>
      </c>
      <c r="Z8" s="323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8"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1"/>
      <c r="Q12" s="1798">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1"/>
      <c r="Q13" s="1798">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1"/>
      <c r="Q14" s="1798">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99.75">
      <c r="A15" s="440" t="s">
        <v>2557</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1" t="s">
        <v>2558</v>
      </c>
      <c r="Q15" s="1813" t="str">
        <f t="shared" si="6"/>
        <v>居住社区成熟度</v>
      </c>
      <c r="R15" s="774" t="s">
        <v>21</v>
      </c>
      <c r="S15" s="775">
        <f t="shared" si="0"/>
        <v>100</v>
      </c>
      <c r="T15" s="774" t="s">
        <v>21</v>
      </c>
      <c r="U15" s="775">
        <f t="shared" si="1"/>
        <v>100</v>
      </c>
      <c r="V15" s="774" t="s">
        <v>21</v>
      </c>
      <c r="W15" s="775">
        <f t="shared" si="2"/>
        <v>100</v>
      </c>
      <c r="X15" s="1816"/>
      <c r="Y15" s="3203"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02"/>
      <c r="Q16" s="1813"/>
      <c r="R16" s="774"/>
      <c r="S16" s="775"/>
      <c r="T16" s="774"/>
      <c r="U16" s="775"/>
      <c r="V16" s="774"/>
      <c r="W16" s="775"/>
      <c r="X16" s="1816"/>
      <c r="Y16" s="3204"/>
      <c r="Z16" s="1817"/>
      <c r="AA16" s="1814">
        <v>1</v>
      </c>
      <c r="AB16" s="1814">
        <v>1</v>
      </c>
      <c r="AC16" s="1814">
        <v>1</v>
      </c>
    </row>
    <row r="17" spans="1:29" ht="142.5">
      <c r="A17" s="428"/>
      <c r="B17" s="451" t="s">
        <v>2095</v>
      </c>
      <c r="C17" s="2610" t="str">
        <f>估价对象房地状况!C6</f>
        <v>估价对象周边道路路网密集，有延安南路、塔城东路、公共交通通达情况较好，有1路、54路、44路，停车便捷程度较好，综合评价交通便捷度较好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2"/>
      <c r="Q17" s="1813" t="str">
        <f>B17</f>
        <v>交通便捷度</v>
      </c>
      <c r="R17" s="774" t="s">
        <v>21</v>
      </c>
      <c r="S17" s="775">
        <f>F17</f>
        <v>100</v>
      </c>
      <c r="T17" s="774" t="s">
        <v>21</v>
      </c>
      <c r="U17" s="775">
        <f>H17</f>
        <v>100</v>
      </c>
      <c r="V17" s="774" t="s">
        <v>21</v>
      </c>
      <c r="W17" s="775">
        <f>J17</f>
        <v>100</v>
      </c>
      <c r="X17" s="1816"/>
      <c r="Y17" s="3204"/>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02"/>
      <c r="Q18" s="1813"/>
      <c r="R18" s="774"/>
      <c r="S18" s="775"/>
      <c r="T18" s="774"/>
      <c r="U18" s="775"/>
      <c r="V18" s="774"/>
      <c r="W18" s="775"/>
      <c r="X18" s="1816"/>
      <c r="Y18" s="3204"/>
      <c r="Z18" s="1817"/>
      <c r="AA18" s="1814">
        <v>1</v>
      </c>
      <c r="AB18" s="1814">
        <v>1</v>
      </c>
      <c r="AC18" s="1814">
        <v>1</v>
      </c>
    </row>
    <row r="19" spans="1:29" ht="128.25">
      <c r="A19" s="428"/>
      <c r="B19" s="451" t="s">
        <v>2093</v>
      </c>
      <c r="C19" s="2610" t="str">
        <f>估价对象房地状况!C7</f>
        <v>估价对象所在区域有中国工商银行、昌吉市北京南路石油新村社区卫生服务站、铭日商店、昌吉市第五小学，公共配套设施较较齐备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2"/>
      <c r="Q19" s="1813" t="str">
        <f>B19</f>
        <v>公共配套设施</v>
      </c>
      <c r="R19" s="774" t="s">
        <v>21</v>
      </c>
      <c r="S19" s="775">
        <f>F19</f>
        <v>100</v>
      </c>
      <c r="T19" s="774" t="s">
        <v>21</v>
      </c>
      <c r="U19" s="775">
        <f>H19</f>
        <v>100</v>
      </c>
      <c r="V19" s="774" t="s">
        <v>21</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02"/>
      <c r="Q20" s="1813"/>
      <c r="R20" s="774"/>
      <c r="S20" s="775"/>
      <c r="T20" s="774"/>
      <c r="U20" s="775"/>
      <c r="V20" s="774"/>
      <c r="W20" s="775"/>
      <c r="X20" s="1816"/>
      <c r="Y20" s="3204"/>
      <c r="Z20" s="1817"/>
      <c r="AA20" s="1814">
        <v>1</v>
      </c>
      <c r="AB20" s="1814">
        <v>1</v>
      </c>
      <c r="AC20" s="1814">
        <v>1</v>
      </c>
    </row>
    <row r="21" spans="1:29" ht="28.5">
      <c r="A21" s="428"/>
      <c r="B21" s="1387" t="s">
        <v>2096</v>
      </c>
      <c r="C21" s="2610" t="str">
        <f>估价对象房地状况!C8</f>
        <v>估价对象所在区域基础设施七通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2"/>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02"/>
      <c r="Q22" s="1813"/>
      <c r="R22" s="774"/>
      <c r="S22" s="775"/>
      <c r="T22" s="774"/>
      <c r="U22" s="775"/>
      <c r="V22" s="774"/>
      <c r="W22" s="775"/>
      <c r="X22" s="1816"/>
      <c r="Y22" s="3204"/>
      <c r="Z22" s="1817"/>
      <c r="AA22" s="1814">
        <v>1</v>
      </c>
      <c r="AB22" s="1814">
        <v>1</v>
      </c>
      <c r="AC22" s="1814">
        <v>1</v>
      </c>
    </row>
    <row r="23" spans="1:29" ht="99.75">
      <c r="A23" s="428"/>
      <c r="B23" s="451" t="s">
        <v>2100</v>
      </c>
      <c r="C23" s="2610" t="str">
        <f>估价对象房地状况!C9</f>
        <v>区域内有晋昌公园，自然环境较好；有昌吉回族自治州技师培训学院，人文环境较好；综合评价环境状况较好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2"/>
      <c r="Q23" s="1813" t="str">
        <f>B23</f>
        <v>自然及人文环境</v>
      </c>
      <c r="R23" s="774" t="s">
        <v>21</v>
      </c>
      <c r="S23" s="775">
        <f>F23</f>
        <v>100</v>
      </c>
      <c r="T23" s="774" t="s">
        <v>21</v>
      </c>
      <c r="U23" s="775">
        <f>H23</f>
        <v>100</v>
      </c>
      <c r="V23" s="774" t="s">
        <v>21</v>
      </c>
      <c r="W23" s="775">
        <f>J23</f>
        <v>100</v>
      </c>
      <c r="X23" s="1816"/>
      <c r="Y23" s="3204"/>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02"/>
      <c r="Q24" s="1813"/>
      <c r="R24" s="774"/>
      <c r="S24" s="775"/>
      <c r="T24" s="774"/>
      <c r="U24" s="775"/>
      <c r="V24" s="774"/>
      <c r="W24" s="775"/>
      <c r="X24" s="1816"/>
      <c r="Y24" s="3204"/>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0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4"/>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02"/>
      <c r="Q26" s="1813" t="str">
        <f t="shared" si="11"/>
        <v>朝向</v>
      </c>
      <c r="R26" s="774" t="s">
        <v>21</v>
      </c>
      <c r="S26" s="775">
        <f t="shared" si="12"/>
        <v>100</v>
      </c>
      <c r="T26" s="774" t="s">
        <v>21</v>
      </c>
      <c r="U26" s="775">
        <f t="shared" si="13"/>
        <v>100</v>
      </c>
      <c r="V26" s="774" t="s">
        <v>21</v>
      </c>
      <c r="W26" s="775">
        <f t="shared" si="14"/>
        <v>100</v>
      </c>
      <c r="X26" s="1816"/>
      <c r="Y26" s="320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02"/>
      <c r="Q27" s="1798">
        <f t="shared" si="11"/>
        <v>111</v>
      </c>
      <c r="R27" s="770" t="s">
        <v>21</v>
      </c>
      <c r="S27" s="771">
        <f t="shared" si="12"/>
        <v>100</v>
      </c>
      <c r="T27" s="770" t="s">
        <v>21</v>
      </c>
      <c r="U27" s="771">
        <f t="shared" si="13"/>
        <v>100</v>
      </c>
      <c r="V27" s="770" t="s">
        <v>21</v>
      </c>
      <c r="W27" s="771">
        <f t="shared" si="14"/>
        <v>100</v>
      </c>
      <c r="X27" s="772"/>
      <c r="Y27" s="320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02"/>
      <c r="Q28" s="1813">
        <f t="shared" si="11"/>
        <v>111</v>
      </c>
      <c r="R28" s="774" t="s">
        <v>21</v>
      </c>
      <c r="S28" s="775">
        <f t="shared" si="12"/>
        <v>100</v>
      </c>
      <c r="T28" s="774" t="s">
        <v>21</v>
      </c>
      <c r="U28" s="775">
        <f t="shared" si="13"/>
        <v>100</v>
      </c>
      <c r="V28" s="774" t="s">
        <v>21</v>
      </c>
      <c r="W28" s="775">
        <f t="shared" si="14"/>
        <v>100</v>
      </c>
      <c r="X28" s="1816"/>
      <c r="Y28" s="320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02"/>
      <c r="Q29" s="1813">
        <f t="shared" si="11"/>
        <v>111</v>
      </c>
      <c r="R29" s="774" t="s">
        <v>21</v>
      </c>
      <c r="S29" s="775">
        <f t="shared" si="12"/>
        <v>100</v>
      </c>
      <c r="T29" s="774" t="s">
        <v>21</v>
      </c>
      <c r="U29" s="775">
        <f t="shared" si="13"/>
        <v>100</v>
      </c>
      <c r="V29" s="774" t="s">
        <v>21</v>
      </c>
      <c r="W29" s="775">
        <f t="shared" si="14"/>
        <v>100</v>
      </c>
      <c r="X29" s="1816"/>
      <c r="Y29" s="320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02"/>
      <c r="Q30" s="1813">
        <f t="shared" si="11"/>
        <v>111</v>
      </c>
      <c r="R30" s="774" t="s">
        <v>21</v>
      </c>
      <c r="S30" s="775">
        <f t="shared" si="12"/>
        <v>100</v>
      </c>
      <c r="T30" s="774" t="s">
        <v>21</v>
      </c>
      <c r="U30" s="775">
        <f t="shared" si="13"/>
        <v>100</v>
      </c>
      <c r="V30" s="774" t="s">
        <v>21</v>
      </c>
      <c r="W30" s="775">
        <f t="shared" si="14"/>
        <v>100</v>
      </c>
      <c r="X30" s="1816"/>
      <c r="Y30" s="320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02"/>
      <c r="Q31" s="1813">
        <f t="shared" si="11"/>
        <v>111</v>
      </c>
      <c r="R31" s="774" t="s">
        <v>21</v>
      </c>
      <c r="S31" s="775">
        <f t="shared" si="12"/>
        <v>100</v>
      </c>
      <c r="T31" s="774" t="s">
        <v>21</v>
      </c>
      <c r="U31" s="775">
        <f t="shared" si="13"/>
        <v>100</v>
      </c>
      <c r="V31" s="774" t="s">
        <v>21</v>
      </c>
      <c r="W31" s="775">
        <f t="shared" si="14"/>
        <v>100</v>
      </c>
      <c r="X31" s="1816"/>
      <c r="Y31" s="3204"/>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05" t="s">
        <v>2563</v>
      </c>
      <c r="Q32" s="1813" t="str">
        <f t="shared" si="11"/>
        <v>建筑类型</v>
      </c>
      <c r="R32" s="774" t="s">
        <v>21</v>
      </c>
      <c r="S32" s="775">
        <f t="shared" si="12"/>
        <v>100</v>
      </c>
      <c r="T32" s="774" t="s">
        <v>21</v>
      </c>
      <c r="U32" s="775">
        <f t="shared" si="13"/>
        <v>100</v>
      </c>
      <c r="V32" s="774" t="s">
        <v>21</v>
      </c>
      <c r="W32" s="775">
        <f t="shared" si="14"/>
        <v>100</v>
      </c>
      <c r="X32" s="1816"/>
      <c r="Y32" s="3208"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06"/>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06"/>
      <c r="Q34" s="1813" t="str">
        <f t="shared" si="11"/>
        <v>建筑结构</v>
      </c>
      <c r="R34" s="774" t="s">
        <v>21</v>
      </c>
      <c r="S34" s="775">
        <f t="shared" si="12"/>
        <v>100</v>
      </c>
      <c r="T34" s="774" t="s">
        <v>21</v>
      </c>
      <c r="U34" s="775">
        <f t="shared" si="13"/>
        <v>100</v>
      </c>
      <c r="V34" s="774" t="s">
        <v>21</v>
      </c>
      <c r="W34" s="775">
        <f t="shared" si="14"/>
        <v>100</v>
      </c>
      <c r="X34" s="1816"/>
      <c r="Y34" s="3208"/>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06"/>
      <c r="Q35" s="1813" t="str">
        <f t="shared" si="11"/>
        <v>建筑品质</v>
      </c>
      <c r="R35" s="774" t="s">
        <v>21</v>
      </c>
      <c r="S35" s="775">
        <f t="shared" si="12"/>
        <v>100</v>
      </c>
      <c r="T35" s="774" t="s">
        <v>21</v>
      </c>
      <c r="U35" s="775">
        <f t="shared" si="13"/>
        <v>100</v>
      </c>
      <c r="V35" s="774" t="s">
        <v>21</v>
      </c>
      <c r="W35" s="775">
        <f t="shared" si="14"/>
        <v>100</v>
      </c>
      <c r="X35" s="1816"/>
      <c r="Y35" s="3208"/>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06"/>
      <c r="Q36" s="1813" t="str">
        <f t="shared" si="11"/>
        <v>公共部分装修</v>
      </c>
      <c r="R36" s="774" t="s">
        <v>21</v>
      </c>
      <c r="S36" s="775">
        <f t="shared" si="12"/>
        <v>100</v>
      </c>
      <c r="T36" s="774" t="s">
        <v>21</v>
      </c>
      <c r="U36" s="775">
        <f t="shared" si="13"/>
        <v>100</v>
      </c>
      <c r="V36" s="774" t="s">
        <v>21</v>
      </c>
      <c r="W36" s="775">
        <f t="shared" si="14"/>
        <v>100</v>
      </c>
      <c r="X36" s="1816"/>
      <c r="Y36" s="3208"/>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6"/>
      <c r="Q37" s="1798"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06" t="s">
        <v>2563</v>
      </c>
      <c r="Q38" s="1813" t="str">
        <f t="shared" si="11"/>
        <v>物业管理</v>
      </c>
      <c r="R38" s="774" t="s">
        <v>21</v>
      </c>
      <c r="S38" s="775">
        <f t="shared" si="12"/>
        <v>100</v>
      </c>
      <c r="T38" s="774" t="s">
        <v>21</v>
      </c>
      <c r="U38" s="775">
        <f t="shared" si="13"/>
        <v>100</v>
      </c>
      <c r="V38" s="774" t="s">
        <v>21</v>
      </c>
      <c r="W38" s="775">
        <f t="shared" si="14"/>
        <v>100</v>
      </c>
      <c r="X38" s="1816"/>
      <c r="Y38" s="3208"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06"/>
      <c r="Q39" s="1813" t="str">
        <f t="shared" si="11"/>
        <v>市政基础设施</v>
      </c>
      <c r="R39" s="774" t="s">
        <v>21</v>
      </c>
      <c r="S39" s="775">
        <f t="shared" si="12"/>
        <v>100</v>
      </c>
      <c r="T39" s="774" t="s">
        <v>21</v>
      </c>
      <c r="U39" s="775">
        <f t="shared" si="13"/>
        <v>100</v>
      </c>
      <c r="V39" s="774" t="s">
        <v>21</v>
      </c>
      <c r="W39" s="775">
        <f t="shared" si="14"/>
        <v>100</v>
      </c>
      <c r="X39" s="1816"/>
      <c r="Y39" s="3208"/>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06"/>
      <c r="Q40" s="1813" t="str">
        <f t="shared" si="11"/>
        <v>房型</v>
      </c>
      <c r="R40" s="774" t="s">
        <v>21</v>
      </c>
      <c r="S40" s="775">
        <f t="shared" si="12"/>
        <v>100</v>
      </c>
      <c r="T40" s="774" t="s">
        <v>21</v>
      </c>
      <c r="U40" s="775">
        <f t="shared" si="13"/>
        <v>100</v>
      </c>
      <c r="V40" s="774" t="s">
        <v>21</v>
      </c>
      <c r="W40" s="775">
        <f t="shared" si="14"/>
        <v>100</v>
      </c>
      <c r="X40" s="1816"/>
      <c r="Y40" s="3208"/>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06"/>
      <c r="Q42" s="1813" t="str">
        <f t="shared" si="11"/>
        <v>内部装修</v>
      </c>
      <c r="R42" s="774" t="s">
        <v>21</v>
      </c>
      <c r="S42" s="775">
        <f t="shared" si="12"/>
        <v>100</v>
      </c>
      <c r="T42" s="774" t="s">
        <v>21</v>
      </c>
      <c r="U42" s="775">
        <f t="shared" si="13"/>
        <v>100</v>
      </c>
      <c r="V42" s="774" t="s">
        <v>21</v>
      </c>
      <c r="W42" s="775">
        <f t="shared" si="14"/>
        <v>100</v>
      </c>
      <c r="X42" s="1816"/>
      <c r="Y42" s="3208"/>
      <c r="Z42" s="1817" t="str">
        <f t="shared" si="18"/>
        <v>内部装修</v>
      </c>
      <c r="AA42" s="1814">
        <f t="shared" si="15"/>
        <v>1</v>
      </c>
      <c r="AB42" s="1814">
        <f t="shared" si="16"/>
        <v>1</v>
      </c>
      <c r="AC42" s="1814">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06"/>
      <c r="Q43" s="1813" t="str">
        <f t="shared" si="11"/>
        <v>内部装修维护情况</v>
      </c>
      <c r="R43" s="774" t="s">
        <v>21</v>
      </c>
      <c r="S43" s="775">
        <f t="shared" si="12"/>
        <v>100</v>
      </c>
      <c r="T43" s="774" t="s">
        <v>21</v>
      </c>
      <c r="U43" s="775">
        <f t="shared" si="13"/>
        <v>100</v>
      </c>
      <c r="V43" s="774" t="s">
        <v>21</v>
      </c>
      <c r="W43" s="775">
        <f t="shared" si="14"/>
        <v>100</v>
      </c>
      <c r="X43" s="1816"/>
      <c r="Y43" s="320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06"/>
      <c r="Q44" s="1798">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06"/>
      <c r="Q45" s="1813">
        <f t="shared" si="11"/>
        <v>111</v>
      </c>
      <c r="R45" s="774" t="s">
        <v>21</v>
      </c>
      <c r="S45" s="775">
        <f t="shared" si="12"/>
        <v>100</v>
      </c>
      <c r="T45" s="774" t="s">
        <v>21</v>
      </c>
      <c r="U45" s="775">
        <f t="shared" si="13"/>
        <v>100</v>
      </c>
      <c r="V45" s="774" t="s">
        <v>21</v>
      </c>
      <c r="W45" s="775">
        <f t="shared" si="14"/>
        <v>100</v>
      </c>
      <c r="X45" s="1816"/>
      <c r="Y45" s="3208"/>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07"/>
      <c r="Q46" s="1813">
        <f t="shared" si="11"/>
        <v>111</v>
      </c>
      <c r="R46" s="774" t="s">
        <v>20</v>
      </c>
      <c r="S46" s="775">
        <f t="shared" si="12"/>
        <v>100</v>
      </c>
      <c r="T46" s="774" t="s">
        <v>20</v>
      </c>
      <c r="U46" s="775">
        <f t="shared" si="13"/>
        <v>100</v>
      </c>
      <c r="V46" s="774" t="s">
        <v>20</v>
      </c>
      <c r="W46" s="775">
        <f t="shared" si="14"/>
        <v>100</v>
      </c>
      <c r="X46" s="1816"/>
      <c r="Y46" s="3209"/>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4"/>
      <c r="L47" s="1146"/>
      <c r="M47" s="1147"/>
      <c r="N47" s="1134"/>
      <c r="O47" s="1147"/>
      <c r="P47" s="3196" t="str">
        <f>A47</f>
        <v>成交单价（元/平方米）</v>
      </c>
      <c r="Q47" s="3196"/>
      <c r="R47" s="3197">
        <f>E47</f>
        <v>0</v>
      </c>
      <c r="S47" s="3197"/>
      <c r="T47" s="3197">
        <f>G47</f>
        <v>0</v>
      </c>
      <c r="U47" s="3197"/>
      <c r="V47" s="3197">
        <f>I47</f>
        <v>0</v>
      </c>
      <c r="W47" s="3197"/>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6"/>
      <c r="L49" s="1146"/>
      <c r="M49" s="1147"/>
      <c r="N49" s="1147"/>
      <c r="O49" s="1147"/>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9"/>
      <c r="Q57" s="504"/>
    </row>
    <row r="58" spans="1:29" s="508" customFormat="1" ht="15">
      <c r="A58" s="505" t="s">
        <v>2582</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2609</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2561</v>
      </c>
      <c r="B100" s="528" t="s">
        <v>2610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4" zoomScale="90" zoomScaleNormal="90" workbookViewId="0">
      <selection activeCell="L104" sqref="L10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2684</v>
      </c>
      <c r="C1" s="1623" t="s">
        <v>2528</v>
      </c>
      <c r="D1" s="1624" t="s">
        <v>3077</v>
      </c>
      <c r="E1" s="1633"/>
      <c r="F1" s="2587" t="s">
        <v>3071</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f>IF(C2="——",ROUND(C50*D3/10000,0),ROUND(C50*D3/10000,0)-D2)</f>
        <v>1884</v>
      </c>
      <c r="C2" s="2589" t="s">
        <v>70</v>
      </c>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7914</v>
      </c>
      <c r="C3" s="400" t="s">
        <v>2642</v>
      </c>
      <c r="D3" s="399">
        <f>IF(D1="",'数据-汇总表'!E3,SUMIF('数据-汇总表'!$C19:$C33,D1,'数据-汇总表'!$E19:$E33))</f>
        <v>2380</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72" t="s">
        <v>2649</v>
      </c>
      <c r="Q4" s="3273"/>
      <c r="R4" s="3276" t="s">
        <v>2645</v>
      </c>
      <c r="S4" s="3277"/>
      <c r="T4" s="3276" t="s">
        <v>2646</v>
      </c>
      <c r="U4" s="3277"/>
      <c r="V4" s="3278" t="s">
        <v>2647</v>
      </c>
      <c r="W4" s="3278"/>
      <c r="X4" s="2673"/>
      <c r="Y4" s="3276" t="s">
        <v>2649</v>
      </c>
      <c r="Z4" s="3277"/>
      <c r="AA4" s="3280" t="s">
        <v>2645</v>
      </c>
      <c r="AB4" s="3280" t="s">
        <v>2646</v>
      </c>
      <c r="AC4" s="3269" t="s">
        <v>2647</v>
      </c>
    </row>
    <row r="5" spans="1:29" ht="15">
      <c r="A5" s="404"/>
      <c r="B5" s="405"/>
      <c r="C5" s="3264" t="s">
        <v>2540</v>
      </c>
      <c r="D5" s="3234"/>
      <c r="E5" s="3265" t="s">
        <v>2541</v>
      </c>
      <c r="F5" s="3241"/>
      <c r="G5" s="3264" t="s">
        <v>2542</v>
      </c>
      <c r="H5" s="3234"/>
      <c r="I5" s="3233" t="s">
        <v>3114</v>
      </c>
      <c r="J5" s="3234"/>
      <c r="K5" s="610"/>
      <c r="L5" s="1133"/>
      <c r="M5" s="1134"/>
      <c r="N5" s="1134"/>
      <c r="O5" s="1134"/>
      <c r="P5" s="3274"/>
      <c r="Q5" s="3222"/>
      <c r="R5" s="3227"/>
      <c r="S5" s="3228"/>
      <c r="T5" s="3227"/>
      <c r="U5" s="3228"/>
      <c r="V5" s="3210"/>
      <c r="W5" s="3210"/>
      <c r="X5" s="1816"/>
      <c r="Y5" s="3227"/>
      <c r="Z5" s="3228"/>
      <c r="AA5" s="3213"/>
      <c r="AB5" s="3213"/>
      <c r="AC5" s="3270"/>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75"/>
      <c r="Q6" s="3224"/>
      <c r="R6" s="3227"/>
      <c r="S6" s="3228"/>
      <c r="T6" s="3229"/>
      <c r="U6" s="3230"/>
      <c r="V6" s="3210"/>
      <c r="W6" s="3210"/>
      <c r="X6" s="1816"/>
      <c r="Y6" s="3229"/>
      <c r="Z6" s="3230"/>
      <c r="AA6" s="3214"/>
      <c r="AB6" s="3214"/>
      <c r="AC6" s="3271"/>
    </row>
    <row r="7" spans="1:29" s="117" customFormat="1" ht="15.75" thickBot="1">
      <c r="A7" s="408" t="s">
        <v>2546</v>
      </c>
      <c r="B7" s="409"/>
      <c r="C7" s="410">
        <f>'数据-取费表'!B2</f>
        <v>43214</v>
      </c>
      <c r="D7" s="411">
        <v>100</v>
      </c>
      <c r="E7" s="412">
        <v>43191</v>
      </c>
      <c r="F7" s="413">
        <f>SUMIF(59:59,YEAR(E7)&amp;"-"&amp;MONTH(E7),60:60)</f>
        <v>100</v>
      </c>
      <c r="G7" s="412">
        <v>43191</v>
      </c>
      <c r="H7" s="411">
        <f>SUMIF(59:59,YEAR(G7)&amp;"-"&amp;MONTH(G7),60:60)</f>
        <v>100</v>
      </c>
      <c r="I7" s="412">
        <v>43191</v>
      </c>
      <c r="J7" s="411">
        <f>SUMIF(59:59,YEAR(I7)&amp;"-"&amp;MONTH(I7),60:60)</f>
        <v>100</v>
      </c>
      <c r="K7" s="611"/>
      <c r="L7" s="1135"/>
      <c r="M7" s="1136"/>
      <c r="N7" s="1136"/>
      <c r="O7" s="1136"/>
      <c r="P7" s="3279" t="s">
        <v>2547</v>
      </c>
      <c r="Q7" s="3237"/>
      <c r="R7" s="770" t="s">
        <v>17</v>
      </c>
      <c r="S7" s="771">
        <f t="shared" ref="S7:S15" si="0">F7</f>
        <v>100</v>
      </c>
      <c r="T7" s="770" t="s">
        <v>17</v>
      </c>
      <c r="U7" s="771">
        <f t="shared" ref="U7:U15" si="1">H7</f>
        <v>100</v>
      </c>
      <c r="V7" s="770" t="s">
        <v>17</v>
      </c>
      <c r="W7" s="771">
        <f t="shared" ref="W7:W15" si="2">J7</f>
        <v>100</v>
      </c>
      <c r="X7" s="772"/>
      <c r="Y7" s="3235" t="s">
        <v>2547</v>
      </c>
      <c r="Z7" s="3236"/>
      <c r="AA7" s="773">
        <f>D7/F7</f>
        <v>1</v>
      </c>
      <c r="AB7" s="773">
        <f>D7/H7</f>
        <v>1</v>
      </c>
      <c r="AC7" s="2674">
        <f>D7/J7</f>
        <v>1</v>
      </c>
    </row>
    <row r="8" spans="1:29" s="117" customFormat="1" ht="15.75" thickBot="1">
      <c r="A8" s="408" t="s">
        <v>2548</v>
      </c>
      <c r="B8" s="409"/>
      <c r="C8" s="414" t="s">
        <v>2650</v>
      </c>
      <c r="D8" s="411">
        <v>100</v>
      </c>
      <c r="E8" s="2968" t="s">
        <v>3078</v>
      </c>
      <c r="F8" s="413">
        <f>SUMIF(62:62,E8,63:63)-SUMIF(62:62,C8,63:63)+100</f>
        <v>100</v>
      </c>
      <c r="G8" s="2968" t="s">
        <v>3078</v>
      </c>
      <c r="H8" s="411">
        <f>SUMIF(62:62,G8,63:63)-SUMIF(62:62,C8,63:63)+100</f>
        <v>100</v>
      </c>
      <c r="I8" s="2968" t="s">
        <v>3078</v>
      </c>
      <c r="J8" s="411">
        <f>SUMIF(62:62,I8,63:63)-SUMIF(62:62,C8,63:63)+100</f>
        <v>100</v>
      </c>
      <c r="K8" s="611"/>
      <c r="L8" s="1135"/>
      <c r="M8" s="1136"/>
      <c r="N8" s="1136"/>
      <c r="O8" s="1136"/>
      <c r="P8" s="3279" t="s">
        <v>2550</v>
      </c>
      <c r="Q8" s="3236"/>
      <c r="R8" s="770" t="s">
        <v>17</v>
      </c>
      <c r="S8" s="771">
        <f t="shared" si="0"/>
        <v>100</v>
      </c>
      <c r="T8" s="770" t="s">
        <v>17</v>
      </c>
      <c r="U8" s="771">
        <f t="shared" si="1"/>
        <v>100</v>
      </c>
      <c r="V8" s="770" t="s">
        <v>17</v>
      </c>
      <c r="W8" s="771">
        <f t="shared" si="2"/>
        <v>100</v>
      </c>
      <c r="X8" s="772"/>
      <c r="Y8" s="3235" t="s">
        <v>2550</v>
      </c>
      <c r="Z8" s="3236"/>
      <c r="AA8" s="773">
        <f t="shared" ref="AA8:AA47" si="3">D8/F8</f>
        <v>1</v>
      </c>
      <c r="AB8" s="773">
        <f t="shared" ref="AB8:AB47" si="4">D8/H8</f>
        <v>1</v>
      </c>
      <c r="AC8" s="2674">
        <f t="shared" ref="AC8:AC47" si="5">D8/J8</f>
        <v>1</v>
      </c>
    </row>
    <row r="9" spans="1:29" s="117" customFormat="1">
      <c r="A9" s="415" t="s">
        <v>2551</v>
      </c>
      <c r="B9" s="71" t="s">
        <v>2552</v>
      </c>
      <c r="C9" s="2969" t="s">
        <v>3079</v>
      </c>
      <c r="D9" s="135">
        <v>100</v>
      </c>
      <c r="E9" s="2970" t="s">
        <v>3079</v>
      </c>
      <c r="F9" s="135">
        <f>SUMIF(64:64,E9,65:65)-SUMIF(64:64,C9,65:65)+100</f>
        <v>100</v>
      </c>
      <c r="G9" s="2971" t="s">
        <v>3079</v>
      </c>
      <c r="H9" s="135">
        <f>SUMIF(64:64,G9,65:65)-SUMIF(64:64,C9,65:65)+100</f>
        <v>100</v>
      </c>
      <c r="I9" s="2971" t="s">
        <v>3079</v>
      </c>
      <c r="J9" s="135">
        <f>SUMIF(64:64,I9,65:65)-SUMIF(64:64,C9,65:65)+100</f>
        <v>100</v>
      </c>
      <c r="K9" s="61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2674">
        <f t="shared" si="5"/>
        <v>1</v>
      </c>
    </row>
    <row r="10" spans="1:29" s="427" customFormat="1" ht="27.75" thickBot="1">
      <c r="A10" s="421"/>
      <c r="B10" s="422" t="s">
        <v>2555</v>
      </c>
      <c r="C10" s="423" t="s">
        <v>3080</v>
      </c>
      <c r="D10" s="136">
        <v>100</v>
      </c>
      <c r="E10" s="423" t="s">
        <v>3080</v>
      </c>
      <c r="F10" s="136">
        <f>SUMIF(66:66,E10,67:67)-SUMIF(66:66,C10,67:67)+100</f>
        <v>100</v>
      </c>
      <c r="G10" s="424" t="s">
        <v>3080</v>
      </c>
      <c r="H10" s="136">
        <f>SUMIF(66:66,G10,67:67)-SUMIF(66:66,C10,67:67)+100</f>
        <v>100</v>
      </c>
      <c r="I10" s="423" t="s">
        <v>3080</v>
      </c>
      <c r="J10" s="136">
        <f>SUMIF(66:66,I10,67:67)-SUMIF(66:66,C10,67:67)+100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74">
        <f t="shared" si="5"/>
        <v>1</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11"/>
      <c r="Q11" s="1798" t="str">
        <f t="shared" si="6"/>
        <v>容积率</v>
      </c>
      <c r="R11" s="770" t="s">
        <v>17</v>
      </c>
      <c r="S11" s="771">
        <f t="shared" si="0"/>
        <v>100</v>
      </c>
      <c r="T11" s="770" t="s">
        <v>17</v>
      </c>
      <c r="U11" s="771">
        <f t="shared" si="1"/>
        <v>100</v>
      </c>
      <c r="V11" s="770" t="s">
        <v>17</v>
      </c>
      <c r="W11" s="771">
        <f t="shared" si="2"/>
        <v>100</v>
      </c>
      <c r="X11" s="772"/>
      <c r="Y11" s="3046"/>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74">
        <f t="shared" si="5"/>
        <v>1</v>
      </c>
    </row>
    <row r="15" spans="1:29" ht="67.5">
      <c r="A15" s="440" t="s">
        <v>2557</v>
      </c>
      <c r="B15" s="629" t="s">
        <v>2685</v>
      </c>
      <c r="C15" s="2676" t="str">
        <f>估价对象房地状况!C5</f>
        <v>估价对象周边办公楼项目数量一般，入驻率较高，办公集聚程度一般</v>
      </c>
      <c r="D15" s="441">
        <v>100</v>
      </c>
      <c r="E15" s="2987" t="s">
        <v>3115</v>
      </c>
      <c r="F15" s="441">
        <f>SUMIF(77:77,E16,78:78)-SUMIF(77:77,C16,78:78)+100</f>
        <v>100</v>
      </c>
      <c r="G15" s="2986" t="s">
        <v>3115</v>
      </c>
      <c r="H15" s="441">
        <f>SUMIF(77:77,G16,78:78)-SUMIF(77:77,C16,78:78)+100</f>
        <v>100</v>
      </c>
      <c r="I15" s="2986" t="s">
        <v>3115</v>
      </c>
      <c r="J15" s="441">
        <f>SUMIF(77:77,I16,78:78)-SUMIF(77:77,C16,78:78)+100</f>
        <v>100</v>
      </c>
      <c r="K15" s="614">
        <v>2</v>
      </c>
      <c r="L15" s="1143"/>
      <c r="M15" s="1134"/>
      <c r="N15" s="1134"/>
      <c r="O15" s="1134"/>
      <c r="P15" s="3201" t="s">
        <v>2558</v>
      </c>
      <c r="Q15" s="1813" t="str">
        <f t="shared" si="6"/>
        <v>办公集聚程度</v>
      </c>
      <c r="R15" s="774" t="s">
        <v>17</v>
      </c>
      <c r="S15" s="775">
        <f t="shared" si="0"/>
        <v>100</v>
      </c>
      <c r="T15" s="774" t="s">
        <v>17</v>
      </c>
      <c r="U15" s="775">
        <f t="shared" si="1"/>
        <v>100</v>
      </c>
      <c r="V15" s="774" t="s">
        <v>17</v>
      </c>
      <c r="W15" s="775">
        <f t="shared" si="2"/>
        <v>100</v>
      </c>
      <c r="X15" s="1816"/>
      <c r="Y15" s="3203" t="s">
        <v>2558</v>
      </c>
      <c r="Z15" s="1817" t="str">
        <f t="shared" si="7"/>
        <v>办公集聚程度</v>
      </c>
      <c r="AA15" s="1814">
        <f t="shared" si="3"/>
        <v>1</v>
      </c>
      <c r="AB15" s="1814">
        <f t="shared" si="4"/>
        <v>1</v>
      </c>
      <c r="AC15" s="2677">
        <f t="shared" si="5"/>
        <v>1</v>
      </c>
    </row>
    <row r="16" spans="1:29" ht="15">
      <c r="A16" s="428"/>
      <c r="B16" s="630"/>
      <c r="C16" s="2614" t="s">
        <v>3088</v>
      </c>
      <c r="D16" s="448"/>
      <c r="E16" s="447" t="s">
        <v>3088</v>
      </c>
      <c r="F16" s="448"/>
      <c r="G16" s="2614" t="s">
        <v>3088</v>
      </c>
      <c r="H16" s="450"/>
      <c r="I16" s="447" t="s">
        <v>3088</v>
      </c>
      <c r="J16" s="448"/>
      <c r="K16" s="615"/>
      <c r="L16" s="1143"/>
      <c r="M16" s="1134"/>
      <c r="N16" s="1134"/>
      <c r="O16" s="1134"/>
      <c r="P16" s="3202"/>
      <c r="Q16" s="1813"/>
      <c r="R16" s="774"/>
      <c r="S16" s="775"/>
      <c r="T16" s="774"/>
      <c r="U16" s="775"/>
      <c r="V16" s="774"/>
      <c r="W16" s="775"/>
      <c r="X16" s="1816"/>
      <c r="Y16" s="3204"/>
      <c r="Z16" s="1817"/>
      <c r="AA16" s="1814">
        <v>1</v>
      </c>
      <c r="AB16" s="1814">
        <v>1</v>
      </c>
      <c r="AC16" s="2677">
        <v>1</v>
      </c>
    </row>
    <row r="17" spans="1:29" ht="128.25">
      <c r="A17" s="428"/>
      <c r="B17" s="631" t="s">
        <v>2095</v>
      </c>
      <c r="C17" s="2678" t="str">
        <f>估价对象房地状况!C6</f>
        <v>估价对象周边道路路网密集，有延安南路、塔城东路、公共交通通达情况较好，有1路、54路、44路，停车便捷程度较好，综合评价交通便捷度较好</v>
      </c>
      <c r="D17" s="450">
        <v>100</v>
      </c>
      <c r="E17" s="2990" t="s">
        <v>3118</v>
      </c>
      <c r="F17" s="450">
        <f>SUMIF(79:79,E18,80:80)-SUMIF(79:79,C18,80:80)+100</f>
        <v>100</v>
      </c>
      <c r="G17" s="2989" t="s">
        <v>3117</v>
      </c>
      <c r="H17" s="455">
        <f>SUMIF(79:79,G18,80:80)-SUMIF(79:79,C18,80:80)+100</f>
        <v>98</v>
      </c>
      <c r="I17" s="2989" t="s">
        <v>3116</v>
      </c>
      <c r="J17" s="455">
        <f>SUMIF(79:79,I18,80:80)-SUMIF(79:79,C18,80:80)+100</f>
        <v>100</v>
      </c>
      <c r="K17" s="614">
        <v>2</v>
      </c>
      <c r="L17" s="1143"/>
      <c r="M17" s="1134"/>
      <c r="N17" s="1134"/>
      <c r="O17" s="1134"/>
      <c r="P17" s="3202"/>
      <c r="Q17" s="1813" t="str">
        <f>B17</f>
        <v>交通便捷度</v>
      </c>
      <c r="R17" s="774" t="s">
        <v>17</v>
      </c>
      <c r="S17" s="775">
        <f>F17</f>
        <v>100</v>
      </c>
      <c r="T17" s="774" t="s">
        <v>17</v>
      </c>
      <c r="U17" s="775">
        <f>H17</f>
        <v>98</v>
      </c>
      <c r="V17" s="774" t="s">
        <v>17</v>
      </c>
      <c r="W17" s="775">
        <f>J17</f>
        <v>100</v>
      </c>
      <c r="X17" s="1816"/>
      <c r="Y17" s="3204"/>
      <c r="Z17" s="1817" t="str">
        <f>Q17</f>
        <v>交通便捷度</v>
      </c>
      <c r="AA17" s="1814">
        <f t="shared" si="3"/>
        <v>1</v>
      </c>
      <c r="AB17" s="1814">
        <f t="shared" si="4"/>
        <v>1.0204081632653061</v>
      </c>
      <c r="AC17" s="2677">
        <f t="shared" si="5"/>
        <v>1</v>
      </c>
    </row>
    <row r="18" spans="1:29" ht="15">
      <c r="A18" s="428"/>
      <c r="B18" s="632"/>
      <c r="C18" s="2679" t="s">
        <v>3089</v>
      </c>
      <c r="D18" s="450"/>
      <c r="E18" s="2612" t="s">
        <v>3089</v>
      </c>
      <c r="F18" s="450"/>
      <c r="G18" s="2613" t="s">
        <v>3088</v>
      </c>
      <c r="H18" s="448"/>
      <c r="I18" s="2613" t="s">
        <v>3089</v>
      </c>
      <c r="J18" s="448"/>
      <c r="K18" s="615"/>
      <c r="L18" s="1143"/>
      <c r="M18" s="1134"/>
      <c r="N18" s="1134"/>
      <c r="O18" s="1134"/>
      <c r="P18" s="3202"/>
      <c r="Q18" s="1813"/>
      <c r="R18" s="774"/>
      <c r="S18" s="775"/>
      <c r="T18" s="774"/>
      <c r="U18" s="775"/>
      <c r="V18" s="774"/>
      <c r="W18" s="775"/>
      <c r="X18" s="1816"/>
      <c r="Y18" s="3204"/>
      <c r="Z18" s="1817"/>
      <c r="AA18" s="1814">
        <v>1</v>
      </c>
      <c r="AB18" s="1814">
        <v>1</v>
      </c>
      <c r="AC18" s="2677">
        <v>1</v>
      </c>
    </row>
    <row r="19" spans="1:29" ht="114">
      <c r="A19" s="428"/>
      <c r="B19" s="631" t="s">
        <v>2686</v>
      </c>
      <c r="C19" s="2678" t="str">
        <f>估价对象房地状况!C7</f>
        <v>估价对象所在区域有中国工商银行、昌吉市北京南路石油新村社区卫生服务站、铭日商店、昌吉市第五小学，公共配套设施较较齐备</v>
      </c>
      <c r="D19" s="455">
        <v>100</v>
      </c>
      <c r="E19" s="2992" t="s">
        <v>3120</v>
      </c>
      <c r="F19" s="455">
        <f>SUMIF(81:81,E20,82:82)-SUMIF(81:81,C20,82:82)+100</f>
        <v>100</v>
      </c>
      <c r="G19" s="2991" t="s">
        <v>3120</v>
      </c>
      <c r="H19" s="450">
        <f>SUMIF(81:81,G20,82:82)-SUMIF(81:81,C20,82:82)+100</f>
        <v>100</v>
      </c>
      <c r="I19" s="2991" t="s">
        <v>3120</v>
      </c>
      <c r="J19" s="450">
        <f>SUMIF(81:81,I20,82:82)-SUMIF(81:81,C20,82:82)+100</f>
        <v>100</v>
      </c>
      <c r="K19" s="614">
        <v>2</v>
      </c>
      <c r="L19" s="1143"/>
      <c r="M19" s="1134"/>
      <c r="N19" s="1134"/>
      <c r="O19" s="1134"/>
      <c r="P19" s="3202"/>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2677">
        <f t="shared" si="5"/>
        <v>1</v>
      </c>
    </row>
    <row r="20" spans="1:29" ht="15">
      <c r="A20" s="428"/>
      <c r="B20" s="632"/>
      <c r="C20" s="2614" t="s">
        <v>3089</v>
      </c>
      <c r="D20" s="448"/>
      <c r="E20" s="2607" t="s">
        <v>3089</v>
      </c>
      <c r="F20" s="448"/>
      <c r="G20" s="2608" t="s">
        <v>3089</v>
      </c>
      <c r="H20" s="448"/>
      <c r="I20" s="2608" t="s">
        <v>3089</v>
      </c>
      <c r="J20" s="448"/>
      <c r="K20" s="615"/>
      <c r="L20" s="1143"/>
      <c r="M20" s="1134"/>
      <c r="N20" s="1134"/>
      <c r="O20" s="1134"/>
      <c r="P20" s="3202"/>
      <c r="Q20" s="1813"/>
      <c r="R20" s="774"/>
      <c r="S20" s="775"/>
      <c r="T20" s="774"/>
      <c r="U20" s="775"/>
      <c r="V20" s="774"/>
      <c r="W20" s="775"/>
      <c r="X20" s="1816"/>
      <c r="Y20" s="3204"/>
      <c r="Z20" s="1817"/>
      <c r="AA20" s="1814">
        <v>1</v>
      </c>
      <c r="AB20" s="1814">
        <v>1</v>
      </c>
      <c r="AC20" s="2677">
        <v>1</v>
      </c>
    </row>
    <row r="21" spans="1:29" ht="28.5">
      <c r="A21" s="428"/>
      <c r="B21" s="633" t="s">
        <v>2687</v>
      </c>
      <c r="C21" s="2678" t="str">
        <f>估价对象房地状况!C8</f>
        <v>估价对象所在区域基础设施七通</v>
      </c>
      <c r="D21" s="450">
        <v>100</v>
      </c>
      <c r="E21" s="2992" t="s">
        <v>3123</v>
      </c>
      <c r="F21" s="455">
        <f>SUMIF(83:83,E22,84:84)-SUMIF(83:83,C22,84:84)+100</f>
        <v>100</v>
      </c>
      <c r="G21" s="2991" t="s">
        <v>3123</v>
      </c>
      <c r="H21" s="450">
        <f>SUMIF(83:83,G22,84:84)-SUMIF(83:83,C22,84:84)+100</f>
        <v>100</v>
      </c>
      <c r="I21" s="2991" t="s">
        <v>3124</v>
      </c>
      <c r="J21" s="450">
        <f>SUMIF(83:83,I22,84:84)-SUMIF(83:83,C22,84:84)+100</f>
        <v>100</v>
      </c>
      <c r="K21" s="614">
        <v>2</v>
      </c>
      <c r="L21" s="1143"/>
      <c r="M21" s="1134"/>
      <c r="N21" s="1134"/>
      <c r="O21" s="1134"/>
      <c r="P21" s="3202"/>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2677">
        <f t="shared" ref="AC21" si="10">D21/J21</f>
        <v>1</v>
      </c>
    </row>
    <row r="22" spans="1:29" ht="15">
      <c r="A22" s="428"/>
      <c r="B22" s="633"/>
      <c r="C22" s="2679" t="s">
        <v>3090</v>
      </c>
      <c r="D22" s="448"/>
      <c r="E22" s="2973" t="s">
        <v>3102</v>
      </c>
      <c r="F22" s="448"/>
      <c r="G22" s="2982" t="s">
        <v>3102</v>
      </c>
      <c r="H22" s="448"/>
      <c r="I22" s="2982" t="s">
        <v>3102</v>
      </c>
      <c r="J22" s="448"/>
      <c r="K22" s="1386"/>
      <c r="L22" s="1143"/>
      <c r="M22" s="1134"/>
      <c r="N22" s="1134"/>
      <c r="O22" s="1134"/>
      <c r="P22" s="3202"/>
      <c r="Q22" s="1813"/>
      <c r="R22" s="774"/>
      <c r="S22" s="775"/>
      <c r="T22" s="774"/>
      <c r="U22" s="775"/>
      <c r="V22" s="774"/>
      <c r="W22" s="775"/>
      <c r="X22" s="1816"/>
      <c r="Y22" s="3204"/>
      <c r="Z22" s="1817"/>
      <c r="AA22" s="1814">
        <v>1</v>
      </c>
      <c r="AB22" s="1814">
        <v>1</v>
      </c>
      <c r="AC22" s="2677">
        <v>1</v>
      </c>
    </row>
    <row r="23" spans="1:29" ht="99.75">
      <c r="A23" s="428"/>
      <c r="B23" s="631" t="s">
        <v>2688</v>
      </c>
      <c r="C23" s="2678" t="str">
        <f>估价对象房地状况!C9</f>
        <v>区域内有晋昌公园，自然环境较好；有昌吉回族自治州技师培训学院，人文环境较好；综合评价环境状况较好</v>
      </c>
      <c r="D23" s="450">
        <v>100</v>
      </c>
      <c r="E23" s="2990" t="s">
        <v>3126</v>
      </c>
      <c r="F23" s="450">
        <f>SUMIF(85:85,E24,86:86)-SUMIF(85:85,C24,86:86)+100</f>
        <v>98</v>
      </c>
      <c r="G23" s="2989" t="s">
        <v>3125</v>
      </c>
      <c r="H23" s="450">
        <f>SUMIF(85:85,G24,86:86)-SUMIF(85:85,C24,86:86)+100</f>
        <v>100</v>
      </c>
      <c r="I23" s="2989" t="s">
        <v>3125</v>
      </c>
      <c r="J23" s="450">
        <f>SUMIF(85:85,I24,86:86)-SUMIF(85:85,C24,86:86)+100</f>
        <v>100</v>
      </c>
      <c r="K23" s="614">
        <v>2</v>
      </c>
      <c r="L23" s="1143"/>
      <c r="M23" s="1134"/>
      <c r="N23" s="1134"/>
      <c r="O23" s="1134"/>
      <c r="P23" s="3202"/>
      <c r="Q23" s="1813" t="str">
        <f>B23</f>
        <v>环境质量</v>
      </c>
      <c r="R23" s="774" t="s">
        <v>17</v>
      </c>
      <c r="S23" s="775">
        <f>F23</f>
        <v>98</v>
      </c>
      <c r="T23" s="774" t="s">
        <v>17</v>
      </c>
      <c r="U23" s="775">
        <f>H23</f>
        <v>100</v>
      </c>
      <c r="V23" s="774" t="s">
        <v>17</v>
      </c>
      <c r="W23" s="775">
        <f>J23</f>
        <v>100</v>
      </c>
      <c r="X23" s="1816"/>
      <c r="Y23" s="3204"/>
      <c r="Z23" s="1817" t="str">
        <f>Q23</f>
        <v>环境质量</v>
      </c>
      <c r="AA23" s="1814">
        <f t="shared" si="3"/>
        <v>1.0204081632653061</v>
      </c>
      <c r="AB23" s="1814">
        <f t="shared" si="4"/>
        <v>1</v>
      </c>
      <c r="AC23" s="2677">
        <f t="shared" si="5"/>
        <v>1</v>
      </c>
    </row>
    <row r="24" spans="1:29" ht="15">
      <c r="A24" s="428"/>
      <c r="B24" s="633"/>
      <c r="C24" s="2614" t="s">
        <v>3089</v>
      </c>
      <c r="D24" s="448"/>
      <c r="E24" s="2607" t="s">
        <v>3088</v>
      </c>
      <c r="F24" s="448"/>
      <c r="G24" s="2608" t="s">
        <v>3089</v>
      </c>
      <c r="H24" s="448"/>
      <c r="I24" s="2608" t="s">
        <v>3089</v>
      </c>
      <c r="J24" s="448"/>
      <c r="K24" s="615"/>
      <c r="L24" s="1143"/>
      <c r="M24" s="1134"/>
      <c r="N24" s="1134"/>
      <c r="O24" s="1134"/>
      <c r="P24" s="3202"/>
      <c r="Q24" s="1813"/>
      <c r="R24" s="774"/>
      <c r="S24" s="775"/>
      <c r="T24" s="774"/>
      <c r="U24" s="775"/>
      <c r="V24" s="774"/>
      <c r="W24" s="775"/>
      <c r="X24" s="1816"/>
      <c r="Y24" s="3204"/>
      <c r="Z24" s="1817"/>
      <c r="AA24" s="1814">
        <v>1</v>
      </c>
      <c r="AB24" s="1814">
        <v>1</v>
      </c>
      <c r="AC24" s="2677">
        <v>1</v>
      </c>
    </row>
    <row r="25" spans="1:29" ht="27">
      <c r="A25" s="404"/>
      <c r="B25" s="631" t="s">
        <v>2689</v>
      </c>
      <c r="C25" s="2993" t="s">
        <v>3127</v>
      </c>
      <c r="D25" s="435">
        <v>100</v>
      </c>
      <c r="E25" s="2994" t="s">
        <v>3128</v>
      </c>
      <c r="F25" s="435">
        <f>SUMIF(87:87,E26,88:88)-SUMIF(87:87,C26,88:88)+100</f>
        <v>100</v>
      </c>
      <c r="G25" s="2993" t="s">
        <v>3129</v>
      </c>
      <c r="H25" s="435">
        <f>SUMIF(87:87,G26,88:88)-SUMIF(87:87,C26,88:88)+100</f>
        <v>100</v>
      </c>
      <c r="I25" s="2994" t="s">
        <v>3127</v>
      </c>
      <c r="J25" s="435">
        <f>SUMIF(87:87,I26,88:88)-SUMIF(87:87,C26,88:88)+100</f>
        <v>100</v>
      </c>
      <c r="K25" s="614">
        <v>2</v>
      </c>
      <c r="L25" s="1143"/>
      <c r="M25" s="1134"/>
      <c r="N25" s="1134"/>
      <c r="O25" s="1134"/>
      <c r="P25" s="3202"/>
      <c r="Q25" s="1813" t="str">
        <f>B25</f>
        <v>毗邻道路的类型与等级</v>
      </c>
      <c r="R25" s="774" t="s">
        <v>17</v>
      </c>
      <c r="S25" s="775">
        <f>F25</f>
        <v>100</v>
      </c>
      <c r="T25" s="774" t="s">
        <v>17</v>
      </c>
      <c r="U25" s="775">
        <f>H25</f>
        <v>100</v>
      </c>
      <c r="V25" s="774" t="s">
        <v>17</v>
      </c>
      <c r="W25" s="775">
        <f>J25</f>
        <v>100</v>
      </c>
      <c r="X25" s="1816"/>
      <c r="Y25" s="3204"/>
      <c r="Z25" s="1817" t="str">
        <f>Q25</f>
        <v>毗邻道路的类型与等级</v>
      </c>
      <c r="AA25" s="1814">
        <f t="shared" si="3"/>
        <v>1</v>
      </c>
      <c r="AB25" s="1814">
        <f t="shared" si="4"/>
        <v>1</v>
      </c>
      <c r="AC25" s="2677">
        <f t="shared" si="5"/>
        <v>1</v>
      </c>
    </row>
    <row r="26" spans="1:29" ht="15">
      <c r="A26" s="404"/>
      <c r="B26" s="632"/>
      <c r="C26" s="634" t="s">
        <v>3104</v>
      </c>
      <c r="D26" s="435"/>
      <c r="E26" s="616" t="s">
        <v>3104</v>
      </c>
      <c r="F26" s="435"/>
      <c r="G26" s="634" t="s">
        <v>3104</v>
      </c>
      <c r="H26" s="435"/>
      <c r="I26" s="616" t="s">
        <v>3104</v>
      </c>
      <c r="J26" s="435"/>
      <c r="K26" s="615"/>
      <c r="L26" s="1143"/>
      <c r="M26" s="1134"/>
      <c r="N26" s="1134"/>
      <c r="O26" s="1134"/>
      <c r="P26" s="3202"/>
      <c r="Q26" s="1813"/>
      <c r="R26" s="774"/>
      <c r="S26" s="775"/>
      <c r="T26" s="774"/>
      <c r="U26" s="775"/>
      <c r="V26" s="774"/>
      <c r="W26" s="775"/>
      <c r="X26" s="1816"/>
      <c r="Y26" s="3204"/>
      <c r="Z26" s="1817"/>
      <c r="AA26" s="1814">
        <v>1</v>
      </c>
      <c r="AB26" s="1814">
        <v>1</v>
      </c>
      <c r="AC26" s="2677">
        <v>1</v>
      </c>
    </row>
    <row r="27" spans="1:29" ht="15.75" thickBot="1">
      <c r="A27" s="428"/>
      <c r="B27" s="632" t="s">
        <v>2657</v>
      </c>
      <c r="C27" s="3001" t="s">
        <v>3144</v>
      </c>
      <c r="D27" s="435">
        <v>100</v>
      </c>
      <c r="E27" s="2976" t="s">
        <v>3144</v>
      </c>
      <c r="F27" s="435">
        <f>SUMIF(89:89,E27,90:90)-SUMIF(89:89,C27,90:90)+100</f>
        <v>100</v>
      </c>
      <c r="G27" s="3001" t="s">
        <v>3144</v>
      </c>
      <c r="H27" s="435">
        <f>SUMIF(89:89,G27,90:90)-SUMIF(89:89,C27,90:90)+100</f>
        <v>100</v>
      </c>
      <c r="I27" s="2976" t="s">
        <v>3144</v>
      </c>
      <c r="J27" s="435">
        <f>SUMIF(89:89,I27,90:90)-SUMIF(89:89,C27,90:90)+100</f>
        <v>100</v>
      </c>
      <c r="K27" s="612"/>
      <c r="L27" s="1143"/>
      <c r="M27" s="1134"/>
      <c r="N27" s="1134"/>
      <c r="O27" s="1134"/>
      <c r="P27" s="3202"/>
      <c r="Q27" s="1813" t="str">
        <f t="shared" ref="Q27:Q47" si="11">B27</f>
        <v>楼层</v>
      </c>
      <c r="R27" s="774" t="s">
        <v>17</v>
      </c>
      <c r="S27" s="775">
        <f>F27</f>
        <v>100</v>
      </c>
      <c r="T27" s="774" t="s">
        <v>17</v>
      </c>
      <c r="U27" s="775">
        <f>H27</f>
        <v>100</v>
      </c>
      <c r="V27" s="774" t="s">
        <v>17</v>
      </c>
      <c r="W27" s="775">
        <f>J27</f>
        <v>100</v>
      </c>
      <c r="X27" s="1816"/>
      <c r="Y27" s="3204"/>
      <c r="Z27" s="1817" t="str">
        <f>Q27</f>
        <v>楼层</v>
      </c>
      <c r="AA27" s="1814">
        <f t="shared" si="3"/>
        <v>1</v>
      </c>
      <c r="AB27" s="1814">
        <f t="shared" si="4"/>
        <v>1</v>
      </c>
      <c r="AC27" s="2677">
        <f t="shared" si="5"/>
        <v>1</v>
      </c>
    </row>
    <row r="28" spans="1:29" s="117" customFormat="1" ht="15" hidden="1">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02"/>
      <c r="Q28" s="1798" t="str">
        <f t="shared" si="11"/>
        <v>朝向</v>
      </c>
      <c r="R28" s="770" t="s">
        <v>17</v>
      </c>
      <c r="S28" s="771">
        <f>F28</f>
        <v>100</v>
      </c>
      <c r="T28" s="770" t="s">
        <v>17</v>
      </c>
      <c r="U28" s="771">
        <f>H28</f>
        <v>100</v>
      </c>
      <c r="V28" s="770" t="s">
        <v>17</v>
      </c>
      <c r="W28" s="771">
        <f>J28</f>
        <v>100</v>
      </c>
      <c r="X28" s="772"/>
      <c r="Y28" s="3204"/>
      <c r="Z28" s="55" t="str">
        <f>Q28</f>
        <v>朝向</v>
      </c>
      <c r="AA28" s="1814">
        <f>D28/F28</f>
        <v>1</v>
      </c>
      <c r="AB28" s="1814">
        <f>D28/H28</f>
        <v>1</v>
      </c>
      <c r="AC28" s="2677">
        <f>D28/J28</f>
        <v>1</v>
      </c>
    </row>
    <row r="29" spans="1:29" ht="15" hidden="1">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02"/>
      <c r="Q29" s="1813">
        <f t="shared" si="11"/>
        <v>111</v>
      </c>
      <c r="R29" s="774" t="s">
        <v>17</v>
      </c>
      <c r="S29" s="775">
        <f t="shared" ref="S29:S47" si="12">F29</f>
        <v>100</v>
      </c>
      <c r="T29" s="774" t="s">
        <v>17</v>
      </c>
      <c r="U29" s="775">
        <f t="shared" ref="U29:U47" si="13">H29</f>
        <v>100</v>
      </c>
      <c r="V29" s="774" t="s">
        <v>17</v>
      </c>
      <c r="W29" s="775">
        <f t="shared" ref="W29:W47" si="14">J29</f>
        <v>100</v>
      </c>
      <c r="X29" s="1816"/>
      <c r="Y29" s="3204"/>
      <c r="Z29" s="1817">
        <f t="shared" ref="Z29:Z47" si="15">Q29</f>
        <v>111</v>
      </c>
      <c r="AA29" s="1814">
        <f t="shared" si="3"/>
        <v>1</v>
      </c>
      <c r="AB29" s="1814">
        <f t="shared" si="4"/>
        <v>1</v>
      </c>
      <c r="AC29" s="2677">
        <f t="shared" si="5"/>
        <v>1</v>
      </c>
    </row>
    <row r="30" spans="1:29" ht="15" hidden="1">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02"/>
      <c r="Q30" s="1813">
        <f t="shared" si="11"/>
        <v>111</v>
      </c>
      <c r="R30" s="774" t="s">
        <v>17</v>
      </c>
      <c r="S30" s="775">
        <f t="shared" si="12"/>
        <v>100</v>
      </c>
      <c r="T30" s="774" t="s">
        <v>17</v>
      </c>
      <c r="U30" s="775">
        <f t="shared" si="13"/>
        <v>100</v>
      </c>
      <c r="V30" s="774" t="s">
        <v>17</v>
      </c>
      <c r="W30" s="775">
        <f t="shared" si="14"/>
        <v>100</v>
      </c>
      <c r="X30" s="1816"/>
      <c r="Y30" s="3204"/>
      <c r="Z30" s="1817">
        <f t="shared" si="15"/>
        <v>111</v>
      </c>
      <c r="AA30" s="1814">
        <f t="shared" si="3"/>
        <v>1</v>
      </c>
      <c r="AB30" s="1814">
        <f t="shared" si="4"/>
        <v>1</v>
      </c>
      <c r="AC30" s="2677">
        <f t="shared" si="5"/>
        <v>1</v>
      </c>
    </row>
    <row r="31" spans="1:29" ht="15" hidden="1">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02"/>
      <c r="Q31" s="1813">
        <f t="shared" si="11"/>
        <v>111</v>
      </c>
      <c r="R31" s="774" t="s">
        <v>17</v>
      </c>
      <c r="S31" s="775">
        <f t="shared" si="12"/>
        <v>100</v>
      </c>
      <c r="T31" s="774" t="s">
        <v>17</v>
      </c>
      <c r="U31" s="775">
        <f t="shared" si="13"/>
        <v>100</v>
      </c>
      <c r="V31" s="774" t="s">
        <v>17</v>
      </c>
      <c r="W31" s="775">
        <f t="shared" si="14"/>
        <v>100</v>
      </c>
      <c r="X31" s="1816"/>
      <c r="Y31" s="3204"/>
      <c r="Z31" s="1817">
        <f t="shared" si="15"/>
        <v>111</v>
      </c>
      <c r="AA31" s="1814">
        <f t="shared" si="3"/>
        <v>1</v>
      </c>
      <c r="AB31" s="1814">
        <f t="shared" si="4"/>
        <v>1</v>
      </c>
      <c r="AC31" s="2677">
        <f t="shared" si="5"/>
        <v>1</v>
      </c>
    </row>
    <row r="32" spans="1:29" ht="15.75" hidden="1"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02"/>
      <c r="Q32" s="1813">
        <f t="shared" si="11"/>
        <v>111</v>
      </c>
      <c r="R32" s="774" t="s">
        <v>17</v>
      </c>
      <c r="S32" s="775">
        <f t="shared" si="12"/>
        <v>100</v>
      </c>
      <c r="T32" s="774" t="s">
        <v>17</v>
      </c>
      <c r="U32" s="775">
        <f t="shared" si="13"/>
        <v>100</v>
      </c>
      <c r="V32" s="774" t="s">
        <v>17</v>
      </c>
      <c r="W32" s="775">
        <f t="shared" si="14"/>
        <v>100</v>
      </c>
      <c r="X32" s="1816"/>
      <c r="Y32" s="3204"/>
      <c r="Z32" s="1817">
        <f t="shared" si="15"/>
        <v>111</v>
      </c>
      <c r="AA32" s="1814">
        <f t="shared" si="3"/>
        <v>1</v>
      </c>
      <c r="AB32" s="1814">
        <f t="shared" si="4"/>
        <v>1</v>
      </c>
      <c r="AC32" s="2677">
        <f t="shared" si="5"/>
        <v>1</v>
      </c>
    </row>
    <row r="33" spans="1:29" ht="15">
      <c r="A33" s="440" t="s">
        <v>2561</v>
      </c>
      <c r="B33" s="71" t="s">
        <v>2691</v>
      </c>
      <c r="C33" s="2984" t="s">
        <v>3108</v>
      </c>
      <c r="D33" s="467">
        <v>100</v>
      </c>
      <c r="E33" s="2984" t="s">
        <v>3108</v>
      </c>
      <c r="F33" s="461">
        <f>SUMIF(101:101,E33,102:102)-SUMIF(101:101,C33,102:102)+100</f>
        <v>100</v>
      </c>
      <c r="G33" s="2984" t="s">
        <v>3108</v>
      </c>
      <c r="H33" s="435">
        <f>SUMIF(101:101,G33,102:102)-SUMIF(101:101,C33,102:102)+100</f>
        <v>100</v>
      </c>
      <c r="I33" s="2984" t="s">
        <v>3108</v>
      </c>
      <c r="J33" s="467">
        <f>SUMIF(101:101,I33,102:102)-SUMIF(101:101,C33,102:102)+100</f>
        <v>100</v>
      </c>
      <c r="K33" s="612"/>
      <c r="L33" s="1143"/>
      <c r="M33" s="1134"/>
      <c r="N33" s="1134"/>
      <c r="O33" s="1134"/>
      <c r="P33" s="3205" t="s">
        <v>2563</v>
      </c>
      <c r="Q33" s="1813" t="str">
        <f t="shared" si="11"/>
        <v>建筑类型</v>
      </c>
      <c r="R33" s="774" t="s">
        <v>17</v>
      </c>
      <c r="S33" s="775">
        <f t="shared" si="12"/>
        <v>100</v>
      </c>
      <c r="T33" s="774" t="s">
        <v>17</v>
      </c>
      <c r="U33" s="775">
        <f t="shared" si="13"/>
        <v>100</v>
      </c>
      <c r="V33" s="774" t="s">
        <v>17</v>
      </c>
      <c r="W33" s="775">
        <f t="shared" si="14"/>
        <v>100</v>
      </c>
      <c r="X33" s="1816"/>
      <c r="Y33" s="3208" t="s">
        <v>2563</v>
      </c>
      <c r="Z33" s="1817" t="str">
        <f t="shared" si="15"/>
        <v>建筑类型</v>
      </c>
      <c r="AA33" s="1814">
        <f t="shared" si="3"/>
        <v>1</v>
      </c>
      <c r="AB33" s="1814">
        <f t="shared" si="4"/>
        <v>1</v>
      </c>
      <c r="AC33" s="2677">
        <f t="shared" si="5"/>
        <v>1</v>
      </c>
    </row>
    <row r="34" spans="1:29" s="471" customFormat="1" ht="15">
      <c r="A34" s="468"/>
      <c r="B34" s="422" t="s">
        <v>2564</v>
      </c>
      <c r="C34" s="469">
        <f>'数据-汇总表'!F20</f>
        <v>2380</v>
      </c>
      <c r="D34" s="136">
        <v>100</v>
      </c>
      <c r="E34" s="430">
        <v>100</v>
      </c>
      <c r="F34" s="425">
        <f>LOOKUP(E34,104:104,105:105)-LOOKUP(C34,104:104,105:105)+100</f>
        <v>108</v>
      </c>
      <c r="G34" s="429">
        <v>100</v>
      </c>
      <c r="H34" s="136">
        <f>LOOKUP(G34,104:104,105:105)-LOOKUP(C34,104:104,105:105)+100</f>
        <v>108</v>
      </c>
      <c r="I34" s="429">
        <v>100</v>
      </c>
      <c r="J34" s="136">
        <f>LOOKUP(I34,104:104,105:105)-LOOKUP(C34,104:104,105:105)+100</f>
        <v>108</v>
      </c>
      <c r="K34" s="613"/>
      <c r="L34" s="1141"/>
      <c r="M34" s="1144"/>
      <c r="N34" s="1144"/>
      <c r="O34" s="1144"/>
      <c r="P34" s="3206"/>
      <c r="Q34" s="776" t="str">
        <f t="shared" si="11"/>
        <v>项目建筑规模</v>
      </c>
      <c r="R34" s="777" t="s">
        <v>17</v>
      </c>
      <c r="S34" s="778">
        <f t="shared" si="12"/>
        <v>108</v>
      </c>
      <c r="T34" s="777" t="s">
        <v>17</v>
      </c>
      <c r="U34" s="778">
        <f t="shared" si="13"/>
        <v>108</v>
      </c>
      <c r="V34" s="777" t="s">
        <v>17</v>
      </c>
      <c r="W34" s="778">
        <f t="shared" si="14"/>
        <v>108</v>
      </c>
      <c r="X34" s="779"/>
      <c r="Y34" s="3208"/>
      <c r="Z34" s="780" t="str">
        <f t="shared" si="15"/>
        <v>项目建筑规模</v>
      </c>
      <c r="AA34" s="1814">
        <f t="shared" si="3"/>
        <v>0.92592592592592593</v>
      </c>
      <c r="AB34" s="1814">
        <f t="shared" si="4"/>
        <v>0.92592592592592593</v>
      </c>
      <c r="AC34" s="2677">
        <f t="shared" si="5"/>
        <v>0.92592592592592593</v>
      </c>
    </row>
    <row r="35" spans="1:29" ht="15">
      <c r="A35" s="472"/>
      <c r="B35" s="422" t="s">
        <v>2565</v>
      </c>
      <c r="C35" s="2985" t="s">
        <v>3109</v>
      </c>
      <c r="D35" s="435">
        <v>100</v>
      </c>
      <c r="E35" s="2985" t="s">
        <v>3109</v>
      </c>
      <c r="F35" s="461">
        <f>SUMIF(106:106,E35,107:107)-SUMIF(106:106,C35,107:107)+100</f>
        <v>100</v>
      </c>
      <c r="G35" s="2985" t="s">
        <v>3109</v>
      </c>
      <c r="H35" s="435">
        <f>SUMIF(106:106,G35,107:107)-SUMIF(106:106,C35,107:107)+100</f>
        <v>100</v>
      </c>
      <c r="I35" s="2985" t="s">
        <v>3109</v>
      </c>
      <c r="J35" s="435">
        <f>SUMIF(106:106,I35,107:107)-SUMIF(106:106,C35,107:107)+100</f>
        <v>100</v>
      </c>
      <c r="K35" s="612"/>
      <c r="L35" s="1143"/>
      <c r="M35" s="1134"/>
      <c r="N35" s="1134"/>
      <c r="O35" s="1134"/>
      <c r="P35" s="3206"/>
      <c r="Q35" s="1813" t="str">
        <f t="shared" si="11"/>
        <v>建筑结构</v>
      </c>
      <c r="R35" s="774" t="s">
        <v>17</v>
      </c>
      <c r="S35" s="775">
        <f t="shared" si="12"/>
        <v>100</v>
      </c>
      <c r="T35" s="774" t="s">
        <v>17</v>
      </c>
      <c r="U35" s="775">
        <f t="shared" si="13"/>
        <v>100</v>
      </c>
      <c r="V35" s="774" t="s">
        <v>17</v>
      </c>
      <c r="W35" s="775">
        <f t="shared" si="14"/>
        <v>100</v>
      </c>
      <c r="X35" s="1816"/>
      <c r="Y35" s="3208"/>
      <c r="Z35" s="1817" t="str">
        <f t="shared" si="15"/>
        <v>建筑结构</v>
      </c>
      <c r="AA35" s="1814">
        <f t="shared" si="3"/>
        <v>1</v>
      </c>
      <c r="AB35" s="1814">
        <f t="shared" si="4"/>
        <v>1</v>
      </c>
      <c r="AC35" s="2677">
        <f t="shared" si="5"/>
        <v>1</v>
      </c>
    </row>
    <row r="36" spans="1:29" ht="15">
      <c r="A36" s="472"/>
      <c r="B36" s="422" t="s">
        <v>2659</v>
      </c>
      <c r="C36" s="2985" t="s">
        <v>3110</v>
      </c>
      <c r="D36" s="435">
        <v>100</v>
      </c>
      <c r="E36" s="2985" t="s">
        <v>3110</v>
      </c>
      <c r="F36" s="461">
        <f>SUMIF(108:108,E36,109:109)-SUMIF(108:108,C36,109:109)+100</f>
        <v>100</v>
      </c>
      <c r="G36" s="2985" t="s">
        <v>3110</v>
      </c>
      <c r="H36" s="435">
        <f>SUMIF(108:108,G36,109:109)-SUMIF(108:108,C36,109:109)+100</f>
        <v>100</v>
      </c>
      <c r="I36" s="2985" t="s">
        <v>3110</v>
      </c>
      <c r="J36" s="435">
        <f>SUMIF(108:108,I36,109:109)-SUMIF(108:108,C36,109:109)+100</f>
        <v>100</v>
      </c>
      <c r="K36" s="612"/>
      <c r="L36" s="1143"/>
      <c r="M36" s="1134"/>
      <c r="N36" s="1134"/>
      <c r="O36" s="1134"/>
      <c r="P36" s="3206"/>
      <c r="Q36" s="1813" t="str">
        <f t="shared" si="11"/>
        <v>公共部分装修</v>
      </c>
      <c r="R36" s="774" t="s">
        <v>17</v>
      </c>
      <c r="S36" s="775">
        <f t="shared" si="12"/>
        <v>100</v>
      </c>
      <c r="T36" s="774" t="s">
        <v>17</v>
      </c>
      <c r="U36" s="775">
        <f t="shared" si="13"/>
        <v>100</v>
      </c>
      <c r="V36" s="774" t="s">
        <v>17</v>
      </c>
      <c r="W36" s="775">
        <f t="shared" si="14"/>
        <v>100</v>
      </c>
      <c r="X36" s="1816"/>
      <c r="Y36" s="3208"/>
      <c r="Z36" s="1817" t="str">
        <f t="shared" si="15"/>
        <v>公共部分装修</v>
      </c>
      <c r="AA36" s="1814">
        <f t="shared" si="3"/>
        <v>1</v>
      </c>
      <c r="AB36" s="1814">
        <f t="shared" si="4"/>
        <v>1</v>
      </c>
      <c r="AC36" s="2677">
        <f t="shared" si="5"/>
        <v>1</v>
      </c>
    </row>
    <row r="37" spans="1:29" ht="15">
      <c r="A37" s="472"/>
      <c r="B37" s="422" t="s">
        <v>2660</v>
      </c>
      <c r="C37" s="474">
        <v>0.98</v>
      </c>
      <c r="D37" s="435">
        <v>100</v>
      </c>
      <c r="E37" s="474">
        <v>0.98</v>
      </c>
      <c r="F37" s="461">
        <f>LOOKUP(E37,111:111,112:112)-LOOKUP(C37,111:111,112:112)+100</f>
        <v>100</v>
      </c>
      <c r="G37" s="474">
        <v>1</v>
      </c>
      <c r="H37" s="461">
        <f>LOOKUP(G37,111:111,112:112)-LOOKUP(C37,111:111,112:112)+100</f>
        <v>100</v>
      </c>
      <c r="I37" s="474">
        <v>0.98</v>
      </c>
      <c r="J37" s="435">
        <f>LOOKUP(I37,111:111,112:112)-LOOKUP(C37,111:111,112:112)+100</f>
        <v>100</v>
      </c>
      <c r="K37" s="612"/>
      <c r="L37" s="1143"/>
      <c r="M37" s="1134"/>
      <c r="N37" s="1134"/>
      <c r="O37" s="1134"/>
      <c r="P37" s="3206"/>
      <c r="Q37" s="1813" t="str">
        <f t="shared" si="11"/>
        <v>成新度</v>
      </c>
      <c r="R37" s="774" t="s">
        <v>17</v>
      </c>
      <c r="S37" s="775">
        <f t="shared" si="12"/>
        <v>100</v>
      </c>
      <c r="T37" s="774" t="s">
        <v>17</v>
      </c>
      <c r="U37" s="775">
        <f t="shared" si="13"/>
        <v>100</v>
      </c>
      <c r="V37" s="774" t="s">
        <v>17</v>
      </c>
      <c r="W37" s="775">
        <f t="shared" si="14"/>
        <v>100</v>
      </c>
      <c r="X37" s="1816"/>
      <c r="Y37" s="3208"/>
      <c r="Z37" s="1817" t="str">
        <f t="shared" si="15"/>
        <v>成新度</v>
      </c>
      <c r="AA37" s="1814">
        <f t="shared" si="3"/>
        <v>1</v>
      </c>
      <c r="AB37" s="1814">
        <f t="shared" si="4"/>
        <v>1</v>
      </c>
      <c r="AC37" s="2677">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6"/>
      <c r="Q38" s="1798"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6" t="s">
        <v>2563</v>
      </c>
      <c r="Q39" s="1813" t="str">
        <f t="shared" si="11"/>
        <v>物业管理</v>
      </c>
      <c r="R39" s="774" t="s">
        <v>17</v>
      </c>
      <c r="S39" s="775">
        <f t="shared" si="12"/>
        <v>100</v>
      </c>
      <c r="T39" s="774" t="s">
        <v>17</v>
      </c>
      <c r="U39" s="775">
        <f t="shared" si="13"/>
        <v>100</v>
      </c>
      <c r="V39" s="774" t="s">
        <v>17</v>
      </c>
      <c r="W39" s="775">
        <f t="shared" si="14"/>
        <v>100</v>
      </c>
      <c r="X39" s="1816"/>
      <c r="Y39" s="3208" t="s">
        <v>2563</v>
      </c>
      <c r="Z39" s="1817" t="str">
        <f t="shared" si="15"/>
        <v>物业管理</v>
      </c>
      <c r="AA39" s="1814">
        <f t="shared" si="3"/>
        <v>1</v>
      </c>
      <c r="AB39" s="1814">
        <f t="shared" si="4"/>
        <v>1</v>
      </c>
      <c r="AC39" s="2677">
        <f t="shared" si="5"/>
        <v>1</v>
      </c>
    </row>
    <row r="40" spans="1:29" ht="15">
      <c r="A40" s="472"/>
      <c r="B40" s="422" t="s">
        <v>2661</v>
      </c>
      <c r="C40" s="2985" t="s">
        <v>3111</v>
      </c>
      <c r="D40" s="435">
        <v>100</v>
      </c>
      <c r="E40" s="2985" t="s">
        <v>3111</v>
      </c>
      <c r="F40" s="461">
        <f>SUMIF(117:117,E40,118:118)-SUMIF(117:117,C40,118:118)+100</f>
        <v>100</v>
      </c>
      <c r="G40" s="2985" t="s">
        <v>3111</v>
      </c>
      <c r="H40" s="435">
        <f>SUMIF(117:117,G40,118:118)-SUMIF(117:117,C40,118:118)+100</f>
        <v>100</v>
      </c>
      <c r="I40" s="2985" t="s">
        <v>3111</v>
      </c>
      <c r="J40" s="435">
        <f>SUMIF(117:117,I40,118:118)-SUMIF(117:117,C40,118:118)+100</f>
        <v>100</v>
      </c>
      <c r="K40" s="612"/>
      <c r="L40" s="1143"/>
      <c r="M40" s="1134"/>
      <c r="N40" s="1134"/>
      <c r="O40" s="1134"/>
      <c r="P40" s="3206"/>
      <c r="Q40" s="1813" t="str">
        <f t="shared" si="11"/>
        <v>市政基础设施</v>
      </c>
      <c r="R40" s="774" t="s">
        <v>17</v>
      </c>
      <c r="S40" s="775">
        <f t="shared" si="12"/>
        <v>100</v>
      </c>
      <c r="T40" s="774" t="s">
        <v>17</v>
      </c>
      <c r="U40" s="775">
        <f t="shared" si="13"/>
        <v>100</v>
      </c>
      <c r="V40" s="774" t="s">
        <v>17</v>
      </c>
      <c r="W40" s="775">
        <f t="shared" si="14"/>
        <v>100</v>
      </c>
      <c r="X40" s="1816"/>
      <c r="Y40" s="3208"/>
      <c r="Z40" s="1817" t="str">
        <f t="shared" si="15"/>
        <v>市政基础设施</v>
      </c>
      <c r="AA40" s="1814">
        <f t="shared" si="3"/>
        <v>1</v>
      </c>
      <c r="AB40" s="1814">
        <f t="shared" si="4"/>
        <v>1</v>
      </c>
      <c r="AC40" s="2677">
        <f t="shared" si="5"/>
        <v>1</v>
      </c>
    </row>
    <row r="41" spans="1:29" ht="15">
      <c r="A41" s="472"/>
      <c r="B41" s="422" t="s">
        <v>2663</v>
      </c>
      <c r="C41" s="616">
        <v>4.2</v>
      </c>
      <c r="D41" s="435">
        <v>100</v>
      </c>
      <c r="E41" s="616">
        <v>4.2</v>
      </c>
      <c r="F41" s="461">
        <f>SUMIF(119:119,E41,120:120)-SUMIF(119:119,C41,120:120)+100</f>
        <v>100</v>
      </c>
      <c r="G41" s="616">
        <v>4.2</v>
      </c>
      <c r="H41" s="435">
        <f>SUMIF(119:119,G41,120:120)-SUMIF(119:119,C41,120:120)+100</f>
        <v>100</v>
      </c>
      <c r="I41" s="616">
        <v>4.2</v>
      </c>
      <c r="J41" s="435">
        <f>SUMIF(119:119,I41,120:120)-SUMIF(119:119,C41,120:120)+100</f>
        <v>100</v>
      </c>
      <c r="K41" s="612"/>
      <c r="L41" s="1143"/>
      <c r="M41" s="1134"/>
      <c r="N41" s="1134"/>
      <c r="O41" s="1134"/>
      <c r="P41" s="3206"/>
      <c r="Q41" s="1813" t="str">
        <f t="shared" si="11"/>
        <v>层高</v>
      </c>
      <c r="R41" s="774" t="s">
        <v>17</v>
      </c>
      <c r="S41" s="775">
        <f t="shared" si="12"/>
        <v>100</v>
      </c>
      <c r="T41" s="774" t="s">
        <v>17</v>
      </c>
      <c r="U41" s="775">
        <f t="shared" si="13"/>
        <v>100</v>
      </c>
      <c r="V41" s="774" t="s">
        <v>17</v>
      </c>
      <c r="W41" s="775">
        <f t="shared" si="14"/>
        <v>100</v>
      </c>
      <c r="X41" s="1816"/>
      <c r="Y41" s="3208"/>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4">
        <f t="shared" si="3"/>
        <v>1</v>
      </c>
      <c r="AB42" s="1814">
        <f t="shared" si="4"/>
        <v>1</v>
      </c>
      <c r="AC42" s="2677">
        <f t="shared" si="5"/>
        <v>1</v>
      </c>
    </row>
    <row r="43" spans="1:29" ht="15">
      <c r="A43" s="472"/>
      <c r="B43" s="422" t="s">
        <v>2666</v>
      </c>
      <c r="C43" s="2985" t="s">
        <v>3112</v>
      </c>
      <c r="D43" s="435">
        <v>100</v>
      </c>
      <c r="E43" s="2985" t="s">
        <v>3112</v>
      </c>
      <c r="F43" s="461">
        <f>SUMIF(123:123,E43,124:124)-SUMIF(123:123,C43,124:124)+100</f>
        <v>100</v>
      </c>
      <c r="G43" s="2985" t="s">
        <v>3112</v>
      </c>
      <c r="H43" s="435">
        <f>SUMIF(123:123,G43,124:124)-SUMIF(123:123,C43,124:124)+100</f>
        <v>100</v>
      </c>
      <c r="I43" s="2985" t="s">
        <v>3112</v>
      </c>
      <c r="J43" s="435">
        <f>SUMIF(123:123,I43,124:124)-SUMIF(123:123,C43,124:124)+100</f>
        <v>100</v>
      </c>
      <c r="K43" s="612"/>
      <c r="L43" s="1143"/>
      <c r="M43" s="1134"/>
      <c r="N43" s="1134"/>
      <c r="O43" s="1134"/>
      <c r="P43" s="3206"/>
      <c r="Q43" s="1813" t="str">
        <f t="shared" si="11"/>
        <v>内部装修</v>
      </c>
      <c r="R43" s="774" t="s">
        <v>17</v>
      </c>
      <c r="S43" s="775">
        <f t="shared" si="12"/>
        <v>100</v>
      </c>
      <c r="T43" s="774" t="s">
        <v>17</v>
      </c>
      <c r="U43" s="775">
        <f t="shared" si="13"/>
        <v>100</v>
      </c>
      <c r="V43" s="774" t="s">
        <v>17</v>
      </c>
      <c r="W43" s="775">
        <f t="shared" si="14"/>
        <v>100</v>
      </c>
      <c r="X43" s="1816"/>
      <c r="Y43" s="3208"/>
      <c r="Z43" s="1817" t="str">
        <f t="shared" si="15"/>
        <v>内部装修</v>
      </c>
      <c r="AA43" s="1814">
        <f t="shared" si="3"/>
        <v>1</v>
      </c>
      <c r="AB43" s="1814">
        <f t="shared" si="4"/>
        <v>1</v>
      </c>
      <c r="AC43" s="2677">
        <f t="shared" si="5"/>
        <v>1</v>
      </c>
    </row>
    <row r="44" spans="1:29" ht="15">
      <c r="A44" s="472"/>
      <c r="B44" s="422" t="s">
        <v>2574</v>
      </c>
      <c r="C44" s="2985" t="s">
        <v>3113</v>
      </c>
      <c r="D44" s="435">
        <v>100</v>
      </c>
      <c r="E44" s="2980" t="s">
        <v>3113</v>
      </c>
      <c r="F44" s="461">
        <f>SUMIF(125:125,E44,126:126)-SUMIF(125:125,C44,126:126)+100</f>
        <v>100</v>
      </c>
      <c r="G44" s="2980" t="s">
        <v>3113</v>
      </c>
      <c r="H44" s="435">
        <f>SUMIF(125:125,G44,126:126)-SUMIF(125:125,C44,126:126)+100</f>
        <v>100</v>
      </c>
      <c r="I44" s="2980" t="s">
        <v>3113</v>
      </c>
      <c r="J44" s="435">
        <f>SUMIF(125:125,I44,126:126)-SUMIF(125:125,C44,126:126)+100</f>
        <v>100</v>
      </c>
      <c r="K44" s="612"/>
      <c r="L44" s="1143"/>
      <c r="M44" s="1134"/>
      <c r="N44" s="1134"/>
      <c r="O44" s="1134"/>
      <c r="P44" s="3206"/>
      <c r="Q44" s="1813" t="str">
        <f t="shared" si="11"/>
        <v>内部装修维护情况</v>
      </c>
      <c r="R44" s="774" t="s">
        <v>17</v>
      </c>
      <c r="S44" s="775">
        <f t="shared" si="12"/>
        <v>100</v>
      </c>
      <c r="T44" s="774" t="s">
        <v>17</v>
      </c>
      <c r="U44" s="775">
        <f t="shared" si="13"/>
        <v>100</v>
      </c>
      <c r="V44" s="774" t="s">
        <v>17</v>
      </c>
      <c r="W44" s="775">
        <f t="shared" si="14"/>
        <v>100</v>
      </c>
      <c r="X44" s="1816"/>
      <c r="Y44" s="3208"/>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6"/>
      <c r="Q45" s="1798">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7"/>
      <c r="Q47" s="1813">
        <f t="shared" si="11"/>
        <v>111</v>
      </c>
      <c r="R47" s="774" t="s">
        <v>17</v>
      </c>
      <c r="S47" s="775">
        <f t="shared" si="12"/>
        <v>100</v>
      </c>
      <c r="T47" s="774" t="s">
        <v>17</v>
      </c>
      <c r="U47" s="775">
        <f t="shared" si="13"/>
        <v>100</v>
      </c>
      <c r="V47" s="774" t="s">
        <v>17</v>
      </c>
      <c r="W47" s="775">
        <f t="shared" si="14"/>
        <v>100</v>
      </c>
      <c r="X47" s="1816"/>
      <c r="Y47" s="3209"/>
      <c r="Z47" s="1817">
        <f t="shared" si="15"/>
        <v>111</v>
      </c>
      <c r="AA47" s="1814">
        <f t="shared" si="3"/>
        <v>1</v>
      </c>
      <c r="AB47" s="1814">
        <f t="shared" si="4"/>
        <v>1</v>
      </c>
      <c r="AC47" s="2677">
        <f t="shared" si="5"/>
        <v>1</v>
      </c>
    </row>
    <row r="48" spans="1:29" ht="15">
      <c r="A48" s="479" t="s">
        <v>2575</v>
      </c>
      <c r="B48" s="480"/>
      <c r="C48" s="1410" t="s">
        <v>1</v>
      </c>
      <c r="D48" s="1411"/>
      <c r="E48" s="1412">
        <v>8000</v>
      </c>
      <c r="F48" s="1413"/>
      <c r="G48" s="1414">
        <v>8800</v>
      </c>
      <c r="H48" s="1415"/>
      <c r="I48" s="1412">
        <v>8500</v>
      </c>
      <c r="J48" s="485"/>
      <c r="K48" s="783"/>
      <c r="L48" s="1146"/>
      <c r="M48" s="1134"/>
      <c r="N48" s="1134"/>
      <c r="O48" s="1134"/>
      <c r="P48" s="3211" t="str">
        <f>A48</f>
        <v>成交单价（元/平方米）</v>
      </c>
      <c r="Q48" s="3196"/>
      <c r="R48" s="3197">
        <f>E48</f>
        <v>8000</v>
      </c>
      <c r="S48" s="3197"/>
      <c r="T48" s="3197">
        <f>G48</f>
        <v>8800</v>
      </c>
      <c r="U48" s="3197"/>
      <c r="V48" s="3197">
        <f>I48</f>
        <v>8500</v>
      </c>
      <c r="W48" s="3197"/>
      <c r="X48" s="446"/>
      <c r="Y48" s="781"/>
      <c r="Z48" s="446"/>
      <c r="AA48" s="446"/>
      <c r="AB48" s="446"/>
      <c r="AC48" s="630"/>
    </row>
    <row r="49" spans="1:29" ht="15.75" thickBot="1">
      <c r="A49" s="486" t="s">
        <v>2667</v>
      </c>
      <c r="B49" s="487"/>
      <c r="C49" s="1416">
        <f>R50</f>
        <v>7914</v>
      </c>
      <c r="D49" s="1417"/>
      <c r="E49" s="1418">
        <f>R49</f>
        <v>7559</v>
      </c>
      <c r="F49" s="1418"/>
      <c r="G49" s="1416">
        <f>T49</f>
        <v>8314</v>
      </c>
      <c r="H49" s="1417"/>
      <c r="I49" s="1418">
        <f>V49</f>
        <v>7870</v>
      </c>
      <c r="J49" s="489"/>
      <c r="K49" s="784"/>
      <c r="L49" s="1146"/>
      <c r="M49" s="1134"/>
      <c r="N49" s="1134"/>
      <c r="O49" s="1134"/>
      <c r="P49" s="3211" t="str">
        <f>A49</f>
        <v>比较价值（元/平方米）</v>
      </c>
      <c r="Q49" s="3196"/>
      <c r="R49" s="3197">
        <f>IF(F1="售价",ROUND(PRODUCT(R48,AA7:AA47),0),ROUND(PRODUCT(R48,AA7:AA47),1))</f>
        <v>7559</v>
      </c>
      <c r="S49" s="3197"/>
      <c r="T49" s="3197">
        <f>IF(F1="售价",ROUND(PRODUCT(T48,AB7:AB47),0),ROUND(PRODUCT(T48,AB7:AB47),1))</f>
        <v>8314</v>
      </c>
      <c r="U49" s="3197"/>
      <c r="V49" s="3197">
        <f>IF(F1="售价",ROUND(PRODUCT(V48,AC7:AC47),0),ROUND(PRODUCT(V48,AC7:AC47),1))</f>
        <v>7870</v>
      </c>
      <c r="W49" s="3197"/>
      <c r="X49" s="446"/>
      <c r="Y49" s="446"/>
      <c r="Z49" s="446"/>
      <c r="AA49" s="446"/>
      <c r="AB49" s="446"/>
      <c r="AC49" s="630"/>
    </row>
    <row r="50" spans="1:29" ht="15.75" thickBot="1">
      <c r="A50" s="492" t="s">
        <v>2668</v>
      </c>
      <c r="B50" s="493"/>
      <c r="C50" s="1420">
        <f>R50</f>
        <v>7914</v>
      </c>
      <c r="D50" s="1420"/>
      <c r="E50" s="1420"/>
      <c r="F50" s="1420"/>
      <c r="G50" s="1420"/>
      <c r="H50" s="1420"/>
      <c r="I50" s="1420"/>
      <c r="J50" s="494"/>
      <c r="K50" s="785"/>
      <c r="L50" s="1146"/>
      <c r="M50" s="1134"/>
      <c r="N50" s="1134"/>
      <c r="O50" s="1134"/>
      <c r="P50" s="3266" t="str">
        <f>A50</f>
        <v>估价对象XX用房的比较价值（楼面单价，元/平方米）</v>
      </c>
      <c r="Q50" s="3267"/>
      <c r="R50" s="3268">
        <f>IF(F1="售价",ROUND(AVERAGE(R49:V49),0),ROUND(AVERAGE(R49:V49),1))</f>
        <v>7914</v>
      </c>
      <c r="S50" s="3268"/>
      <c r="T50" s="3268"/>
      <c r="U50" s="3268"/>
      <c r="V50" s="3268"/>
      <c r="W50" s="326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5.8341050403492467E-2</v>
      </c>
      <c r="F53" s="500" t="str">
        <f>IF(OR(E53&gt;=0.3,E53&lt;=-0.3),"超过30%","")</f>
        <v/>
      </c>
      <c r="G53" s="499">
        <f>IF(G48&lt;G49,G49/G48-1,G48/G49-1)</f>
        <v>5.8455617031513141E-2</v>
      </c>
      <c r="H53" s="500" t="str">
        <f>IF(OR(G53&gt;=0.3,G53&lt;=-0.3),"超过30%","")</f>
        <v/>
      </c>
      <c r="I53" s="499">
        <f>IF(I48&lt;I49,I49/I48-1,I48/I49-1)</f>
        <v>8.0050825921219815E-2</v>
      </c>
      <c r="J53" s="500" t="str">
        <f>IF(OR(I53&gt;=0.3,I53&lt;=-0.3),"超过30%","")</f>
        <v/>
      </c>
      <c r="K53" s="1108"/>
      <c r="L53" s="1109"/>
      <c r="M53" s="1147"/>
      <c r="N53" s="1147"/>
      <c r="O53" s="1147"/>
    </row>
    <row r="54" spans="1:29" ht="13.5" customHeight="1">
      <c r="A54" s="1147"/>
      <c r="B54" s="1147"/>
      <c r="C54" s="497" t="s">
        <v>2670</v>
      </c>
      <c r="D54" s="501"/>
      <c r="E54" s="499">
        <f>IF(E49&lt;G49,G49/E49-1,E49/G49-1)</f>
        <v>9.988093663182962E-2</v>
      </c>
      <c r="F54" s="500" t="str">
        <f>IF(OR(E54&gt;=0.2,E54&lt;=-0.2),"超过20%","")</f>
        <v/>
      </c>
      <c r="G54" s="499">
        <f>IF(G49&lt;I49,I49/G49-1,G49/I49-1)</f>
        <v>5.641677255400257E-2</v>
      </c>
      <c r="H54" s="500" t="str">
        <f>IF(OR(G54&gt;=0.2,G54&lt;=-0.2),"超过20%","")</f>
        <v/>
      </c>
      <c r="I54" s="499">
        <f>IF(I49&lt;E49,E49/I49-1,I49/E49-1)</f>
        <v>4.1143008334435738E-2</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0.10000000000000009</v>
      </c>
      <c r="F55" s="500" t="str">
        <f>IF(OR(E55&gt;=0.3,E55&lt;=-0.3),"超过30%","")</f>
        <v/>
      </c>
      <c r="G55" s="499">
        <f>IF(G48&lt;I48,I48/G48-1,G48/I48-1)</f>
        <v>3.529411764705892E-2</v>
      </c>
      <c r="H55" s="500" t="str">
        <f>IF(OR(G55&gt;=0.3,G55&lt;=-0.3),"超过30%","")</f>
        <v/>
      </c>
      <c r="I55" s="499">
        <f>IF(I48&lt;E48,E48/I48-1,I48/E48-1)</f>
        <v>6.25E-2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4"/>
      <c r="Q58" s="504"/>
    </row>
    <row r="59" spans="1:29" s="508" customFormat="1" ht="15">
      <c r="A59" s="505" t="s">
        <v>2546</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2586</v>
      </c>
      <c r="B64" s="528" t="s">
        <v>2552</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v>1</v>
      </c>
      <c r="E69" s="549">
        <v>2</v>
      </c>
      <c r="F69" s="549">
        <v>3</v>
      </c>
      <c r="G69" s="549">
        <v>4</v>
      </c>
      <c r="H69" s="549">
        <v>5</v>
      </c>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7"/>
      <c r="Q86" s="504"/>
    </row>
    <row r="87" spans="1:17" s="117" customFormat="1" ht="27.75" thickTop="1">
      <c r="A87" s="579"/>
      <c r="B87" s="538" t="s">
        <v>2697</v>
      </c>
      <c r="C87" s="2983" t="s">
        <v>3103</v>
      </c>
      <c r="D87" s="2983" t="s">
        <v>3105</v>
      </c>
      <c r="E87" s="2983" t="s">
        <v>3106</v>
      </c>
      <c r="F87" s="2983" t="s">
        <v>3107</v>
      </c>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2561</v>
      </c>
      <c r="B101" s="528" t="s">
        <v>2610</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29.25" thickTop="1">
      <c r="A103" s="534"/>
      <c r="B103" s="538" t="s">
        <v>2611</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7"/>
      <c r="O104" s="1157"/>
      <c r="P104" s="2688"/>
      <c r="Q104" s="559"/>
    </row>
    <row r="105" spans="1:17" s="471" customFormat="1" ht="15.75" thickBot="1">
      <c r="A105" s="553"/>
      <c r="B105" s="543"/>
      <c r="C105" s="560">
        <v>100</v>
      </c>
      <c r="D105" s="536">
        <v>98</v>
      </c>
      <c r="E105" s="536">
        <v>96</v>
      </c>
      <c r="F105" s="536">
        <v>94</v>
      </c>
      <c r="G105" s="536">
        <v>92</v>
      </c>
      <c r="H105" s="536">
        <v>90</v>
      </c>
      <c r="I105" s="536">
        <v>88</v>
      </c>
      <c r="J105" s="536">
        <v>86</v>
      </c>
      <c r="K105" s="536">
        <v>84</v>
      </c>
      <c r="L105" s="536">
        <v>82</v>
      </c>
      <c r="M105" s="537">
        <v>80</v>
      </c>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新华人寿保险股份有限公司新疆分公司：</v>
      </c>
    </row>
    <row r="4" spans="1:1" ht="36">
      <c r="A4" s="1951" t="str">
        <f>"受贵公司委托，我公司对"&amp;项目基本情况!S1&amp;"进行了预评估。"</f>
        <v>受贵公司委托，我公司对新疆省昌吉市延安南路46号小区房地产市场价值进行了预评估。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省昌吉市延安南路46号小区房地产，为新疆恒景房地产开发有限公司所有。根据《国有土地使用证》[昌市国用（2016）第20160073号]、《房产面积测量成果报告》[海清房产测绘（2017-08）第预测变更001号]，估价对象（分摊）出让国有建设用地使用权面积为698.38平方米，建筑面积为2729.87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省昌吉市延安南路46号小区房地产,属新疆恒景房地产开发有限公司开发建设的，该项目尚在开发建设中。根据《国有土地使用证》[昌市国用（2016）第20160073号]、《房产面积测量成果报告》[海清房产测绘（2017-08）第预测变更001号]，估价对象（分摊）出让国有建设用地使用权面积为698.38平方米，规划建筑面积为2729.87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2018年4月24日（评估专业人员实地查勘之日）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K43" sqref="K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3077</v>
      </c>
      <c r="D1" s="1823" t="s">
        <v>70</v>
      </c>
      <c r="E1" s="1824" t="s">
        <v>1387</v>
      </c>
      <c r="F1" s="1286">
        <f ca="1">J53</f>
        <v>33.25</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ROUND(D2/10000,0)</f>
        <v>-309</v>
      </c>
      <c r="C2" s="1848" t="s">
        <v>1516</v>
      </c>
      <c r="D2" s="1941">
        <f ca="1">C40+J29+L46</f>
        <v>-3085371</v>
      </c>
      <c r="E2" s="1849" t="s">
        <v>1592</v>
      </c>
      <c r="F2" s="1850"/>
      <c r="G2" s="1851"/>
      <c r="H2" s="1843"/>
      <c r="I2" s="1843"/>
      <c r="J2" s="1843"/>
      <c r="K2" s="1844"/>
      <c r="L2" s="1843"/>
      <c r="M2" s="1843"/>
    </row>
    <row r="3" spans="1:37" ht="18" customHeight="1" thickBot="1">
      <c r="A3" s="1852" t="s">
        <v>1517</v>
      </c>
      <c r="B3" s="1853">
        <f ca="1">IF(ISERROR(D2/F43),0,ROUND(D2/F43,0))</f>
        <v>-1296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93" t="s">
        <v>1403</v>
      </c>
      <c r="C6" s="1299">
        <f ca="1">ROUND(F6*F8*F7*(1-F9),0)</f>
        <v>0</v>
      </c>
      <c r="D6" s="164" t="s">
        <v>3027</v>
      </c>
      <c r="E6" s="347" t="s">
        <v>1405</v>
      </c>
      <c r="F6" s="348">
        <f ca="1">INDIRECT("'数据-取费表'!u"&amp;$G$1)</f>
        <v>0</v>
      </c>
      <c r="G6" s="1854"/>
      <c r="H6" s="1294" t="s">
        <v>1035</v>
      </c>
      <c r="I6" s="3193" t="s">
        <v>1403</v>
      </c>
      <c r="J6" s="346">
        <f ca="1">ROUND(M6*M8*M7*(1-M9),0)</f>
        <v>0</v>
      </c>
      <c r="K6" s="1837" t="s">
        <v>3028</v>
      </c>
      <c r="L6" s="347" t="s">
        <v>1405</v>
      </c>
      <c r="M6" s="348">
        <f ca="1">INDIRECT("'数据-取费表'!z"&amp;$G$1)</f>
        <v>0</v>
      </c>
    </row>
    <row r="7" spans="1:37" ht="18" customHeight="1">
      <c r="A7" s="1298"/>
      <c r="B7" s="3194"/>
      <c r="C7" s="1300"/>
      <c r="D7" s="352"/>
      <c r="E7" s="2951" t="s">
        <v>1406</v>
      </c>
      <c r="F7" s="348">
        <f ca="1">IF(INDIRECT("'数据-取费表'!ah"&amp;$G$1)="",INDIRECT("'数据-取费表'!k"&amp;$G$1),INDIRECT("'数据-取费表'!ah"&amp;$G$1))</f>
        <v>2380</v>
      </c>
      <c r="G7" s="1854"/>
      <c r="H7" s="349"/>
      <c r="I7" s="3194"/>
      <c r="J7" s="351"/>
      <c r="K7" s="352"/>
      <c r="L7" s="347" t="s">
        <v>1406</v>
      </c>
      <c r="M7" s="348">
        <f ca="1">F7</f>
        <v>2380</v>
      </c>
    </row>
    <row r="8" spans="1:37" ht="18" customHeight="1">
      <c r="A8" s="349"/>
      <c r="B8" s="3194"/>
      <c r="C8" s="351"/>
      <c r="D8" s="352"/>
      <c r="E8" s="347" t="s">
        <v>1407</v>
      </c>
      <c r="F8" s="348">
        <f ca="1">INDIRECT("'数据-取费表'!ai"&amp;$G$1)</f>
        <v>365</v>
      </c>
      <c r="G8" s="1854"/>
      <c r="H8" s="349"/>
      <c r="I8" s="3194"/>
      <c r="J8" s="351"/>
      <c r="K8" s="352"/>
      <c r="L8" s="347" t="s">
        <v>1407</v>
      </c>
      <c r="M8" s="348">
        <f ca="1">INDIRECT("'数据-取费表'!ai"&amp;$G$1)</f>
        <v>365</v>
      </c>
    </row>
    <row r="9" spans="1:37" ht="18" customHeight="1">
      <c r="A9" s="349"/>
      <c r="B9" s="3195"/>
      <c r="C9" s="351"/>
      <c r="D9" s="352"/>
      <c r="E9" s="347" t="s">
        <v>1408</v>
      </c>
      <c r="F9" s="357">
        <f ca="1">INDIRECT("'数据-取费表'!w"&amp;$G$1)</f>
        <v>0.1</v>
      </c>
      <c r="G9" s="1854"/>
      <c r="H9" s="349"/>
      <c r="I9" s="319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3038</v>
      </c>
      <c r="E10" s="358" t="s">
        <v>1410</v>
      </c>
      <c r="F10" s="1369" t="s">
        <v>3070</v>
      </c>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9488475</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6188000</v>
      </c>
      <c r="D14" s="2960" t="s">
        <v>1418</v>
      </c>
      <c r="E14" s="2959"/>
      <c r="F14" s="364"/>
      <c r="G14" s="1854"/>
      <c r="H14" s="1204" t="s">
        <v>1035</v>
      </c>
      <c r="I14" s="347" t="s">
        <v>1419</v>
      </c>
      <c r="J14" s="24">
        <f ca="1">C29</f>
        <v>9488475</v>
      </c>
      <c r="K14" s="2950"/>
      <c r="L14" s="982"/>
      <c r="M14" s="983"/>
    </row>
    <row r="15" spans="1:37" s="1861" customFormat="1" ht="18" customHeight="1" thickBot="1">
      <c r="A15" s="1204" t="s">
        <v>1036</v>
      </c>
      <c r="B15" s="347" t="s">
        <v>1420</v>
      </c>
      <c r="C15" s="24">
        <f ca="1">ROUND(C14*F15,0)</f>
        <v>185640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228728</v>
      </c>
      <c r="K16" s="1340" t="s">
        <v>1425</v>
      </c>
      <c r="L16" s="2963"/>
      <c r="M16" s="1297"/>
    </row>
    <row r="17" spans="1:37" s="1861" customFormat="1" ht="18" customHeight="1">
      <c r="A17" s="1204" t="s">
        <v>1390</v>
      </c>
      <c r="B17" s="347" t="s">
        <v>1426</v>
      </c>
      <c r="C17" s="24">
        <f ca="1">ROUND(F17*(F43+INDIRECT("'数据-取费表'!S"&amp;$G$1)),0)</f>
        <v>476000</v>
      </c>
      <c r="D17" s="347" t="s">
        <v>1427</v>
      </c>
      <c r="E17" s="347" t="s">
        <v>1428</v>
      </c>
      <c r="F17" s="26">
        <f>'数据-取费表'!B35</f>
        <v>200</v>
      </c>
      <c r="G17" s="1857"/>
      <c r="H17" s="1204" t="s">
        <v>1035</v>
      </c>
      <c r="I17" s="347" t="s">
        <v>1429</v>
      </c>
      <c r="J17" s="24">
        <f ca="1">ROUND(IF(项目基本情况!B11="自然人",J5*M17,J18+J19+J20),0)</f>
        <v>86401</v>
      </c>
      <c r="K17" s="2960" t="s">
        <v>1430</v>
      </c>
      <c r="L17" s="296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92820</v>
      </c>
      <c r="D18" s="347" t="s">
        <v>1421</v>
      </c>
      <c r="E18" s="347" t="s">
        <v>1422</v>
      </c>
      <c r="F18" s="367">
        <f>'数据-取费表'!B36</f>
        <v>1.4999999999999999E-2</v>
      </c>
      <c r="G18" s="1857"/>
      <c r="H18" s="1204" t="s">
        <v>1034</v>
      </c>
      <c r="I18" s="347" t="s">
        <v>1433</v>
      </c>
      <c r="J18" s="24">
        <f ca="1">ROUND(J5*M18/(1+'数据-取费表'!C42),0)</f>
        <v>0</v>
      </c>
      <c r="K18" s="296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6942460</v>
      </c>
      <c r="D19" s="140" t="s">
        <v>1436</v>
      </c>
      <c r="E19" s="2948"/>
      <c r="F19" s="26"/>
      <c r="G19" s="1854"/>
      <c r="H19" s="1204" t="s">
        <v>1036</v>
      </c>
      <c r="I19" s="347" t="s">
        <v>1437</v>
      </c>
      <c r="J19" s="24">
        <f ca="1">IF(K19="按租金收入计税",ROUND(J5*M19,0),ROUND(C29*M19*0.7,0))</f>
        <v>79703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138849</v>
      </c>
      <c r="D20" s="369" t="s">
        <v>1440</v>
      </c>
      <c r="E20" s="347" t="s">
        <v>1422</v>
      </c>
      <c r="F20" s="367">
        <f>'数据-取费表'!B37</f>
        <v>0.02</v>
      </c>
      <c r="G20" s="1857"/>
      <c r="H20" s="1204" t="s">
        <v>1389</v>
      </c>
      <c r="I20" s="164" t="s">
        <v>1441</v>
      </c>
      <c r="J20" s="25">
        <f ca="1">ROUND(M20*M21,0)</f>
        <v>6698</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608.87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ROUND(J14*M22,0)</f>
        <v>142327</v>
      </c>
      <c r="K22" s="296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250803</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2962"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2948"/>
      <c r="F25" s="26"/>
      <c r="G25" s="1854"/>
      <c r="H25" s="1332" t="s">
        <v>1031</v>
      </c>
      <c r="I25" s="1347" t="s">
        <v>1463</v>
      </c>
      <c r="J25" s="355">
        <f ca="1">J5-J16</f>
        <v>-228728</v>
      </c>
      <c r="K25" s="1348" t="s">
        <v>1464</v>
      </c>
      <c r="L25" s="1349"/>
      <c r="M25" s="1350"/>
    </row>
    <row r="26" spans="1:37" ht="18" customHeight="1">
      <c r="A26" s="1204" t="s">
        <v>1034</v>
      </c>
      <c r="B26" s="347" t="s">
        <v>1465</v>
      </c>
      <c r="C26" s="24">
        <f ca="1">ROUND((C19+C20)*F26,0)</f>
        <v>1416262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9488475</v>
      </c>
      <c r="D29" s="1345"/>
      <c r="E29" s="1343"/>
      <c r="F29" s="1346"/>
      <c r="G29" s="1857"/>
      <c r="H29" s="380" t="s">
        <v>1033</v>
      </c>
      <c r="I29" s="381" t="s">
        <v>1479</v>
      </c>
      <c r="J29" s="382">
        <f ca="1">ROUND(J26/(1+F40)^F41,0)</f>
        <v>0</v>
      </c>
      <c r="K29" s="383" t="s">
        <v>1480</v>
      </c>
      <c r="L29" s="384"/>
      <c r="M29" s="385">
        <f ca="1">INDIRECT("'数据-取费表'!k"&amp;$G$1)</f>
        <v>2380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163258</v>
      </c>
      <c r="D30" s="1340" t="s">
        <v>1425</v>
      </c>
      <c r="E30" s="2963"/>
      <c r="F30" s="1297"/>
      <c r="G30" s="1854"/>
      <c r="H30" s="745"/>
      <c r="I30" s="746"/>
      <c r="J30" s="747"/>
      <c r="K30" s="748"/>
      <c r="L30" s="749"/>
      <c r="M30" s="750"/>
    </row>
    <row r="31" spans="1:37" ht="18" customHeight="1">
      <c r="A31" s="1204" t="s">
        <v>1035</v>
      </c>
      <c r="B31" s="347" t="s">
        <v>1429</v>
      </c>
      <c r="C31" s="24">
        <f ca="1">ROUND(IF(项目基本情况!B11="自然人",C5*F31,C32+C33+C34),0)</f>
        <v>6698</v>
      </c>
      <c r="D31" s="2960" t="s">
        <v>1430</v>
      </c>
      <c r="E31" s="296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296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3000" t="s">
        <v>3143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6698</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608.87</v>
      </c>
      <c r="G35" s="1854"/>
      <c r="H35" s="745"/>
      <c r="I35" s="1863"/>
      <c r="J35" s="1864"/>
      <c r="K35" s="1865"/>
      <c r="L35" s="1862"/>
      <c r="M35" s="1862"/>
    </row>
    <row r="36" spans="1:18" ht="18" customHeight="1">
      <c r="A36" s="1355" t="s">
        <v>1039</v>
      </c>
      <c r="B36" s="347" t="s">
        <v>1449</v>
      </c>
      <c r="C36" s="24">
        <f ca="1">ROUND(C29*F36,0)</f>
        <v>142327</v>
      </c>
      <c r="D36" s="296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14233</v>
      </c>
      <c r="D37" s="2962"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0</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-163258</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-3366233</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33.25</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-1414</v>
      </c>
      <c r="D43" s="383" t="s">
        <v>1488</v>
      </c>
      <c r="E43" s="384" t="s">
        <v>1489</v>
      </c>
      <c r="F43" s="385">
        <f ca="1">INDIRECT("'数据-取费表'!k"&amp;$G$1)</f>
        <v>2380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-16434080</v>
      </c>
      <c r="D45" s="1943" t="s">
        <v>1604</v>
      </c>
      <c r="E45" s="1869"/>
      <c r="F45" s="1869"/>
      <c r="O45" s="1872" t="s">
        <v>1519</v>
      </c>
      <c r="P45" s="1842"/>
      <c r="Q45" s="1842"/>
      <c r="R45" s="1842"/>
    </row>
    <row r="46" spans="1:18" s="1845" customFormat="1" ht="13.5" thickBot="1">
      <c r="A46" s="1873" t="s">
        <v>1520</v>
      </c>
      <c r="C46" s="1874">
        <f ca="1">ROUND(C45/10000,0)</f>
        <v>-1643</v>
      </c>
      <c r="D46" s="1875" t="str">
        <f>C2</f>
        <v>万元</v>
      </c>
      <c r="I46" s="1876" t="s">
        <v>1521</v>
      </c>
      <c r="J46" s="1877"/>
      <c r="K46" s="1878"/>
      <c r="L46" s="1879">
        <f ca="1">IF(M47="住宅",0,IF(L48&gt;J51,L60,J60))</f>
        <v>280862</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3067</v>
      </c>
      <c r="K47" s="1885" t="s">
        <v>1527</v>
      </c>
      <c r="L47" s="1886">
        <f ca="1">INDIRECT("'数据-取费表'!d"&amp;$G$1)</f>
        <v>40</v>
      </c>
      <c r="M47" s="1841" t="str">
        <f>IF(ISNUMBER(FIND("住宅",C1)),"住宅","非住宅")</f>
        <v>非住宅</v>
      </c>
      <c r="O47" s="1887" t="s">
        <v>1040</v>
      </c>
      <c r="P47" s="1888" t="s">
        <v>1528</v>
      </c>
      <c r="Q47" s="1889">
        <f ca="1">C40+J29</f>
        <v>-3366233</v>
      </c>
      <c r="R47" s="1889" t="s">
        <v>1529</v>
      </c>
    </row>
    <row r="48" spans="1:18" s="1845" customFormat="1" ht="28.5" thickBot="1">
      <c r="A48" s="1363" t="s">
        <v>1135</v>
      </c>
      <c r="B48" s="345" t="s">
        <v>1401</v>
      </c>
      <c r="C48" s="2947">
        <f ca="1">C49+C53+C55</f>
        <v>0</v>
      </c>
      <c r="D48" s="1365"/>
      <c r="E48" s="1366"/>
      <c r="F48" s="1184"/>
      <c r="G48" s="792"/>
      <c r="H48" s="793"/>
      <c r="I48" s="1890" t="s">
        <v>1530</v>
      </c>
      <c r="J48" s="1891" t="s">
        <v>3068</v>
      </c>
      <c r="K48" s="1892" t="s">
        <v>1531</v>
      </c>
      <c r="L48" s="1893">
        <f ca="1">INDIRECT("'数据-取费表'!f"&amp;$G$1)</f>
        <v>33.25</v>
      </c>
      <c r="O48" s="1887" t="s">
        <v>1041</v>
      </c>
      <c r="P48" s="1888" t="s">
        <v>1532</v>
      </c>
      <c r="Q48" s="1889">
        <f ca="1">J60</f>
        <v>280862</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2018</v>
      </c>
      <c r="K49" s="1892" t="s">
        <v>1535</v>
      </c>
      <c r="L49" s="1896"/>
      <c r="O49" s="1897" t="s">
        <v>1042</v>
      </c>
      <c r="P49" s="1888" t="s">
        <v>1536</v>
      </c>
      <c r="Q49" s="1889">
        <f ca="1">C29</f>
        <v>9488475</v>
      </c>
      <c r="R49" s="1889" t="s">
        <v>1529</v>
      </c>
    </row>
    <row r="50" spans="1:18" s="1845" customFormat="1" ht="13.5" thickBot="1">
      <c r="A50" s="1198"/>
      <c r="B50" s="1201"/>
      <c r="C50" s="1202"/>
      <c r="D50" s="1175"/>
      <c r="E50" s="1280" t="s">
        <v>1406</v>
      </c>
      <c r="F50" s="1281">
        <f ca="1">F7</f>
        <v>2380</v>
      </c>
      <c r="H50" s="793"/>
      <c r="I50" s="1890" t="s">
        <v>1537</v>
      </c>
      <c r="J50" s="1898">
        <f>SUMPRODUCT((I63:I65=J47)*(J62:L62=J48)*(J63:L65))</f>
        <v>60</v>
      </c>
      <c r="K50" s="1892" t="s">
        <v>1538</v>
      </c>
      <c r="L50" s="1896"/>
      <c r="M50" s="1899"/>
      <c r="O50" s="1897" t="s">
        <v>1043</v>
      </c>
      <c r="P50" s="1888" t="s">
        <v>1539</v>
      </c>
      <c r="Q50" s="1900">
        <f ca="1">J58</f>
        <v>0.44600000000000001</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-15753281</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33.25</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33.25</v>
      </c>
      <c r="K53" s="3191" t="s">
        <v>1548</v>
      </c>
      <c r="L53" s="3192"/>
      <c r="O53" s="1887" t="s">
        <v>1046</v>
      </c>
      <c r="P53" s="1888" t="s">
        <v>1549</v>
      </c>
      <c r="Q53" s="1889">
        <f ca="1">Q47+Q48</f>
        <v>-3085371</v>
      </c>
      <c r="R53" s="1889" t="s">
        <v>1047</v>
      </c>
    </row>
    <row r="54" spans="1:18" s="1845" customFormat="1" ht="13.5" thickBot="1">
      <c r="A54" s="1197"/>
      <c r="B54" s="1944" t="s">
        <v>1603</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f ca="1">ROUND(IF(J47="钢混",J57/J50,1-(1-2%)*(J50-J57)/J50),3)</f>
        <v>0.44600000000000001</v>
      </c>
      <c r="K55" s="1915" t="s">
        <v>1552</v>
      </c>
      <c r="L55" s="1916" t="s">
        <v>3069</v>
      </c>
      <c r="O55" s="1880" t="s">
        <v>1522</v>
      </c>
      <c r="P55" s="1881" t="s">
        <v>1523</v>
      </c>
      <c r="Q55" s="1882" t="s">
        <v>1524</v>
      </c>
      <c r="R55" s="1882" t="s">
        <v>1525</v>
      </c>
    </row>
    <row r="56" spans="1:18" s="1845" customFormat="1" ht="36" customHeight="1" thickTop="1" thickBot="1">
      <c r="A56" s="1179">
        <v>2</v>
      </c>
      <c r="B56" s="1180" t="s">
        <v>1414</v>
      </c>
      <c r="C56" s="276">
        <f ca="1">C13</f>
        <v>9488475</v>
      </c>
      <c r="D56" s="1917"/>
      <c r="E56" s="1918"/>
      <c r="F56" s="1910"/>
      <c r="I56" s="1919" t="s">
        <v>1554</v>
      </c>
      <c r="J56" s="1920" t="s">
        <v>3057</v>
      </c>
      <c r="K56" s="1890" t="s">
        <v>1555</v>
      </c>
      <c r="L56" s="1893" t="str">
        <f ca="1">IF(L48&lt;J51,"——",L48-J51)</f>
        <v>——</v>
      </c>
      <c r="O56" s="1887" t="s">
        <v>1040</v>
      </c>
      <c r="P56" s="1888" t="s">
        <v>1528</v>
      </c>
      <c r="Q56" s="1889">
        <f ca="1">C40+J29</f>
        <v>-3366233</v>
      </c>
      <c r="R56" s="1889" t="s">
        <v>1529</v>
      </c>
    </row>
    <row r="57" spans="1:18" s="1845" customFormat="1" ht="24.75" thickBot="1">
      <c r="A57" s="1921"/>
      <c r="B57" s="1172" t="s">
        <v>1478</v>
      </c>
      <c r="C57" s="282">
        <f ca="1">C29</f>
        <v>9488475</v>
      </c>
      <c r="D57" s="1922"/>
      <c r="E57" s="1923"/>
      <c r="F57" s="1924"/>
      <c r="I57" s="1925" t="s">
        <v>1556</v>
      </c>
      <c r="J57" s="1926">
        <f ca="1">IF(OR(M47="住宅",J51&lt;L48,J56="是"),"——",J51-L48)</f>
        <v>26.75</v>
      </c>
      <c r="K57" s="1890" t="s">
        <v>1605</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960290</v>
      </c>
      <c r="D58" s="1182" t="s">
        <v>1425</v>
      </c>
      <c r="E58" s="1183"/>
      <c r="F58" s="1184"/>
      <c r="I58" s="1925" t="s">
        <v>1560</v>
      </c>
      <c r="J58" s="1927">
        <f ca="1">IF(J55&lt;0.4,0.4,J55)</f>
        <v>0.44600000000000001</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803730</v>
      </c>
      <c r="D59" s="1185" t="s">
        <v>1430</v>
      </c>
      <c r="E59" s="1186" t="s">
        <v>1431</v>
      </c>
      <c r="F59" s="368" t="str">
        <f ca="1">IF(项目基本情况!B11="企业","",IF(INDIRECT("'数据-取费表'!c"&amp;$G$1)="住宅",5%,IF(F49*F50*F51/12/(1+'数据-取费表'!C42)&gt;20000,12%,7%)))</f>
        <v/>
      </c>
      <c r="I59" s="1925" t="s">
        <v>1563</v>
      </c>
      <c r="J59" s="1926">
        <f ca="1">IF(OR(M47="住宅",J51&lt;L48,J56="是"),"——",ROUND(C29*J58,0))</f>
        <v>4231860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f ca="1">IF(OR(M47="住宅",J51&lt;L48,J56="是"),"0",ROUND(J59/(1+J52)^J53,0))</f>
        <v>280862</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IF(项目基本情况!B11="自然人","——",IF(D61="按租金收入计税",ROUND(C48*F61,0),IF(D61="按房产原值计税",ROUND(C57*F61*0.7,0),INDIRECT("'数据-取费表'!Aj"&amp;$G$1))))</f>
        <v>797032</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IF(项目基本情况!B11="自然人","——",ROUND(F62*F63,0))</f>
        <v>6698</v>
      </c>
      <c r="D62" s="1187" t="s">
        <v>1442</v>
      </c>
      <c r="E62" s="1172" t="s">
        <v>1443</v>
      </c>
      <c r="F62" s="371">
        <f t="shared" si="0"/>
        <v>11</v>
      </c>
      <c r="I62" s="1932" t="s">
        <v>1570</v>
      </c>
      <c r="J62" s="1933" t="s">
        <v>1571</v>
      </c>
      <c r="K62" s="1933" t="s">
        <v>1572</v>
      </c>
      <c r="L62" s="1933" t="s">
        <v>1573</v>
      </c>
      <c r="M62" s="1934" t="s">
        <v>1574</v>
      </c>
      <c r="O62" s="1887" t="s">
        <v>1046</v>
      </c>
      <c r="P62" s="1888" t="s">
        <v>1549</v>
      </c>
      <c r="Q62" s="1889">
        <f ca="1">Q56+Q57</f>
        <v>-3366233</v>
      </c>
      <c r="R62" s="1889" t="s">
        <v>1047</v>
      </c>
    </row>
    <row r="63" spans="1:18" s="1845" customFormat="1" ht="13.5" thickBot="1">
      <c r="A63" s="372"/>
      <c r="B63" s="1178"/>
      <c r="C63" s="29"/>
      <c r="D63" s="1188"/>
      <c r="E63" s="1172" t="s">
        <v>1447</v>
      </c>
      <c r="F63" s="348">
        <f t="shared" ca="1" si="0"/>
        <v>608.87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ROUND(C57*F64,0)</f>
        <v>142327</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14233</v>
      </c>
      <c r="D65" s="1186" t="s">
        <v>1454</v>
      </c>
      <c r="E65" s="1172" t="s">
        <v>1422</v>
      </c>
      <c r="F65" s="376">
        <f t="shared" ca="1" si="0"/>
        <v>1.5E-3</v>
      </c>
      <c r="I65" s="1932" t="s">
        <v>1579</v>
      </c>
      <c r="J65" s="1933">
        <v>40</v>
      </c>
      <c r="K65" s="1933">
        <v>30</v>
      </c>
      <c r="L65" s="1933">
        <v>50</v>
      </c>
      <c r="M65" s="1935">
        <v>0.02</v>
      </c>
      <c r="O65" s="1887" t="s">
        <v>1040</v>
      </c>
      <c r="P65" s="1888" t="s">
        <v>1528</v>
      </c>
      <c r="Q65" s="1889">
        <f ca="1">C40+J29</f>
        <v>-3366233</v>
      </c>
      <c r="R65" s="1889" t="s">
        <v>1529</v>
      </c>
    </row>
    <row r="66" spans="1:18" s="1845" customFormat="1" ht="16.5" thickBot="1">
      <c r="A66" s="1204" t="s">
        <v>1504</v>
      </c>
      <c r="B66" s="1172" t="s">
        <v>1439</v>
      </c>
      <c r="C66" s="24">
        <f ca="1">ROUND(C48*F66,0)</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-960290</v>
      </c>
      <c r="D67" s="1185" t="s">
        <v>1464</v>
      </c>
      <c r="E67" s="1190"/>
      <c r="F67" s="1191"/>
      <c r="O67" s="1897" t="s">
        <v>1042</v>
      </c>
      <c r="P67" s="1888" t="s">
        <v>1562</v>
      </c>
      <c r="Q67" s="1936">
        <f ca="1">L51</f>
        <v>-15753281</v>
      </c>
      <c r="R67" s="1889" t="s">
        <v>1582</v>
      </c>
    </row>
    <row r="68" spans="1:18" s="1845" customFormat="1" ht="16.5" thickBot="1">
      <c r="A68" s="1169" t="s">
        <v>1032</v>
      </c>
      <c r="B68" s="1170" t="s">
        <v>1485</v>
      </c>
      <c r="C68" s="346">
        <f ca="1">ROUND(C67*(1-((1+F70)/(1+F68))^F69)/(F68-F70),0)</f>
        <v>-19800313</v>
      </c>
      <c r="D68" s="1187" t="s">
        <v>1469</v>
      </c>
      <c r="E68" s="1172" t="s">
        <v>1470</v>
      </c>
      <c r="F68" s="357">
        <f ca="1">F40</f>
        <v>0.05</v>
      </c>
      <c r="O68" s="1897" t="s">
        <v>1043</v>
      </c>
      <c r="P68" s="1937" t="s">
        <v>1583</v>
      </c>
      <c r="Q68" s="1889">
        <f ca="1">ROUND(Q69-Q70*Q71,0)</f>
        <v>-922336</v>
      </c>
      <c r="R68" s="1889" t="s">
        <v>1051</v>
      </c>
    </row>
    <row r="69" spans="1:18" s="1845" customFormat="1" ht="13.5" thickBot="1">
      <c r="A69" s="1173"/>
      <c r="B69" s="1174"/>
      <c r="C69" s="351"/>
      <c r="D69" s="1192" t="s">
        <v>1473</v>
      </c>
      <c r="E69" s="1172" t="s">
        <v>1474</v>
      </c>
      <c r="F69" s="379">
        <f ca="1">F41</f>
        <v>33.25</v>
      </c>
      <c r="O69" s="1897" t="s">
        <v>1048</v>
      </c>
      <c r="P69" s="1937" t="s">
        <v>1584</v>
      </c>
      <c r="Q69" s="1889">
        <f ca="1">C39</f>
        <v>-163258</v>
      </c>
      <c r="R69" s="1889" t="s">
        <v>1529</v>
      </c>
    </row>
    <row r="70" spans="1:18" s="1845" customFormat="1" ht="13.5" thickBot="1">
      <c r="A70" s="1176"/>
      <c r="B70" s="1177"/>
      <c r="C70" s="355"/>
      <c r="D70" s="1188"/>
      <c r="E70" s="1172" t="s">
        <v>1477</v>
      </c>
      <c r="F70" s="1278">
        <f ca="1">F42</f>
        <v>0.02</v>
      </c>
      <c r="O70" s="1897" t="s">
        <v>1049</v>
      </c>
      <c r="P70" s="1937" t="s">
        <v>1585</v>
      </c>
      <c r="Q70" s="1889">
        <f ca="1">C13</f>
        <v>9488475</v>
      </c>
      <c r="R70" s="1889" t="s">
        <v>1529</v>
      </c>
    </row>
    <row r="71" spans="1:18" s="1845" customFormat="1" ht="13.5" thickBot="1">
      <c r="A71" s="1193" t="s">
        <v>1033</v>
      </c>
      <c r="B71" s="1194" t="s">
        <v>1487</v>
      </c>
      <c r="C71" s="382">
        <f ca="1">ROUND(C68/F71,0)</f>
        <v>-8319</v>
      </c>
      <c r="D71" s="1195" t="s">
        <v>1488</v>
      </c>
      <c r="E71" s="1196" t="s">
        <v>1489</v>
      </c>
      <c r="F71" s="385">
        <f ca="1">F43</f>
        <v>2380</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759078</v>
      </c>
      <c r="D75" s="1845"/>
      <c r="E75" s="1845"/>
      <c r="F75" s="1845"/>
      <c r="K75" s="1871"/>
      <c r="L75" s="1845"/>
      <c r="O75" s="1887" t="s">
        <v>1046</v>
      </c>
      <c r="P75" s="1888" t="s">
        <v>1549</v>
      </c>
      <c r="Q75" s="1889">
        <f ca="1">Q65+Q66</f>
        <v>-3366233</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5.65</v>
      </c>
    </row>
    <row r="80" spans="1:18">
      <c r="B80" s="386" t="s">
        <v>1511</v>
      </c>
      <c r="C80" s="318">
        <f ca="1">ROUND(C75/C39,3)</f>
        <v>-4.6500000000000004</v>
      </c>
    </row>
    <row r="81" spans="2:3">
      <c r="B81" s="314" t="s">
        <v>1512</v>
      </c>
      <c r="C81" s="282"/>
    </row>
    <row r="82" spans="2:3">
      <c r="B82" s="317" t="s">
        <v>1513</v>
      </c>
      <c r="C82" s="319">
        <f ca="1">1-C83</f>
        <v>3.819</v>
      </c>
    </row>
    <row r="83" spans="2:3">
      <c r="B83" s="317" t="s">
        <v>1514</v>
      </c>
      <c r="C83" s="318">
        <f ca="1">ROUND(C13/C40,3)</f>
        <v>-2.819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2700</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9"/>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2729.87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29"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6"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6"/>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6"/>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96"/>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96"/>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3" t="s">
        <v>2558</v>
      </c>
      <c r="Q15" s="1813" t="str">
        <f t="shared" si="6"/>
        <v>产业集聚程度</v>
      </c>
      <c r="R15" s="774" t="s">
        <v>17</v>
      </c>
      <c r="S15" s="775">
        <f t="shared" si="0"/>
        <v>100</v>
      </c>
      <c r="T15" s="774" t="s">
        <v>17</v>
      </c>
      <c r="U15" s="775">
        <f t="shared" si="1"/>
        <v>100</v>
      </c>
      <c r="V15" s="774" t="s">
        <v>17</v>
      </c>
      <c r="W15" s="775">
        <f t="shared" si="2"/>
        <v>100</v>
      </c>
      <c r="X15" s="1816"/>
      <c r="Y15" s="3203"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4"/>
      <c r="Q16" s="1813"/>
      <c r="R16" s="774"/>
      <c r="S16" s="775"/>
      <c r="T16" s="774"/>
      <c r="U16" s="775"/>
      <c r="V16" s="774"/>
      <c r="W16" s="775"/>
      <c r="X16" s="1816"/>
      <c r="Y16" s="3204"/>
      <c r="Z16" s="1817"/>
      <c r="AA16" s="1814">
        <v>1</v>
      </c>
      <c r="AB16" s="1814">
        <v>1</v>
      </c>
      <c r="AC16" s="1814">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4"/>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04"/>
      <c r="Q18" s="1813"/>
      <c r="R18" s="774"/>
      <c r="S18" s="775"/>
      <c r="T18" s="774"/>
      <c r="U18" s="775"/>
      <c r="V18" s="774"/>
      <c r="W18" s="775"/>
      <c r="X18" s="1816"/>
      <c r="Y18" s="3204"/>
      <c r="Z18" s="1817"/>
      <c r="AA18" s="1814">
        <v>1</v>
      </c>
      <c r="AB18" s="1814">
        <v>1</v>
      </c>
      <c r="AC18" s="1814">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4"/>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04"/>
      <c r="Q20" s="1813"/>
      <c r="R20" s="774"/>
      <c r="S20" s="775"/>
      <c r="T20" s="774"/>
      <c r="U20" s="775"/>
      <c r="V20" s="774"/>
      <c r="W20" s="775"/>
      <c r="X20" s="1816"/>
      <c r="Y20" s="3204"/>
      <c r="Z20" s="1817"/>
      <c r="AA20" s="1814">
        <v>1</v>
      </c>
      <c r="AB20" s="1814">
        <v>1</v>
      </c>
      <c r="AC20" s="1814">
        <v>1</v>
      </c>
    </row>
    <row r="21" spans="1:29" ht="28.5">
      <c r="A21" s="428"/>
      <c r="B21" s="1387"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4"/>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04"/>
      <c r="Q22" s="1813"/>
      <c r="R22" s="774"/>
      <c r="S22" s="775"/>
      <c r="T22" s="774"/>
      <c r="U22" s="775"/>
      <c r="V22" s="774"/>
      <c r="W22" s="775"/>
      <c r="X22" s="1816"/>
      <c r="Y22" s="3204"/>
      <c r="Z22" s="1817"/>
      <c r="AA22" s="1814">
        <v>1</v>
      </c>
      <c r="AB22" s="1814">
        <v>1</v>
      </c>
      <c r="AC22" s="1814">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4"/>
      <c r="Q23" s="1813" t="str">
        <f>B23</f>
        <v>环境质量</v>
      </c>
      <c r="R23" s="774" t="s">
        <v>17</v>
      </c>
      <c r="S23" s="775">
        <f>F23</f>
        <v>100</v>
      </c>
      <c r="T23" s="774" t="s">
        <v>17</v>
      </c>
      <c r="U23" s="775">
        <f>H23</f>
        <v>100</v>
      </c>
      <c r="V23" s="774" t="s">
        <v>17</v>
      </c>
      <c r="W23" s="775">
        <f>J23</f>
        <v>100</v>
      </c>
      <c r="X23" s="1816"/>
      <c r="Y23" s="3204"/>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04"/>
      <c r="Q24" s="1813"/>
      <c r="R24" s="774"/>
      <c r="S24" s="775"/>
      <c r="T24" s="774"/>
      <c r="U24" s="775"/>
      <c r="V24" s="774"/>
      <c r="W24" s="775"/>
      <c r="X24" s="1816"/>
      <c r="Y24" s="320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4"/>
      <c r="Q25" s="1813">
        <f>B25</f>
        <v>111</v>
      </c>
      <c r="R25" s="774" t="s">
        <v>17</v>
      </c>
      <c r="S25" s="775">
        <f>F25</f>
        <v>100</v>
      </c>
      <c r="T25" s="774" t="s">
        <v>17</v>
      </c>
      <c r="U25" s="775">
        <f>H25</f>
        <v>100</v>
      </c>
      <c r="V25" s="774" t="s">
        <v>17</v>
      </c>
      <c r="W25" s="775">
        <f>J25</f>
        <v>100</v>
      </c>
      <c r="X25" s="1816"/>
      <c r="Y25" s="320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4"/>
      <c r="Q26" s="1813">
        <f t="shared" ref="Q26:Q40" si="11">B26</f>
        <v>111</v>
      </c>
      <c r="R26" s="774" t="s">
        <v>17</v>
      </c>
      <c r="S26" s="775">
        <f>F26</f>
        <v>100</v>
      </c>
      <c r="T26" s="774" t="s">
        <v>17</v>
      </c>
      <c r="U26" s="775">
        <f>H26</f>
        <v>100</v>
      </c>
      <c r="V26" s="774" t="s">
        <v>17</v>
      </c>
      <c r="W26" s="775">
        <f>J26</f>
        <v>100</v>
      </c>
      <c r="X26" s="1816"/>
      <c r="Y26" s="320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4"/>
      <c r="Q27" s="1798">
        <f t="shared" si="11"/>
        <v>111</v>
      </c>
      <c r="R27" s="770" t="s">
        <v>17</v>
      </c>
      <c r="S27" s="771">
        <f>F27</f>
        <v>100</v>
      </c>
      <c r="T27" s="770" t="s">
        <v>17</v>
      </c>
      <c r="U27" s="771">
        <f>H27</f>
        <v>100</v>
      </c>
      <c r="V27" s="770" t="s">
        <v>17</v>
      </c>
      <c r="W27" s="771">
        <f>J27</f>
        <v>100</v>
      </c>
      <c r="X27" s="772"/>
      <c r="Y27" s="320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4"/>
      <c r="Q28" s="1813">
        <f t="shared" si="11"/>
        <v>111</v>
      </c>
      <c r="R28" s="774" t="s">
        <v>17</v>
      </c>
      <c r="S28" s="775">
        <f t="shared" ref="S28:S40" si="12">F28</f>
        <v>100</v>
      </c>
      <c r="T28" s="774" t="s">
        <v>17</v>
      </c>
      <c r="U28" s="775">
        <f t="shared" ref="U28:U40" si="13">H28</f>
        <v>100</v>
      </c>
      <c r="V28" s="774" t="s">
        <v>17</v>
      </c>
      <c r="W28" s="775">
        <f t="shared" ref="W28:W40" si="14">J28</f>
        <v>100</v>
      </c>
      <c r="X28" s="1816"/>
      <c r="Y28" s="3204"/>
      <c r="Z28" s="1817">
        <f t="shared" ref="Z28:Z40" si="15">Q28</f>
        <v>111</v>
      </c>
      <c r="AA28" s="1814">
        <f t="shared" si="3"/>
        <v>1</v>
      </c>
      <c r="AB28" s="1814">
        <f t="shared" si="4"/>
        <v>1</v>
      </c>
      <c r="AC28" s="1814">
        <f t="shared" si="5"/>
        <v>1</v>
      </c>
    </row>
    <row r="29" spans="1:29" ht="1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81" t="s">
        <v>2563</v>
      </c>
      <c r="Q29" s="1813" t="str">
        <f t="shared" si="11"/>
        <v>建筑类型</v>
      </c>
      <c r="R29" s="774" t="s">
        <v>17</v>
      </c>
      <c r="S29" s="775">
        <f t="shared" si="12"/>
        <v>100</v>
      </c>
      <c r="T29" s="774" t="s">
        <v>17</v>
      </c>
      <c r="U29" s="775">
        <f t="shared" si="13"/>
        <v>100</v>
      </c>
      <c r="V29" s="774" t="s">
        <v>17</v>
      </c>
      <c r="W29" s="775">
        <f t="shared" si="14"/>
        <v>100</v>
      </c>
      <c r="X29" s="1816"/>
      <c r="Y29" s="3208"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8"/>
      <c r="Q31" s="1813" t="str">
        <f t="shared" si="11"/>
        <v>建筑结构</v>
      </c>
      <c r="R31" s="774" t="s">
        <v>17</v>
      </c>
      <c r="S31" s="775">
        <f t="shared" si="12"/>
        <v>100</v>
      </c>
      <c r="T31" s="774" t="s">
        <v>17</v>
      </c>
      <c r="U31" s="775">
        <f t="shared" si="13"/>
        <v>100</v>
      </c>
      <c r="V31" s="774" t="s">
        <v>17</v>
      </c>
      <c r="W31" s="775">
        <f t="shared" si="14"/>
        <v>100</v>
      </c>
      <c r="X31" s="1816"/>
      <c r="Y31" s="3208"/>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8"/>
      <c r="Q32" s="1813" t="str">
        <f t="shared" si="11"/>
        <v>公共部分装修</v>
      </c>
      <c r="R32" s="774" t="s">
        <v>17</v>
      </c>
      <c r="S32" s="775">
        <f t="shared" si="12"/>
        <v>100</v>
      </c>
      <c r="T32" s="774" t="s">
        <v>17</v>
      </c>
      <c r="U32" s="775">
        <f t="shared" si="13"/>
        <v>100</v>
      </c>
      <c r="V32" s="774" t="s">
        <v>17</v>
      </c>
      <c r="W32" s="775">
        <f t="shared" si="14"/>
        <v>100</v>
      </c>
      <c r="X32" s="1816"/>
      <c r="Y32" s="3208"/>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8"/>
      <c r="Q33" s="1813" t="str">
        <f t="shared" si="11"/>
        <v>成新度</v>
      </c>
      <c r="R33" s="774" t="s">
        <v>17</v>
      </c>
      <c r="S33" s="775" t="e">
        <f t="shared" si="12"/>
        <v>#N/A</v>
      </c>
      <c r="T33" s="774" t="s">
        <v>17</v>
      </c>
      <c r="U33" s="775" t="e">
        <f t="shared" si="13"/>
        <v>#N/A</v>
      </c>
      <c r="V33" s="774" t="s">
        <v>17</v>
      </c>
      <c r="W33" s="775" t="e">
        <f t="shared" si="14"/>
        <v>#N/A</v>
      </c>
      <c r="X33" s="1816"/>
      <c r="Y33" s="3208"/>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8"/>
      <c r="Q34" s="1798"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8" t="s">
        <v>2563</v>
      </c>
      <c r="Q35" s="1813" t="str">
        <f t="shared" si="11"/>
        <v>市政基础设施</v>
      </c>
      <c r="R35" s="774" t="s">
        <v>17</v>
      </c>
      <c r="S35" s="775">
        <f t="shared" si="12"/>
        <v>100</v>
      </c>
      <c r="T35" s="774" t="s">
        <v>17</v>
      </c>
      <c r="U35" s="775">
        <f t="shared" si="13"/>
        <v>100</v>
      </c>
      <c r="V35" s="774" t="s">
        <v>17</v>
      </c>
      <c r="W35" s="775">
        <f t="shared" si="14"/>
        <v>100</v>
      </c>
      <c r="X35" s="1816"/>
      <c r="Y35" s="3208"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8"/>
      <c r="Q36" s="1813" t="str">
        <f t="shared" si="11"/>
        <v>内部装修</v>
      </c>
      <c r="R36" s="774" t="s">
        <v>17</v>
      </c>
      <c r="S36" s="775">
        <f t="shared" si="12"/>
        <v>100</v>
      </c>
      <c r="T36" s="774" t="s">
        <v>17</v>
      </c>
      <c r="U36" s="775">
        <f t="shared" si="13"/>
        <v>100</v>
      </c>
      <c r="V36" s="774" t="s">
        <v>17</v>
      </c>
      <c r="W36" s="775">
        <f t="shared" si="14"/>
        <v>100</v>
      </c>
      <c r="X36" s="1816"/>
      <c r="Y36" s="3208"/>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8"/>
      <c r="Q37" s="1813" t="str">
        <f t="shared" si="11"/>
        <v>内部装修状况</v>
      </c>
      <c r="R37" s="774" t="s">
        <v>17</v>
      </c>
      <c r="S37" s="775">
        <f t="shared" si="12"/>
        <v>100</v>
      </c>
      <c r="T37" s="774" t="s">
        <v>17</v>
      </c>
      <c r="U37" s="775">
        <f t="shared" si="13"/>
        <v>100</v>
      </c>
      <c r="V37" s="774" t="s">
        <v>17</v>
      </c>
      <c r="W37" s="775">
        <f t="shared" si="14"/>
        <v>100</v>
      </c>
      <c r="X37" s="1816"/>
      <c r="Y37" s="320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8"/>
      <c r="Q39" s="1813">
        <f t="shared" si="11"/>
        <v>111</v>
      </c>
      <c r="R39" s="774" t="s">
        <v>17</v>
      </c>
      <c r="S39" s="775">
        <f t="shared" si="12"/>
        <v>100</v>
      </c>
      <c r="T39" s="774" t="s">
        <v>17</v>
      </c>
      <c r="U39" s="775">
        <f t="shared" si="13"/>
        <v>100</v>
      </c>
      <c r="V39" s="774" t="s">
        <v>17</v>
      </c>
      <c r="W39" s="775">
        <f t="shared" si="14"/>
        <v>100</v>
      </c>
      <c r="X39" s="1816"/>
      <c r="Y39" s="3208"/>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9"/>
      <c r="Q40" s="1813">
        <f t="shared" si="11"/>
        <v>111</v>
      </c>
      <c r="R40" s="774" t="s">
        <v>17</v>
      </c>
      <c r="S40" s="775">
        <f t="shared" si="12"/>
        <v>100</v>
      </c>
      <c r="T40" s="774" t="s">
        <v>17</v>
      </c>
      <c r="U40" s="775">
        <f t="shared" si="13"/>
        <v>100</v>
      </c>
      <c r="V40" s="774" t="s">
        <v>17</v>
      </c>
      <c r="W40" s="775">
        <f t="shared" si="14"/>
        <v>100</v>
      </c>
      <c r="X40" s="1816"/>
      <c r="Y40" s="3209"/>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196" t="str">
        <f>A41</f>
        <v>成交单价（元/平方米）</v>
      </c>
      <c r="Q41" s="3196"/>
      <c r="R41" s="3197">
        <f>E41</f>
        <v>0</v>
      </c>
      <c r="S41" s="3197"/>
      <c r="T41" s="3197">
        <f>G41</f>
        <v>0</v>
      </c>
      <c r="U41" s="3197"/>
      <c r="V41" s="3197">
        <f>I41</f>
        <v>0</v>
      </c>
      <c r="W41" s="3197"/>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29"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5" t="s">
        <v>2547</v>
      </c>
      <c r="Q7" s="3237"/>
      <c r="R7" s="770" t="s">
        <v>17</v>
      </c>
      <c r="S7" s="771">
        <f t="shared" ref="S7:S14" si="0">F7</f>
        <v>0</v>
      </c>
      <c r="T7" s="770" t="s">
        <v>17</v>
      </c>
      <c r="U7" s="771">
        <f t="shared" ref="U7:U14" si="1">H7</f>
        <v>0</v>
      </c>
      <c r="V7" s="770" t="s">
        <v>17</v>
      </c>
      <c r="W7" s="771">
        <f t="shared" ref="W7:W14" si="2">J7</f>
        <v>0</v>
      </c>
      <c r="X7" s="772"/>
      <c r="Y7" s="3235" t="s">
        <v>2547</v>
      </c>
      <c r="Z7" s="323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6" t="s">
        <v>2553</v>
      </c>
      <c r="Q9" s="1798" t="str">
        <f t="shared" ref="Q9:Q14" si="6">B9</f>
        <v>用途</v>
      </c>
      <c r="R9" s="770" t="s">
        <v>17</v>
      </c>
      <c r="S9" s="771">
        <f t="shared" si="0"/>
        <v>100</v>
      </c>
      <c r="T9" s="770" t="s">
        <v>17</v>
      </c>
      <c r="U9" s="771">
        <f t="shared" si="1"/>
        <v>100</v>
      </c>
      <c r="V9" s="770" t="s">
        <v>17</v>
      </c>
      <c r="W9" s="771">
        <f t="shared" si="2"/>
        <v>100</v>
      </c>
      <c r="X9" s="772"/>
      <c r="Y9" s="3046"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6"/>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42.5">
      <c r="A14" s="401" t="s">
        <v>2557</v>
      </c>
      <c r="B14" s="629" t="s">
        <v>2707</v>
      </c>
      <c r="C14" s="2696" t="str">
        <f>IF(B1="工业",估价对象房地状况!G4,估价对象房地状况!C6)</f>
        <v>估价对象周边道路路网密集，有延安南路、塔城东路、公共交通通达情况较好，有1路、54路、44路，停车便捷程度较好，综合评价交通便捷度较好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3" t="s">
        <v>2558</v>
      </c>
      <c r="Q14" s="1813" t="str">
        <f t="shared" si="6"/>
        <v>交通便捷度</v>
      </c>
      <c r="R14" s="774" t="s">
        <v>17</v>
      </c>
      <c r="S14" s="775">
        <f t="shared" si="0"/>
        <v>100</v>
      </c>
      <c r="T14" s="774" t="s">
        <v>17</v>
      </c>
      <c r="U14" s="775">
        <f t="shared" si="1"/>
        <v>100</v>
      </c>
      <c r="V14" s="774" t="s">
        <v>17</v>
      </c>
      <c r="W14" s="775">
        <f t="shared" si="2"/>
        <v>100</v>
      </c>
      <c r="X14" s="1816"/>
      <c r="Y14" s="3203"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4"/>
      <c r="Q15" s="1813"/>
      <c r="R15" s="774"/>
      <c r="S15" s="775"/>
      <c r="T15" s="774"/>
      <c r="U15" s="775"/>
      <c r="V15" s="774"/>
      <c r="W15" s="775"/>
      <c r="X15" s="1816"/>
      <c r="Y15" s="3204"/>
      <c r="Z15" s="1817"/>
      <c r="AA15" s="1814">
        <v>1</v>
      </c>
      <c r="AB15" s="1814">
        <v>1</v>
      </c>
      <c r="AC15" s="1814">
        <v>1</v>
      </c>
    </row>
    <row r="16" spans="1:29" ht="128.25">
      <c r="A16" s="404"/>
      <c r="B16" s="631" t="s">
        <v>2686</v>
      </c>
      <c r="C16" s="2610" t="str">
        <f>IF(B1="工业",估价对象房地状况!G5,估价对象房地状况!C7)</f>
        <v>估价对象所在区域有中国工商银行、昌吉市北京南路石油新村社区卫生服务站、铭日商店、昌吉市第五小学，公共配套设施较较齐备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4"/>
      <c r="Q16" s="1813" t="str">
        <f>B16</f>
        <v>公共配套设施</v>
      </c>
      <c r="R16" s="774" t="s">
        <v>17</v>
      </c>
      <c r="S16" s="775">
        <f>F16</f>
        <v>100</v>
      </c>
      <c r="T16" s="774" t="s">
        <v>17</v>
      </c>
      <c r="U16" s="775">
        <f>H16</f>
        <v>100</v>
      </c>
      <c r="V16" s="774" t="s">
        <v>17</v>
      </c>
      <c r="W16" s="775">
        <f>J16</f>
        <v>100</v>
      </c>
      <c r="X16" s="1816"/>
      <c r="Y16" s="3204"/>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04"/>
      <c r="Q17" s="1813"/>
      <c r="R17" s="774"/>
      <c r="S17" s="775"/>
      <c r="T17" s="774"/>
      <c r="U17" s="775"/>
      <c r="V17" s="774"/>
      <c r="W17" s="775"/>
      <c r="X17" s="1816"/>
      <c r="Y17" s="3204"/>
      <c r="Z17" s="1817"/>
      <c r="AA17" s="1814">
        <v>1</v>
      </c>
      <c r="AB17" s="1814">
        <v>1</v>
      </c>
      <c r="AC17" s="1814">
        <v>1</v>
      </c>
    </row>
    <row r="18" spans="1:29" ht="28.5">
      <c r="A18" s="404"/>
      <c r="B18" s="633" t="s">
        <v>2687</v>
      </c>
      <c r="C18" s="2610" t="str">
        <f>IF(B1="工业",估价对象房地状况!G6,估价对象房地状况!C8)</f>
        <v>估价对象所在区域基础设施七通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4"/>
      <c r="Q18" s="1813" t="str">
        <f>B18</f>
        <v>基础设施水平</v>
      </c>
      <c r="R18" s="774" t="s">
        <v>17</v>
      </c>
      <c r="S18" s="775">
        <f>F18</f>
        <v>100</v>
      </c>
      <c r="T18" s="774" t="s">
        <v>17</v>
      </c>
      <c r="U18" s="775">
        <f>H18</f>
        <v>100</v>
      </c>
      <c r="V18" s="774" t="s">
        <v>17</v>
      </c>
      <c r="W18" s="775">
        <f>J18</f>
        <v>100</v>
      </c>
      <c r="X18" s="1816"/>
      <c r="Y18" s="3204"/>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04"/>
      <c r="Q19" s="1813"/>
      <c r="R19" s="774"/>
      <c r="S19" s="775"/>
      <c r="T19" s="774"/>
      <c r="U19" s="775"/>
      <c r="V19" s="774"/>
      <c r="W19" s="775"/>
      <c r="X19" s="1816"/>
      <c r="Y19" s="3204"/>
      <c r="Z19" s="1817"/>
      <c r="AA19" s="1814">
        <v>1</v>
      </c>
      <c r="AB19" s="1814">
        <v>1</v>
      </c>
      <c r="AC19" s="1814">
        <v>1</v>
      </c>
    </row>
    <row r="20" spans="1:29" ht="99.75">
      <c r="A20" s="404"/>
      <c r="B20" s="631" t="s">
        <v>2708</v>
      </c>
      <c r="C20" s="2610" t="str">
        <f>IF(B1="工业",估价对象房地状况!G7,估价对象房地状况!C9)</f>
        <v>区域内有晋昌公园，自然环境较好；有昌吉回族自治州技师培训学院，人文环境较好；综合评价环境状况较好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4"/>
      <c r="Q20" s="1813" t="str">
        <f>B20</f>
        <v>自然及人文环境</v>
      </c>
      <c r="R20" s="774" t="s">
        <v>17</v>
      </c>
      <c r="S20" s="775">
        <f>F20</f>
        <v>100</v>
      </c>
      <c r="T20" s="774" t="s">
        <v>17</v>
      </c>
      <c r="U20" s="775">
        <f>H20</f>
        <v>100</v>
      </c>
      <c r="V20" s="774" t="s">
        <v>17</v>
      </c>
      <c r="W20" s="775">
        <f>J20</f>
        <v>100</v>
      </c>
      <c r="X20" s="1816"/>
      <c r="Y20" s="320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4"/>
      <c r="Q21" s="1813"/>
      <c r="R21" s="774"/>
      <c r="S21" s="775"/>
      <c r="T21" s="774"/>
      <c r="U21" s="775"/>
      <c r="V21" s="774"/>
      <c r="W21" s="775"/>
      <c r="X21" s="1816"/>
      <c r="Y21" s="3204"/>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4"/>
      <c r="Q22" s="1813" t="str">
        <f>B22</f>
        <v>楼层</v>
      </c>
      <c r="R22" s="774" t="s">
        <v>17</v>
      </c>
      <c r="S22" s="775">
        <f>F22</f>
        <v>100</v>
      </c>
      <c r="T22" s="774" t="s">
        <v>17</v>
      </c>
      <c r="U22" s="775">
        <f>H22</f>
        <v>100</v>
      </c>
      <c r="V22" s="774" t="s">
        <v>17</v>
      </c>
      <c r="W22" s="775">
        <f>J22</f>
        <v>100</v>
      </c>
      <c r="X22" s="1816"/>
      <c r="Y22" s="320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4"/>
      <c r="Q23" s="1813">
        <f>B23</f>
        <v>111</v>
      </c>
      <c r="R23" s="774" t="s">
        <v>17</v>
      </c>
      <c r="S23" s="775">
        <f>F23</f>
        <v>100</v>
      </c>
      <c r="T23" s="774" t="s">
        <v>17</v>
      </c>
      <c r="U23" s="775">
        <f>H23</f>
        <v>100</v>
      </c>
      <c r="V23" s="774" t="s">
        <v>17</v>
      </c>
      <c r="W23" s="775">
        <f>J23</f>
        <v>100</v>
      </c>
      <c r="X23" s="1816"/>
      <c r="Y23" s="320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4"/>
      <c r="Q24" s="1813">
        <f t="shared" ref="Q24:Q36" si="11">B24</f>
        <v>111</v>
      </c>
      <c r="R24" s="774" t="s">
        <v>17</v>
      </c>
      <c r="S24" s="775">
        <f>F24</f>
        <v>100</v>
      </c>
      <c r="T24" s="774" t="s">
        <v>17</v>
      </c>
      <c r="U24" s="775">
        <f>H24</f>
        <v>100</v>
      </c>
      <c r="V24" s="774" t="s">
        <v>17</v>
      </c>
      <c r="W24" s="775">
        <f>J24</f>
        <v>100</v>
      </c>
      <c r="X24" s="1816"/>
      <c r="Y24" s="320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4"/>
      <c r="Q25" s="1798">
        <f t="shared" si="11"/>
        <v>111</v>
      </c>
      <c r="R25" s="770" t="s">
        <v>17</v>
      </c>
      <c r="S25" s="771">
        <f>F25</f>
        <v>100</v>
      </c>
      <c r="T25" s="770" t="s">
        <v>17</v>
      </c>
      <c r="U25" s="771">
        <f>H25</f>
        <v>100</v>
      </c>
      <c r="V25" s="770" t="s">
        <v>17</v>
      </c>
      <c r="W25" s="771">
        <f>J25</f>
        <v>100</v>
      </c>
      <c r="X25" s="772"/>
      <c r="Y25" s="3204"/>
      <c r="Z25" s="55">
        <f>Q25</f>
        <v>111</v>
      </c>
      <c r="AA25" s="1814">
        <f>D25/F25</f>
        <v>1</v>
      </c>
      <c r="AB25" s="1814">
        <f>D25/H25</f>
        <v>1</v>
      </c>
      <c r="AC25" s="1814">
        <f>D25/J25</f>
        <v>1</v>
      </c>
    </row>
    <row r="26" spans="1:29" ht="1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81"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8"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8"/>
      <c r="Q28" s="1813" t="str">
        <f t="shared" si="11"/>
        <v>公共部分装修</v>
      </c>
      <c r="R28" s="774" t="s">
        <v>17</v>
      </c>
      <c r="S28" s="775">
        <f t="shared" si="12"/>
        <v>100</v>
      </c>
      <c r="T28" s="774" t="s">
        <v>17</v>
      </c>
      <c r="U28" s="775">
        <f t="shared" si="13"/>
        <v>100</v>
      </c>
      <c r="V28" s="774" t="s">
        <v>17</v>
      </c>
      <c r="W28" s="775">
        <f t="shared" si="14"/>
        <v>100</v>
      </c>
      <c r="X28" s="1816"/>
      <c r="Y28" s="3208"/>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8"/>
      <c r="Q29" s="1813" t="str">
        <f t="shared" si="11"/>
        <v>成新率</v>
      </c>
      <c r="R29" s="774" t="s">
        <v>17</v>
      </c>
      <c r="S29" s="775" t="e">
        <f t="shared" si="12"/>
        <v>#N/A</v>
      </c>
      <c r="T29" s="774" t="s">
        <v>17</v>
      </c>
      <c r="U29" s="775" t="e">
        <f t="shared" si="13"/>
        <v>#N/A</v>
      </c>
      <c r="V29" s="774" t="s">
        <v>17</v>
      </c>
      <c r="W29" s="775" t="e">
        <f t="shared" si="14"/>
        <v>#N/A</v>
      </c>
      <c r="X29" s="1816"/>
      <c r="Y29" s="3208"/>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8"/>
      <c r="Q30" s="1813" t="str">
        <f t="shared" si="11"/>
        <v>物业等级</v>
      </c>
      <c r="R30" s="774" t="s">
        <v>17</v>
      </c>
      <c r="S30" s="775">
        <f t="shared" si="12"/>
        <v>100</v>
      </c>
      <c r="T30" s="774" t="s">
        <v>17</v>
      </c>
      <c r="U30" s="775">
        <f t="shared" si="13"/>
        <v>100</v>
      </c>
      <c r="V30" s="774" t="s">
        <v>17</v>
      </c>
      <c r="W30" s="775">
        <f t="shared" si="14"/>
        <v>100</v>
      </c>
      <c r="X30" s="1816"/>
      <c r="Y30" s="3208"/>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8"/>
      <c r="Q31" s="1798"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8" t="s">
        <v>2563</v>
      </c>
      <c r="Q32" s="1813" t="str">
        <f t="shared" si="11"/>
        <v>车位类型</v>
      </c>
      <c r="R32" s="774" t="s">
        <v>17</v>
      </c>
      <c r="S32" s="775">
        <f t="shared" si="12"/>
        <v>100</v>
      </c>
      <c r="T32" s="774" t="s">
        <v>17</v>
      </c>
      <c r="U32" s="775">
        <f t="shared" si="13"/>
        <v>100</v>
      </c>
      <c r="V32" s="774" t="s">
        <v>17</v>
      </c>
      <c r="W32" s="775">
        <f t="shared" si="14"/>
        <v>100</v>
      </c>
      <c r="X32" s="1816"/>
      <c r="Y32" s="3208"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8"/>
      <c r="Q33" s="1813" t="str">
        <f t="shared" si="11"/>
        <v>是否直接入户</v>
      </c>
      <c r="R33" s="774" t="s">
        <v>17</v>
      </c>
      <c r="S33" s="775">
        <f t="shared" si="12"/>
        <v>100</v>
      </c>
      <c r="T33" s="774" t="s">
        <v>17</v>
      </c>
      <c r="U33" s="775">
        <f t="shared" si="13"/>
        <v>100</v>
      </c>
      <c r="V33" s="774" t="s">
        <v>17</v>
      </c>
      <c r="W33" s="775">
        <f t="shared" si="14"/>
        <v>100</v>
      </c>
      <c r="X33" s="1816"/>
      <c r="Y33" s="320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8"/>
      <c r="Q34" s="1813">
        <f t="shared" si="11"/>
        <v>111</v>
      </c>
      <c r="R34" s="774" t="s">
        <v>17</v>
      </c>
      <c r="S34" s="775">
        <f t="shared" si="12"/>
        <v>100</v>
      </c>
      <c r="T34" s="774" t="s">
        <v>17</v>
      </c>
      <c r="U34" s="775">
        <f t="shared" si="13"/>
        <v>100</v>
      </c>
      <c r="V34" s="774" t="s">
        <v>17</v>
      </c>
      <c r="W34" s="775">
        <f t="shared" si="14"/>
        <v>100</v>
      </c>
      <c r="X34" s="1816"/>
      <c r="Y34" s="320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8"/>
      <c r="Q36" s="1813">
        <f t="shared" si="11"/>
        <v>111</v>
      </c>
      <c r="R36" s="774" t="s">
        <v>17</v>
      </c>
      <c r="S36" s="775">
        <f t="shared" si="12"/>
        <v>100</v>
      </c>
      <c r="T36" s="774" t="s">
        <v>17</v>
      </c>
      <c r="U36" s="775">
        <f t="shared" si="13"/>
        <v>100</v>
      </c>
      <c r="V36" s="774" t="s">
        <v>17</v>
      </c>
      <c r="W36" s="775">
        <f t="shared" si="14"/>
        <v>100</v>
      </c>
      <c r="X36" s="1816"/>
      <c r="Y36" s="3208"/>
      <c r="Z36" s="1817">
        <f t="shared" si="15"/>
        <v>111</v>
      </c>
      <c r="AA36" s="1814">
        <f t="shared" si="3"/>
        <v>1</v>
      </c>
      <c r="AB36" s="1814">
        <f t="shared" si="4"/>
        <v>1</v>
      </c>
      <c r="AC36" s="1814">
        <f t="shared" si="5"/>
        <v>1</v>
      </c>
    </row>
    <row r="37" spans="1:29" ht="15">
      <c r="A37" s="479" t="s">
        <v>2718</v>
      </c>
      <c r="B37" s="2698" t="s">
        <v>2719</v>
      </c>
      <c r="C37" s="1410" t="s">
        <v>1</v>
      </c>
      <c r="D37" s="1411"/>
      <c r="E37" s="1412"/>
      <c r="F37" s="1413"/>
      <c r="G37" s="1414"/>
      <c r="H37" s="1415"/>
      <c r="I37" s="1412"/>
      <c r="J37" s="1415"/>
      <c r="K37" s="619"/>
      <c r="L37" s="1146"/>
      <c r="M37" s="1147"/>
      <c r="N37" s="1134"/>
      <c r="O37" s="1147"/>
      <c r="P37" s="3196" t="str">
        <f>A37</f>
        <v>成交单价</v>
      </c>
      <c r="Q37" s="3196"/>
      <c r="R37" s="3197">
        <f>E37</f>
        <v>0</v>
      </c>
      <c r="S37" s="3197"/>
      <c r="T37" s="3197">
        <f>G37</f>
        <v>0</v>
      </c>
      <c r="U37" s="3197"/>
      <c r="V37" s="3197">
        <f>I37</f>
        <v>0</v>
      </c>
      <c r="W37" s="3197"/>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6" t="str">
        <f>A38</f>
        <v>比较价值（元/平方米）</v>
      </c>
      <c r="Q38" s="3196"/>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29"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35" t="s">
        <v>2547</v>
      </c>
      <c r="Q7" s="3237"/>
      <c r="R7" s="770" t="s">
        <v>17</v>
      </c>
      <c r="S7" s="771">
        <f t="shared" ref="S7:S14" si="0">F7</f>
        <v>0</v>
      </c>
      <c r="T7" s="770" t="s">
        <v>17</v>
      </c>
      <c r="U7" s="771">
        <f t="shared" ref="U7:U14" si="1">H7</f>
        <v>0</v>
      </c>
      <c r="V7" s="770" t="s">
        <v>17</v>
      </c>
      <c r="W7" s="771">
        <f t="shared" ref="W7:W14" si="2">J7</f>
        <v>0</v>
      </c>
      <c r="X7" s="772"/>
      <c r="Y7" s="3235" t="s">
        <v>2547</v>
      </c>
      <c r="Z7" s="323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6" t="s">
        <v>2553</v>
      </c>
      <c r="Q9" s="1798" t="str">
        <f t="shared" ref="Q9:Q14" si="6">B9</f>
        <v>用途</v>
      </c>
      <c r="R9" s="770" t="s">
        <v>17</v>
      </c>
      <c r="S9" s="771">
        <f t="shared" si="0"/>
        <v>100</v>
      </c>
      <c r="T9" s="770" t="s">
        <v>17</v>
      </c>
      <c r="U9" s="771">
        <f t="shared" si="1"/>
        <v>100</v>
      </c>
      <c r="V9" s="770" t="s">
        <v>17</v>
      </c>
      <c r="W9" s="771">
        <f t="shared" si="2"/>
        <v>100</v>
      </c>
      <c r="X9" s="772"/>
      <c r="Y9" s="3046"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6"/>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6"/>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6"/>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42.5">
      <c r="A14" s="440" t="s">
        <v>2557</v>
      </c>
      <c r="B14" s="69" t="s">
        <v>2707</v>
      </c>
      <c r="C14" s="2696" t="str">
        <f>IF(B1="工业",估价对象房地状况!G4,估价对象房地状况!C6)</f>
        <v>估价对象周边道路路网密集，有延安南路、塔城东路、公共交通通达情况较好，有1路、54路、44路，停车便捷程度较好，综合评价交通便捷度较好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3" t="s">
        <v>2558</v>
      </c>
      <c r="Q14" s="1813" t="str">
        <f t="shared" si="6"/>
        <v>交通便捷度</v>
      </c>
      <c r="R14" s="774" t="s">
        <v>17</v>
      </c>
      <c r="S14" s="775">
        <f t="shared" si="0"/>
        <v>100</v>
      </c>
      <c r="T14" s="774" t="s">
        <v>17</v>
      </c>
      <c r="U14" s="775">
        <f t="shared" si="1"/>
        <v>100</v>
      </c>
      <c r="V14" s="774" t="s">
        <v>17</v>
      </c>
      <c r="W14" s="775">
        <f t="shared" si="2"/>
        <v>100</v>
      </c>
      <c r="X14" s="1816"/>
      <c r="Y14" s="3203"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4"/>
      <c r="Q15" s="1813"/>
      <c r="R15" s="774"/>
      <c r="S15" s="775"/>
      <c r="T15" s="774"/>
      <c r="U15" s="775"/>
      <c r="V15" s="774"/>
      <c r="W15" s="775"/>
      <c r="X15" s="1816"/>
      <c r="Y15" s="3204"/>
      <c r="Z15" s="1817"/>
      <c r="AA15" s="1814">
        <v>1</v>
      </c>
      <c r="AB15" s="1814">
        <v>1</v>
      </c>
      <c r="AC15" s="1814">
        <v>1</v>
      </c>
    </row>
    <row r="16" spans="1:29" ht="128.25">
      <c r="A16" s="428"/>
      <c r="B16" s="451" t="s">
        <v>2686</v>
      </c>
      <c r="C16" s="2610" t="str">
        <f>IF(B1="工业",估价对象房地状况!G5,估价对象房地状况!C7)</f>
        <v>估价对象所在区域有中国工商银行、昌吉市北京南路石油新村社区卫生服务站、铭日商店、昌吉市第五小学，公共配套设施较较齐备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4"/>
      <c r="Q16" s="1813" t="str">
        <f>B16</f>
        <v>公共配套设施</v>
      </c>
      <c r="R16" s="774" t="s">
        <v>17</v>
      </c>
      <c r="S16" s="775">
        <f>F16</f>
        <v>100</v>
      </c>
      <c r="T16" s="774" t="s">
        <v>17</v>
      </c>
      <c r="U16" s="775">
        <f>H16</f>
        <v>100</v>
      </c>
      <c r="V16" s="774" t="s">
        <v>17</v>
      </c>
      <c r="W16" s="775">
        <f>J16</f>
        <v>100</v>
      </c>
      <c r="X16" s="1816"/>
      <c r="Y16" s="3204"/>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04"/>
      <c r="Q17" s="1813"/>
      <c r="R17" s="774"/>
      <c r="S17" s="775"/>
      <c r="T17" s="774"/>
      <c r="U17" s="775"/>
      <c r="V17" s="774"/>
      <c r="W17" s="775"/>
      <c r="X17" s="1816"/>
      <c r="Y17" s="3204"/>
      <c r="Z17" s="1817"/>
      <c r="AA17" s="1814">
        <v>1</v>
      </c>
      <c r="AB17" s="1814">
        <v>1</v>
      </c>
      <c r="AC17" s="1814">
        <v>1</v>
      </c>
    </row>
    <row r="18" spans="1:29" ht="28.5">
      <c r="A18" s="428"/>
      <c r="B18" s="1387" t="s">
        <v>2687</v>
      </c>
      <c r="C18" s="2610" t="str">
        <f>IF(B1="工业",估价对象房地状况!G6,估价对象房地状况!C8)</f>
        <v>估价对象所在区域基础设施七通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4"/>
      <c r="Q18" s="1813" t="str">
        <f>B18</f>
        <v>基础设施水平</v>
      </c>
      <c r="R18" s="774" t="s">
        <v>17</v>
      </c>
      <c r="S18" s="775">
        <f>F18</f>
        <v>100</v>
      </c>
      <c r="T18" s="774" t="s">
        <v>17</v>
      </c>
      <c r="U18" s="775">
        <f>H18</f>
        <v>100</v>
      </c>
      <c r="V18" s="774" t="s">
        <v>17</v>
      </c>
      <c r="W18" s="775">
        <f>J18</f>
        <v>100</v>
      </c>
      <c r="X18" s="1816"/>
      <c r="Y18" s="3204"/>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04"/>
      <c r="Q19" s="1813"/>
      <c r="R19" s="774"/>
      <c r="S19" s="775"/>
      <c r="T19" s="774"/>
      <c r="U19" s="775"/>
      <c r="V19" s="774"/>
      <c r="W19" s="775"/>
      <c r="X19" s="1816"/>
      <c r="Y19" s="3204"/>
      <c r="Z19" s="1817"/>
      <c r="AA19" s="1814">
        <v>1</v>
      </c>
      <c r="AB19" s="1814">
        <v>1</v>
      </c>
      <c r="AC19" s="1814">
        <v>1</v>
      </c>
    </row>
    <row r="20" spans="1:29" ht="99.75">
      <c r="A20" s="428"/>
      <c r="B20" s="451" t="s">
        <v>2708</v>
      </c>
      <c r="C20" s="2610" t="str">
        <f>IF(B1="工业",估价对象房地状况!G7,估价对象房地状况!C9)</f>
        <v>区域内有晋昌公园，自然环境较好；有昌吉回族自治州技师培训学院，人文环境较好；综合评价环境状况较好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4"/>
      <c r="Q20" s="1813" t="str">
        <f>B20</f>
        <v>自然及人文环境</v>
      </c>
      <c r="R20" s="774" t="s">
        <v>17</v>
      </c>
      <c r="S20" s="775">
        <f>F20</f>
        <v>100</v>
      </c>
      <c r="T20" s="774" t="s">
        <v>17</v>
      </c>
      <c r="U20" s="775">
        <f>H20</f>
        <v>100</v>
      </c>
      <c r="V20" s="774" t="s">
        <v>17</v>
      </c>
      <c r="W20" s="775">
        <f>J20</f>
        <v>100</v>
      </c>
      <c r="X20" s="1816"/>
      <c r="Y20" s="320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4"/>
      <c r="Q21" s="1813"/>
      <c r="R21" s="774"/>
      <c r="S21" s="775"/>
      <c r="T21" s="774"/>
      <c r="U21" s="775"/>
      <c r="V21" s="774"/>
      <c r="W21" s="775"/>
      <c r="X21" s="1816"/>
      <c r="Y21" s="3204"/>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4"/>
      <c r="Q22" s="1813" t="str">
        <f>B22</f>
        <v>楼层</v>
      </c>
      <c r="R22" s="774" t="s">
        <v>17</v>
      </c>
      <c r="S22" s="775">
        <f>F22</f>
        <v>100</v>
      </c>
      <c r="T22" s="774" t="s">
        <v>17</v>
      </c>
      <c r="U22" s="775">
        <f>H22</f>
        <v>100</v>
      </c>
      <c r="V22" s="774" t="s">
        <v>17</v>
      </c>
      <c r="W22" s="775">
        <f>J22</f>
        <v>100</v>
      </c>
      <c r="X22" s="1816"/>
      <c r="Y22" s="3204"/>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4"/>
      <c r="Q23" s="1813">
        <f>B23</f>
        <v>111</v>
      </c>
      <c r="R23" s="774" t="s">
        <v>17</v>
      </c>
      <c r="S23" s="775">
        <f>F23</f>
        <v>100</v>
      </c>
      <c r="T23" s="774" t="s">
        <v>17</v>
      </c>
      <c r="U23" s="775">
        <f>H23</f>
        <v>100</v>
      </c>
      <c r="V23" s="774" t="s">
        <v>17</v>
      </c>
      <c r="W23" s="775">
        <f>J23</f>
        <v>100</v>
      </c>
      <c r="X23" s="1816"/>
      <c r="Y23" s="3204"/>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4"/>
      <c r="Q24" s="1813">
        <f t="shared" ref="Q24:Q34" si="11">B24</f>
        <v>111</v>
      </c>
      <c r="R24" s="774" t="s">
        <v>17</v>
      </c>
      <c r="S24" s="775">
        <f>F24</f>
        <v>100</v>
      </c>
      <c r="T24" s="774" t="s">
        <v>17</v>
      </c>
      <c r="U24" s="775">
        <f>H24</f>
        <v>100</v>
      </c>
      <c r="V24" s="774" t="s">
        <v>17</v>
      </c>
      <c r="W24" s="775">
        <f>J24</f>
        <v>100</v>
      </c>
      <c r="X24" s="1816"/>
      <c r="Y24" s="3204"/>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04"/>
      <c r="Q25" s="1798">
        <f t="shared" si="11"/>
        <v>111</v>
      </c>
      <c r="R25" s="770" t="s">
        <v>17</v>
      </c>
      <c r="S25" s="771">
        <f>F25</f>
        <v>100</v>
      </c>
      <c r="T25" s="770" t="s">
        <v>17</v>
      </c>
      <c r="U25" s="771">
        <f>H25</f>
        <v>100</v>
      </c>
      <c r="V25" s="770" t="s">
        <v>17</v>
      </c>
      <c r="W25" s="771">
        <f>J25</f>
        <v>100</v>
      </c>
      <c r="X25" s="772"/>
      <c r="Y25" s="3204"/>
      <c r="Z25" s="55">
        <f>Q25</f>
        <v>111</v>
      </c>
      <c r="AA25" s="1814">
        <f>D25/F25</f>
        <v>1</v>
      </c>
      <c r="AB25" s="1814">
        <f>D25/H25</f>
        <v>1</v>
      </c>
      <c r="AC25" s="1814">
        <f>D25/J25</f>
        <v>1</v>
      </c>
    </row>
    <row r="26" spans="1:29" ht="1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81"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8"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8"/>
      <c r="Q28" s="1813" t="str">
        <f t="shared" si="11"/>
        <v>物业等级</v>
      </c>
      <c r="R28" s="774" t="s">
        <v>17</v>
      </c>
      <c r="S28" s="775">
        <f t="shared" si="12"/>
        <v>100</v>
      </c>
      <c r="T28" s="774" t="s">
        <v>17</v>
      </c>
      <c r="U28" s="775">
        <f t="shared" si="13"/>
        <v>100</v>
      </c>
      <c r="V28" s="774" t="s">
        <v>17</v>
      </c>
      <c r="W28" s="775">
        <f t="shared" si="14"/>
        <v>100</v>
      </c>
      <c r="X28" s="1816"/>
      <c r="Y28" s="3208"/>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8"/>
      <c r="Q29" s="1813" t="str">
        <f t="shared" si="11"/>
        <v>有无电梯</v>
      </c>
      <c r="R29" s="774" t="s">
        <v>17</v>
      </c>
      <c r="S29" s="775">
        <f t="shared" si="12"/>
        <v>100</v>
      </c>
      <c r="T29" s="774" t="s">
        <v>17</v>
      </c>
      <c r="U29" s="775">
        <f t="shared" si="13"/>
        <v>100</v>
      </c>
      <c r="V29" s="774" t="s">
        <v>17</v>
      </c>
      <c r="W29" s="775">
        <f t="shared" si="14"/>
        <v>100</v>
      </c>
      <c r="X29" s="1816"/>
      <c r="Y29" s="3208"/>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8"/>
      <c r="Q30" s="1813" t="str">
        <f t="shared" si="11"/>
        <v>建筑面积</v>
      </c>
      <c r="R30" s="774" t="s">
        <v>17</v>
      </c>
      <c r="S30" s="775" t="e">
        <f t="shared" si="12"/>
        <v>#N/A</v>
      </c>
      <c r="T30" s="774" t="s">
        <v>17</v>
      </c>
      <c r="U30" s="775" t="e">
        <f t="shared" si="13"/>
        <v>#N/A</v>
      </c>
      <c r="V30" s="774" t="s">
        <v>17</v>
      </c>
      <c r="W30" s="775" t="e">
        <f t="shared" si="14"/>
        <v>#N/A</v>
      </c>
      <c r="X30" s="1816"/>
      <c r="Y30" s="3208"/>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8"/>
      <c r="Q31" s="1798"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8" t="s">
        <v>2563</v>
      </c>
      <c r="Q32" s="1813">
        <f t="shared" si="11"/>
        <v>111</v>
      </c>
      <c r="R32" s="774" t="s">
        <v>17</v>
      </c>
      <c r="S32" s="775">
        <f t="shared" si="12"/>
        <v>100</v>
      </c>
      <c r="T32" s="774" t="s">
        <v>17</v>
      </c>
      <c r="U32" s="775">
        <f t="shared" si="13"/>
        <v>100</v>
      </c>
      <c r="V32" s="774" t="s">
        <v>17</v>
      </c>
      <c r="W32" s="775">
        <f t="shared" si="14"/>
        <v>100</v>
      </c>
      <c r="X32" s="1816"/>
      <c r="Y32" s="3208"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8"/>
      <c r="Q33" s="1813">
        <f t="shared" si="11"/>
        <v>111</v>
      </c>
      <c r="R33" s="774" t="s">
        <v>17</v>
      </c>
      <c r="S33" s="775">
        <f t="shared" si="12"/>
        <v>100</v>
      </c>
      <c r="T33" s="774" t="s">
        <v>17</v>
      </c>
      <c r="U33" s="775">
        <f t="shared" si="13"/>
        <v>100</v>
      </c>
      <c r="V33" s="774" t="s">
        <v>17</v>
      </c>
      <c r="W33" s="775">
        <f t="shared" si="14"/>
        <v>100</v>
      </c>
      <c r="X33" s="1816"/>
      <c r="Y33" s="3208"/>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08"/>
      <c r="Q34" s="1813">
        <f t="shared" si="11"/>
        <v>111</v>
      </c>
      <c r="R34" s="774" t="s">
        <v>17</v>
      </c>
      <c r="S34" s="775">
        <f t="shared" si="12"/>
        <v>100</v>
      </c>
      <c r="T34" s="774" t="s">
        <v>17</v>
      </c>
      <c r="U34" s="775">
        <f t="shared" si="13"/>
        <v>100</v>
      </c>
      <c r="V34" s="774" t="s">
        <v>17</v>
      </c>
      <c r="W34" s="775">
        <f t="shared" si="14"/>
        <v>100</v>
      </c>
      <c r="X34" s="1816"/>
      <c r="Y34" s="3208"/>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196" t="str">
        <f>A35</f>
        <v>成交单价（元/平方米）</v>
      </c>
      <c r="Q35" s="3196"/>
      <c r="R35" s="3197">
        <f>E35</f>
        <v>0</v>
      </c>
      <c r="S35" s="3197"/>
      <c r="T35" s="3197">
        <f>G35</f>
        <v>0</v>
      </c>
      <c r="U35" s="3197"/>
      <c r="V35" s="3197">
        <f>I35</f>
        <v>0</v>
      </c>
      <c r="W35" s="3197"/>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30"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30" ht="15.75" thickBot="1">
      <c r="A6" s="406"/>
      <c r="B6" s="407"/>
      <c r="C6" s="3231" t="s">
        <v>2544</v>
      </c>
      <c r="D6" s="3232"/>
      <c r="E6" s="3238" t="s">
        <v>2544</v>
      </c>
      <c r="F6" s="3239"/>
      <c r="G6" s="3231" t="s">
        <v>2544</v>
      </c>
      <c r="H6" s="3232"/>
      <c r="I6" s="3231" t="s">
        <v>2544</v>
      </c>
      <c r="J6" s="3232"/>
      <c r="K6" s="610" t="s">
        <v>2545</v>
      </c>
      <c r="L6" s="1133"/>
      <c r="M6" s="1134"/>
      <c r="N6" s="1134"/>
      <c r="O6" s="1134"/>
      <c r="P6" s="3223"/>
      <c r="Q6" s="3224"/>
      <c r="R6" s="3227"/>
      <c r="S6" s="3228"/>
      <c r="T6" s="3229"/>
      <c r="U6" s="3230"/>
      <c r="V6" s="3210"/>
      <c r="W6" s="3210"/>
      <c r="X6" s="1816"/>
      <c r="Y6" s="3229"/>
      <c r="Z6" s="3230"/>
      <c r="AA6" s="3214"/>
      <c r="AB6" s="3214"/>
      <c r="AC6" s="3214"/>
    </row>
    <row r="7" spans="1:30" s="117" customFormat="1" ht="15.75" thickBot="1">
      <c r="A7" s="408" t="s">
        <v>2546</v>
      </c>
      <c r="B7" s="409"/>
      <c r="C7" s="410">
        <f>'数据-取费表'!B2</f>
        <v>43214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96"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96"/>
      <c r="Q10" s="1798" t="str">
        <f t="shared" si="6"/>
        <v>土地使用年限（年）</v>
      </c>
      <c r="R10" s="770" t="s">
        <v>17</v>
      </c>
      <c r="S10" s="771">
        <f t="shared" si="0"/>
        <v>108</v>
      </c>
      <c r="T10" s="770" t="s">
        <v>17</v>
      </c>
      <c r="U10" s="771">
        <f t="shared" si="1"/>
        <v>108</v>
      </c>
      <c r="V10" s="770" t="s">
        <v>17</v>
      </c>
      <c r="W10" s="771">
        <f t="shared" si="2"/>
        <v>108</v>
      </c>
      <c r="X10" s="772"/>
      <c r="Y10" s="3046"/>
      <c r="Z10" s="55" t="str">
        <f t="shared" si="7"/>
        <v>土地使用年限（年）</v>
      </c>
      <c r="AA10" s="773">
        <f t="shared" si="3"/>
        <v>0.92592592592592593</v>
      </c>
      <c r="AB10" s="773">
        <f t="shared" si="4"/>
        <v>0.92592592592592593</v>
      </c>
      <c r="AC10" s="773">
        <f t="shared" si="5"/>
        <v>0.92592592592592593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6"/>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6"/>
      <c r="Q12" s="1798"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6"/>
      <c r="Q14" s="1798">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99.75">
      <c r="A15" s="440" t="s">
        <v>2557</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3" t="s">
        <v>2558</v>
      </c>
      <c r="Q15" s="1813" t="str">
        <f t="shared" si="6"/>
        <v>居住社区成熟度</v>
      </c>
      <c r="R15" s="774" t="s">
        <v>17</v>
      </c>
      <c r="S15" s="775">
        <f t="shared" si="0"/>
        <v>100</v>
      </c>
      <c r="T15" s="774" t="s">
        <v>17</v>
      </c>
      <c r="U15" s="775">
        <f t="shared" si="1"/>
        <v>100</v>
      </c>
      <c r="V15" s="774" t="s">
        <v>17</v>
      </c>
      <c r="W15" s="775">
        <f t="shared" si="2"/>
        <v>100</v>
      </c>
      <c r="X15" s="1816"/>
      <c r="Y15" s="3203"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04"/>
      <c r="Q16" s="1813"/>
      <c r="R16" s="774"/>
      <c r="S16" s="775"/>
      <c r="T16" s="774"/>
      <c r="U16" s="775"/>
      <c r="V16" s="774"/>
      <c r="W16" s="775"/>
      <c r="X16" s="1816"/>
      <c r="Y16" s="3204"/>
      <c r="Z16" s="1817"/>
      <c r="AA16" s="1814">
        <v>1</v>
      </c>
      <c r="AB16" s="1814">
        <v>1</v>
      </c>
      <c r="AC16" s="1814">
        <v>1</v>
      </c>
    </row>
    <row r="17" spans="1:29" ht="71.25">
      <c r="A17" s="428"/>
      <c r="B17" s="451" t="s">
        <v>2651</v>
      </c>
      <c r="C17" s="2667" t="str">
        <f>估价对象房地状况!C16</f>
        <v>估价对象周边商业氛围一般，有华阳广场，人流量一般，商业繁华度一般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4"/>
      <c r="Q17" s="1813" t="str">
        <f>B17</f>
        <v>商业繁华度</v>
      </c>
      <c r="R17" s="774" t="s">
        <v>17</v>
      </c>
      <c r="S17" s="775">
        <f>F17</f>
        <v>100</v>
      </c>
      <c r="T17" s="774" t="s">
        <v>17</v>
      </c>
      <c r="U17" s="775">
        <f>H17</f>
        <v>100</v>
      </c>
      <c r="V17" s="774" t="s">
        <v>17</v>
      </c>
      <c r="W17" s="775">
        <f>J17</f>
        <v>100</v>
      </c>
      <c r="X17" s="1816"/>
      <c r="Y17" s="3204"/>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04"/>
      <c r="Q18" s="1813"/>
      <c r="R18" s="774"/>
      <c r="S18" s="775"/>
      <c r="T18" s="774"/>
      <c r="U18" s="775"/>
      <c r="V18" s="774"/>
      <c r="W18" s="775"/>
      <c r="X18" s="1816"/>
      <c r="Y18" s="3204"/>
      <c r="Z18" s="1817"/>
      <c r="AA18" s="1814">
        <v>1</v>
      </c>
      <c r="AB18" s="1814">
        <v>1</v>
      </c>
      <c r="AC18" s="1814">
        <v>1</v>
      </c>
    </row>
    <row r="19" spans="1:29" ht="71.25">
      <c r="A19" s="428"/>
      <c r="B19" s="451" t="s">
        <v>2685</v>
      </c>
      <c r="C19" s="2667" t="str">
        <f>估价对象房地状况!C17</f>
        <v>估价对象周边办公楼项目数量一般，入驻率较高，办公集聚程度一般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4"/>
      <c r="Q19" s="1813" t="str">
        <f>B19</f>
        <v>办公集聚程度</v>
      </c>
      <c r="R19" s="774" t="s">
        <v>17</v>
      </c>
      <c r="S19" s="775">
        <f>F19</f>
        <v>100</v>
      </c>
      <c r="T19" s="774" t="s">
        <v>17</v>
      </c>
      <c r="U19" s="775">
        <f>H19</f>
        <v>100</v>
      </c>
      <c r="V19" s="774" t="s">
        <v>17</v>
      </c>
      <c r="W19" s="775">
        <f>J19</f>
        <v>100</v>
      </c>
      <c r="X19" s="1816"/>
      <c r="Y19" s="3204"/>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04"/>
      <c r="Q20" s="1813"/>
      <c r="R20" s="774"/>
      <c r="S20" s="775"/>
      <c r="T20" s="774"/>
      <c r="U20" s="775"/>
      <c r="V20" s="774"/>
      <c r="W20" s="775"/>
      <c r="X20" s="1816"/>
      <c r="Y20" s="3204"/>
      <c r="Z20" s="1817"/>
      <c r="AA20" s="1814">
        <v>1</v>
      </c>
      <c r="AB20" s="1814">
        <v>1</v>
      </c>
      <c r="AC20" s="1814">
        <v>1</v>
      </c>
    </row>
    <row r="21" spans="1:29" ht="142.5">
      <c r="A21" s="428"/>
      <c r="B21" s="451" t="s">
        <v>2707</v>
      </c>
      <c r="C21" s="2610" t="str">
        <f>估价对象房地状况!C18</f>
        <v>估价对象周边道路路网密集，有延安南路、塔城东路、公共交通通达情况较好，有1路、54路、44路，停车便捷程度较好，综合评价交通便捷度较好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4"/>
      <c r="Q21" s="1813" t="str">
        <f>B21</f>
        <v>交通便捷度</v>
      </c>
      <c r="R21" s="774" t="s">
        <v>17</v>
      </c>
      <c r="S21" s="775">
        <f>F21</f>
        <v>100</v>
      </c>
      <c r="T21" s="774" t="s">
        <v>17</v>
      </c>
      <c r="U21" s="775">
        <f>H21</f>
        <v>100</v>
      </c>
      <c r="V21" s="774" t="s">
        <v>17</v>
      </c>
      <c r="W21" s="775">
        <f>J21</f>
        <v>100</v>
      </c>
      <c r="X21" s="1816"/>
      <c r="Y21" s="3204"/>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04"/>
      <c r="Q22" s="1813"/>
      <c r="R22" s="774"/>
      <c r="S22" s="775"/>
      <c r="T22" s="774"/>
      <c r="U22" s="775"/>
      <c r="V22" s="774"/>
      <c r="W22" s="775"/>
      <c r="X22" s="1816"/>
      <c r="Y22" s="3204"/>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4"/>
      <c r="Q23" s="1813" t="str">
        <f t="shared" ref="Q23:Q37" si="8">B23</f>
        <v>区域土地利用方向</v>
      </c>
      <c r="R23" s="774" t="s">
        <v>17</v>
      </c>
      <c r="S23" s="775">
        <f>F23</f>
        <v>100</v>
      </c>
      <c r="T23" s="774" t="s">
        <v>17</v>
      </c>
      <c r="U23" s="775">
        <f>H23</f>
        <v>100</v>
      </c>
      <c r="V23" s="774" t="s">
        <v>17</v>
      </c>
      <c r="W23" s="775">
        <f>J23</f>
        <v>100</v>
      </c>
      <c r="X23" s="1816"/>
      <c r="Y23" s="3204"/>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04"/>
      <c r="Q24" s="1813"/>
      <c r="R24" s="774"/>
      <c r="S24" s="775"/>
      <c r="T24" s="774"/>
      <c r="U24" s="775"/>
      <c r="V24" s="774"/>
      <c r="W24" s="775"/>
      <c r="X24" s="1816"/>
      <c r="Y24" s="3204"/>
      <c r="Z24" s="1817"/>
      <c r="AA24" s="1814"/>
      <c r="AB24" s="1814"/>
      <c r="AC24" s="1814"/>
    </row>
    <row r="25" spans="1:29" ht="99.75">
      <c r="A25" s="404"/>
      <c r="B25" s="1387" t="s">
        <v>2747</v>
      </c>
      <c r="C25" s="2667" t="str">
        <f>估价对象房地状况!C20</f>
        <v>区域内有晋昌公园，自然环境较好；有昌吉回族自治州技师培训学院，人文环境较好；综合评价环境状况较好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4"/>
      <c r="Q25" s="1813" t="str">
        <f t="shared" si="8"/>
        <v>自然及人文环境状况</v>
      </c>
      <c r="R25" s="774" t="s">
        <v>17</v>
      </c>
      <c r="S25" s="775">
        <f>F25</f>
        <v>100</v>
      </c>
      <c r="T25" s="774" t="s">
        <v>17</v>
      </c>
      <c r="U25" s="775">
        <f>H25</f>
        <v>100</v>
      </c>
      <c r="V25" s="774" t="s">
        <v>17</v>
      </c>
      <c r="W25" s="775">
        <f>J25</f>
        <v>100</v>
      </c>
      <c r="X25" s="1816"/>
      <c r="Y25" s="3204"/>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04"/>
      <c r="Q26" s="1813"/>
      <c r="R26" s="774"/>
      <c r="S26" s="775"/>
      <c r="T26" s="774"/>
      <c r="U26" s="775"/>
      <c r="V26" s="774"/>
      <c r="W26" s="775"/>
      <c r="X26" s="1816"/>
      <c r="Y26" s="3204"/>
      <c r="Z26" s="1817"/>
      <c r="AA26" s="1814">
        <v>1</v>
      </c>
      <c r="AB26" s="1814">
        <v>1</v>
      </c>
      <c r="AC26" s="1814">
        <v>1</v>
      </c>
    </row>
    <row r="27" spans="1:29" s="117" customFormat="1" ht="128.25">
      <c r="A27" s="649"/>
      <c r="B27" s="1387" t="s">
        <v>2652</v>
      </c>
      <c r="C27" s="2610" t="str">
        <f>估价对象房地状况!C21</f>
        <v>估价对象所在区域有中国工商银行、昌吉市北京南路石油新村社区卫生服务站、铭日商店、昌吉市第五小学，公共配套设施较较齐备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4"/>
      <c r="Q27" s="1798" t="str">
        <f t="shared" si="8"/>
        <v>公共配套设施</v>
      </c>
      <c r="R27" s="770" t="s">
        <v>17</v>
      </c>
      <c r="S27" s="771">
        <f>F27</f>
        <v>100</v>
      </c>
      <c r="T27" s="770" t="s">
        <v>17</v>
      </c>
      <c r="U27" s="771">
        <f>H27</f>
        <v>100</v>
      </c>
      <c r="V27" s="770" t="s">
        <v>17</v>
      </c>
      <c r="W27" s="771">
        <f>J27</f>
        <v>100</v>
      </c>
      <c r="X27" s="772"/>
      <c r="Y27" s="3204"/>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04"/>
      <c r="Q28" s="1798"/>
      <c r="R28" s="770"/>
      <c r="S28" s="771"/>
      <c r="T28" s="770"/>
      <c r="U28" s="771"/>
      <c r="V28" s="770"/>
      <c r="W28" s="771"/>
      <c r="X28" s="772"/>
      <c r="Y28" s="3204"/>
      <c r="Z28" s="55"/>
      <c r="AA28" s="1814">
        <v>1</v>
      </c>
      <c r="AB28" s="1814">
        <v>1</v>
      </c>
      <c r="AC28" s="1814">
        <v>1</v>
      </c>
    </row>
    <row r="29" spans="1:29" s="117" customFormat="1" ht="28.5">
      <c r="A29" s="649"/>
      <c r="B29" s="1387" t="s">
        <v>2653</v>
      </c>
      <c r="C29" s="2610" t="str">
        <f>估价对象房地状况!C22</f>
        <v>估价对象所在区域基础设施七通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4"/>
      <c r="Q29" s="1798"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04"/>
      <c r="Q30" s="1798"/>
      <c r="R30" s="770"/>
      <c r="S30" s="771"/>
      <c r="T30" s="770"/>
      <c r="U30" s="771"/>
      <c r="V30" s="770"/>
      <c r="W30" s="771"/>
      <c r="X30" s="772"/>
      <c r="Y30" s="3204"/>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4"/>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4"/>
      <c r="Q32" s="1813" t="str">
        <f t="shared" si="8"/>
        <v>毗邻道路的类型与等级</v>
      </c>
      <c r="R32" s="774" t="s">
        <v>17</v>
      </c>
      <c r="S32" s="775">
        <f t="shared" si="10"/>
        <v>100</v>
      </c>
      <c r="T32" s="774" t="s">
        <v>17</v>
      </c>
      <c r="U32" s="775">
        <f t="shared" si="11"/>
        <v>100</v>
      </c>
      <c r="V32" s="774" t="s">
        <v>17</v>
      </c>
      <c r="W32" s="775">
        <f t="shared" si="12"/>
        <v>100</v>
      </c>
      <c r="X32" s="1816"/>
      <c r="Y32" s="3204"/>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04"/>
      <c r="Q33" s="1813"/>
      <c r="R33" s="774"/>
      <c r="S33" s="775"/>
      <c r="T33" s="774"/>
      <c r="U33" s="775"/>
      <c r="V33" s="774"/>
      <c r="W33" s="775"/>
      <c r="X33" s="1816"/>
      <c r="Y33" s="3204"/>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4"/>
      <c r="Q34" s="1813" t="str">
        <f t="shared" si="8"/>
        <v>土地级别</v>
      </c>
      <c r="R34" s="774" t="s">
        <v>17</v>
      </c>
      <c r="S34" s="775">
        <f t="shared" si="10"/>
        <v>100</v>
      </c>
      <c r="T34" s="774" t="s">
        <v>17</v>
      </c>
      <c r="U34" s="775">
        <f t="shared" si="11"/>
        <v>100</v>
      </c>
      <c r="V34" s="774" t="s">
        <v>17</v>
      </c>
      <c r="W34" s="775">
        <f t="shared" si="12"/>
        <v>100</v>
      </c>
      <c r="X34" s="1816"/>
      <c r="Y34" s="320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4"/>
      <c r="Q35" s="1813">
        <f t="shared" si="8"/>
        <v>111</v>
      </c>
      <c r="R35" s="774" t="s">
        <v>17</v>
      </c>
      <c r="S35" s="775">
        <f t="shared" si="10"/>
        <v>100</v>
      </c>
      <c r="T35" s="774" t="s">
        <v>17</v>
      </c>
      <c r="U35" s="775">
        <f t="shared" si="11"/>
        <v>100</v>
      </c>
      <c r="V35" s="774" t="s">
        <v>17</v>
      </c>
      <c r="W35" s="775">
        <f t="shared" si="12"/>
        <v>100</v>
      </c>
      <c r="X35" s="1816"/>
      <c r="Y35" s="320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1" t="s">
        <v>2563</v>
      </c>
      <c r="Q36" s="1813">
        <f t="shared" si="8"/>
        <v>111</v>
      </c>
      <c r="R36" s="774" t="s">
        <v>17</v>
      </c>
      <c r="S36" s="775">
        <f t="shared" si="10"/>
        <v>100</v>
      </c>
      <c r="T36" s="774" t="s">
        <v>17</v>
      </c>
      <c r="U36" s="775">
        <f t="shared" si="11"/>
        <v>100</v>
      </c>
      <c r="V36" s="774" t="s">
        <v>17</v>
      </c>
      <c r="W36" s="775">
        <f t="shared" si="12"/>
        <v>100</v>
      </c>
      <c r="X36" s="1816"/>
      <c r="Y36" s="3208"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8"/>
      <c r="Q37" s="1813">
        <f t="shared" si="8"/>
        <v>111</v>
      </c>
      <c r="R37" s="777" t="s">
        <v>17</v>
      </c>
      <c r="S37" s="778">
        <f t="shared" si="10"/>
        <v>100</v>
      </c>
      <c r="T37" s="777" t="s">
        <v>17</v>
      </c>
      <c r="U37" s="778">
        <f t="shared" si="11"/>
        <v>100</v>
      </c>
      <c r="V37" s="777" t="s">
        <v>17</v>
      </c>
      <c r="W37" s="778">
        <f t="shared" si="12"/>
        <v>100</v>
      </c>
      <c r="X37" s="779"/>
      <c r="Y37" s="3208"/>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8"/>
      <c r="Q38" s="1813" t="str">
        <f>B38</f>
        <v>宗地面积</v>
      </c>
      <c r="R38" s="774" t="s">
        <v>17</v>
      </c>
      <c r="S38" s="775" t="e">
        <f t="shared" si="10"/>
        <v>#N/A</v>
      </c>
      <c r="T38" s="774" t="s">
        <v>17</v>
      </c>
      <c r="U38" s="775" t="e">
        <f t="shared" si="11"/>
        <v>#N/A</v>
      </c>
      <c r="V38" s="774" t="s">
        <v>17</v>
      </c>
      <c r="W38" s="775" t="e">
        <f t="shared" si="12"/>
        <v>#N/A</v>
      </c>
      <c r="X38" s="1816"/>
      <c r="Y38" s="3208"/>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08"/>
      <c r="Q39" s="1813" t="str">
        <f t="shared" ref="Q39:Q45" si="14">B39</f>
        <v>宗地形状</v>
      </c>
      <c r="R39" s="774" t="s">
        <v>17</v>
      </c>
      <c r="S39" s="775">
        <f t="shared" si="10"/>
        <v>100</v>
      </c>
      <c r="T39" s="774" t="s">
        <v>17</v>
      </c>
      <c r="U39" s="775">
        <f t="shared" si="11"/>
        <v>100</v>
      </c>
      <c r="V39" s="774" t="s">
        <v>17</v>
      </c>
      <c r="W39" s="775">
        <f t="shared" si="12"/>
        <v>100</v>
      </c>
      <c r="X39" s="1816"/>
      <c r="Y39" s="3208"/>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08"/>
      <c r="Q40" s="1813" t="str">
        <f t="shared" si="14"/>
        <v>临街宽度及深度</v>
      </c>
      <c r="R40" s="774" t="s">
        <v>17</v>
      </c>
      <c r="S40" s="775">
        <f t="shared" si="10"/>
        <v>100</v>
      </c>
      <c r="T40" s="774" t="s">
        <v>17</v>
      </c>
      <c r="U40" s="775">
        <f t="shared" si="11"/>
        <v>100</v>
      </c>
      <c r="V40" s="774" t="s">
        <v>17</v>
      </c>
      <c r="W40" s="775">
        <f t="shared" si="12"/>
        <v>100</v>
      </c>
      <c r="X40" s="1816"/>
      <c r="Y40" s="3208"/>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08"/>
      <c r="Q41" s="1813"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08" t="s">
        <v>2563</v>
      </c>
      <c r="Q42" s="1813" t="str">
        <f t="shared" si="14"/>
        <v>工程地质条件</v>
      </c>
      <c r="R42" s="774" t="s">
        <v>17</v>
      </c>
      <c r="S42" s="775">
        <f t="shared" si="10"/>
        <v>100</v>
      </c>
      <c r="T42" s="774" t="s">
        <v>17</v>
      </c>
      <c r="U42" s="775">
        <f t="shared" si="11"/>
        <v>100</v>
      </c>
      <c r="V42" s="774" t="s">
        <v>17</v>
      </c>
      <c r="W42" s="775">
        <f t="shared" si="12"/>
        <v>100</v>
      </c>
      <c r="X42" s="1816"/>
      <c r="Y42" s="3208"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8"/>
      <c r="Q43" s="1813">
        <f t="shared" si="14"/>
        <v>111</v>
      </c>
      <c r="R43" s="774" t="s">
        <v>17</v>
      </c>
      <c r="S43" s="775">
        <f t="shared" si="10"/>
        <v>100</v>
      </c>
      <c r="T43" s="774" t="s">
        <v>17</v>
      </c>
      <c r="U43" s="775">
        <f t="shared" si="11"/>
        <v>100</v>
      </c>
      <c r="V43" s="774" t="s">
        <v>17</v>
      </c>
      <c r="W43" s="775">
        <f t="shared" si="12"/>
        <v>100</v>
      </c>
      <c r="X43" s="1816"/>
      <c r="Y43" s="320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8"/>
      <c r="Q44" s="1813">
        <f t="shared" si="14"/>
        <v>111</v>
      </c>
      <c r="R44" s="774" t="s">
        <v>17</v>
      </c>
      <c r="S44" s="775">
        <f t="shared" si="10"/>
        <v>100</v>
      </c>
      <c r="T44" s="774" t="s">
        <v>17</v>
      </c>
      <c r="U44" s="775">
        <f t="shared" si="11"/>
        <v>100</v>
      </c>
      <c r="V44" s="774" t="s">
        <v>17</v>
      </c>
      <c r="W44" s="775">
        <f t="shared" si="12"/>
        <v>100</v>
      </c>
      <c r="X44" s="1816"/>
      <c r="Y44" s="3208"/>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8"/>
      <c r="Q45" s="1813">
        <f t="shared" si="14"/>
        <v>111</v>
      </c>
      <c r="R45" s="777" t="s">
        <v>17</v>
      </c>
      <c r="S45" s="778">
        <f t="shared" si="10"/>
        <v>100</v>
      </c>
      <c r="T45" s="777" t="s">
        <v>17</v>
      </c>
      <c r="U45" s="778">
        <f t="shared" si="11"/>
        <v>100</v>
      </c>
      <c r="V45" s="777" t="s">
        <v>17</v>
      </c>
      <c r="W45" s="778">
        <f t="shared" si="12"/>
        <v>100</v>
      </c>
      <c r="X45" s="779"/>
      <c r="Y45" s="3208"/>
      <c r="Z45" s="780">
        <f t="shared" si="13"/>
        <v>111</v>
      </c>
      <c r="AA45" s="1814">
        <f t="shared" si="3"/>
        <v>1</v>
      </c>
      <c r="AB45" s="1814">
        <f t="shared" si="4"/>
        <v>1</v>
      </c>
      <c r="AC45" s="1814">
        <f t="shared" si="5"/>
        <v>1</v>
      </c>
    </row>
    <row r="46" spans="1:29" ht="15">
      <c r="A46" s="479" t="s">
        <v>2718</v>
      </c>
      <c r="B46" s="2707" t="s">
        <v>2754</v>
      </c>
      <c r="C46" s="682" t="s">
        <v>1</v>
      </c>
      <c r="D46" s="481"/>
      <c r="E46" s="482"/>
      <c r="F46" s="483"/>
      <c r="G46" s="484"/>
      <c r="H46" s="485"/>
      <c r="I46" s="482"/>
      <c r="J46" s="485"/>
      <c r="K46" s="783"/>
      <c r="L46" s="1146"/>
      <c r="M46" s="1147"/>
      <c r="N46" s="1134"/>
      <c r="O46" s="1147"/>
      <c r="P46" s="3196" t="str">
        <f>A46</f>
        <v>成交单价</v>
      </c>
      <c r="Q46" s="3196"/>
      <c r="R46" s="3210">
        <f>E46</f>
        <v>0</v>
      </c>
      <c r="S46" s="3210"/>
      <c r="T46" s="3210">
        <f>G46</f>
        <v>0</v>
      </c>
      <c r="U46" s="3210"/>
      <c r="V46" s="3210">
        <f>I46</f>
        <v>0</v>
      </c>
      <c r="W46" s="321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196" t="str">
        <f>A47</f>
        <v>比较价值（元/平方米）</v>
      </c>
      <c r="Q47" s="3196"/>
      <c r="R47" s="3282" t="e">
        <f>ROUND(PRODUCT(R46,AA7:AA45),0)</f>
        <v>#DIV/0!</v>
      </c>
      <c r="S47" s="3282"/>
      <c r="T47" s="3282" t="e">
        <f>ROUND(PRODUCT(T46,AB7:AB45),0)</f>
        <v>#DIV/0!</v>
      </c>
      <c r="U47" s="3282"/>
      <c r="V47" s="3282" t="e">
        <f>ROUND(PRODUCT(V46,AC7:AC45),0)</f>
        <v>#DIV/0!</v>
      </c>
      <c r="W47" s="328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198" t="str">
        <f>A48</f>
        <v>估价对象XX用房的比较价值（楼面单价，元/平方米）</v>
      </c>
      <c r="Q48" s="3199"/>
      <c r="R48" s="3283" t="e">
        <f>ROUND(AVERAGE(R47:V47),0)</f>
        <v>#DIV/0!</v>
      </c>
      <c r="S48" s="3283"/>
      <c r="T48" s="3283"/>
      <c r="U48" s="3283"/>
      <c r="V48" s="3283"/>
      <c r="W48" s="328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215" t="s">
        <v>2762</v>
      </c>
      <c r="H55" s="3284"/>
      <c r="I55" s="144" t="s">
        <v>2763</v>
      </c>
      <c r="J55" s="2710" t="str">
        <f>项目基本情况!F35</f>
        <v>新疆省</v>
      </c>
      <c r="K55" s="2711" t="s">
        <v>2764</v>
      </c>
      <c r="L55" s="1109"/>
      <c r="M55" s="1147"/>
      <c r="N55" s="1147"/>
      <c r="O55" s="1147"/>
    </row>
    <row r="56" spans="1:15" s="692" customFormat="1">
      <c r="A56" s="688" t="s">
        <v>2765</v>
      </c>
      <c r="B56" s="689" t="e">
        <f>C48</f>
        <v>#DIV/0!</v>
      </c>
      <c r="C56" s="690">
        <v>1</v>
      </c>
      <c r="D56" s="1166">
        <v>1</v>
      </c>
      <c r="E56" s="690">
        <f>'数据-汇总表'!E8+'数据-汇总表'!E9</f>
        <v>2729.87</v>
      </c>
      <c r="F56" s="1106" t="e">
        <f t="shared" ref="F56:F65" si="15">ROUND(B56*E56/10000,0)</f>
        <v>#DIV/0!</v>
      </c>
      <c r="G56" s="3211"/>
      <c r="H56" s="3196"/>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85"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85"/>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85"/>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85"/>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2"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2"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3"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2729.87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5" t="s">
        <v>2644</v>
      </c>
      <c r="D4" s="3216"/>
      <c r="E4" s="3217" t="s">
        <v>2645</v>
      </c>
      <c r="F4" s="3218"/>
      <c r="G4" s="3215" t="s">
        <v>2646</v>
      </c>
      <c r="H4" s="3216"/>
      <c r="I4" s="3215" t="s">
        <v>2647</v>
      </c>
      <c r="J4" s="3216"/>
      <c r="K4" s="610" t="s">
        <v>2648</v>
      </c>
      <c r="L4" s="1133"/>
      <c r="M4" s="1134"/>
      <c r="N4" s="1134"/>
      <c r="O4" s="1134"/>
      <c r="P4" s="3219" t="s">
        <v>2649</v>
      </c>
      <c r="Q4" s="3220"/>
      <c r="R4" s="3225" t="s">
        <v>2645</v>
      </c>
      <c r="S4" s="3226"/>
      <c r="T4" s="3225" t="s">
        <v>2646</v>
      </c>
      <c r="U4" s="3226"/>
      <c r="V4" s="3210" t="s">
        <v>2647</v>
      </c>
      <c r="W4" s="3210"/>
      <c r="X4" s="1816"/>
      <c r="Y4" s="3225" t="s">
        <v>2649</v>
      </c>
      <c r="Z4" s="3226"/>
      <c r="AA4" s="3212" t="s">
        <v>2645</v>
      </c>
      <c r="AB4" s="3213" t="s">
        <v>2646</v>
      </c>
      <c r="AC4" s="3212" t="s">
        <v>2647</v>
      </c>
    </row>
    <row r="5" spans="1:29" ht="15">
      <c r="A5" s="404"/>
      <c r="B5" s="405"/>
      <c r="C5" s="3264" t="s">
        <v>2540</v>
      </c>
      <c r="D5" s="3234"/>
      <c r="E5" s="3265" t="s">
        <v>2541</v>
      </c>
      <c r="F5" s="3241"/>
      <c r="G5" s="3264" t="s">
        <v>2542</v>
      </c>
      <c r="H5" s="3234"/>
      <c r="I5" s="3264" t="s">
        <v>2543</v>
      </c>
      <c r="J5" s="3234"/>
      <c r="K5" s="610"/>
      <c r="L5" s="1133"/>
      <c r="M5" s="1134"/>
      <c r="N5" s="1134"/>
      <c r="O5" s="1134"/>
      <c r="P5" s="3221"/>
      <c r="Q5" s="3222"/>
      <c r="R5" s="3227"/>
      <c r="S5" s="3228"/>
      <c r="T5" s="3227"/>
      <c r="U5" s="3228"/>
      <c r="V5" s="3210"/>
      <c r="W5" s="3210"/>
      <c r="X5" s="1816"/>
      <c r="Y5" s="3227"/>
      <c r="Z5" s="3228"/>
      <c r="AA5" s="3213"/>
      <c r="AB5" s="3213"/>
      <c r="AC5" s="3213"/>
    </row>
    <row r="6" spans="1:29" ht="15.75" thickBot="1">
      <c r="A6" s="406"/>
      <c r="B6" s="407"/>
      <c r="C6" s="3286" t="s">
        <v>2795</v>
      </c>
      <c r="D6" s="3287"/>
      <c r="E6" s="3288" t="s">
        <v>2795</v>
      </c>
      <c r="F6" s="3289"/>
      <c r="G6" s="3286" t="s">
        <v>2795</v>
      </c>
      <c r="H6" s="3287"/>
      <c r="I6" s="3286" t="s">
        <v>2795</v>
      </c>
      <c r="J6" s="3287"/>
      <c r="K6" s="610" t="s">
        <v>2545</v>
      </c>
      <c r="L6" s="1133"/>
      <c r="M6" s="1134"/>
      <c r="N6" s="1134"/>
      <c r="O6" s="1134"/>
      <c r="P6" s="3223"/>
      <c r="Q6" s="3224"/>
      <c r="R6" s="3227"/>
      <c r="S6" s="3228"/>
      <c r="T6" s="3229"/>
      <c r="U6" s="3230"/>
      <c r="V6" s="3210"/>
      <c r="W6" s="3210"/>
      <c r="X6" s="1816"/>
      <c r="Y6" s="3229"/>
      <c r="Z6" s="3230"/>
      <c r="AA6" s="3214"/>
      <c r="AB6" s="3214"/>
      <c r="AC6" s="3214"/>
    </row>
    <row r="7" spans="1:29" s="117" customFormat="1" ht="15.75" thickBot="1">
      <c r="A7" s="408" t="s">
        <v>2546</v>
      </c>
      <c r="B7" s="409"/>
      <c r="C7" s="410">
        <f>'数据-取费表'!B2</f>
        <v>43214</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35" t="s">
        <v>2547</v>
      </c>
      <c r="Q7" s="3237"/>
      <c r="R7" s="770" t="s">
        <v>17</v>
      </c>
      <c r="S7" s="771">
        <f t="shared" ref="S7:S15" si="0">F7</f>
        <v>0</v>
      </c>
      <c r="T7" s="770" t="s">
        <v>17</v>
      </c>
      <c r="U7" s="771">
        <f t="shared" ref="U7:U15" si="1">H7</f>
        <v>0</v>
      </c>
      <c r="V7" s="770" t="s">
        <v>17</v>
      </c>
      <c r="W7" s="771">
        <f t="shared" ref="W7:W15" si="2">J7</f>
        <v>0</v>
      </c>
      <c r="X7" s="772"/>
      <c r="Y7" s="3235" t="s">
        <v>2547</v>
      </c>
      <c r="Z7" s="323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5" t="s">
        <v>2550</v>
      </c>
      <c r="Q8" s="3236"/>
      <c r="R8" s="770" t="s">
        <v>17</v>
      </c>
      <c r="S8" s="771">
        <f t="shared" si="0"/>
        <v>0</v>
      </c>
      <c r="T8" s="770" t="s">
        <v>17</v>
      </c>
      <c r="U8" s="771">
        <f t="shared" si="1"/>
        <v>0</v>
      </c>
      <c r="V8" s="770" t="s">
        <v>17</v>
      </c>
      <c r="W8" s="771">
        <f t="shared" si="2"/>
        <v>0</v>
      </c>
      <c r="X8" s="772"/>
      <c r="Y8" s="3235" t="s">
        <v>2550</v>
      </c>
      <c r="Z8" s="3236"/>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96" t="s">
        <v>2553</v>
      </c>
      <c r="Q9" s="1798" t="str">
        <f t="shared" ref="Q9:Q15" si="6">B9</f>
        <v>用途</v>
      </c>
      <c r="R9" s="770" t="s">
        <v>17</v>
      </c>
      <c r="S9" s="771">
        <f t="shared" si="0"/>
        <v>100</v>
      </c>
      <c r="T9" s="770" t="s">
        <v>17</v>
      </c>
      <c r="U9" s="771">
        <f t="shared" si="1"/>
        <v>100</v>
      </c>
      <c r="V9" s="770" t="s">
        <v>17</v>
      </c>
      <c r="W9" s="771">
        <f t="shared" si="2"/>
        <v>100</v>
      </c>
      <c r="X9" s="772"/>
      <c r="Y9" s="3046"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96"/>
      <c r="Q10" s="1798" t="str">
        <f t="shared" si="6"/>
        <v>土地使用年限（年）</v>
      </c>
      <c r="R10" s="770" t="s">
        <v>17</v>
      </c>
      <c r="S10" s="771">
        <f t="shared" si="0"/>
        <v>108</v>
      </c>
      <c r="T10" s="770" t="s">
        <v>17</v>
      </c>
      <c r="U10" s="771">
        <f t="shared" si="1"/>
        <v>108</v>
      </c>
      <c r="V10" s="770" t="s">
        <v>17</v>
      </c>
      <c r="W10" s="771">
        <f t="shared" si="2"/>
        <v>108</v>
      </c>
      <c r="X10" s="772"/>
      <c r="Y10" s="3046"/>
      <c r="Z10" s="55" t="str">
        <f t="shared" si="7"/>
        <v>土地使用年限（年）</v>
      </c>
      <c r="AA10" s="773">
        <f t="shared" si="3"/>
        <v>0.92592592592592593</v>
      </c>
      <c r="AB10" s="773">
        <f t="shared" si="4"/>
        <v>0.92592592592592593</v>
      </c>
      <c r="AC10" s="773">
        <f t="shared" si="5"/>
        <v>0.92592592592592593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6"/>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6"/>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6"/>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6"/>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3" t="s">
        <v>2558</v>
      </c>
      <c r="Q15" s="1813" t="str">
        <f t="shared" si="6"/>
        <v>产业集聚程度</v>
      </c>
      <c r="R15" s="774" t="s">
        <v>17</v>
      </c>
      <c r="S15" s="775">
        <f t="shared" si="0"/>
        <v>100</v>
      </c>
      <c r="T15" s="774" t="s">
        <v>17</v>
      </c>
      <c r="U15" s="775">
        <f t="shared" si="1"/>
        <v>100</v>
      </c>
      <c r="V15" s="774" t="s">
        <v>17</v>
      </c>
      <c r="W15" s="775">
        <f t="shared" si="2"/>
        <v>100</v>
      </c>
      <c r="X15" s="1816"/>
      <c r="Y15" s="3203"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04"/>
      <c r="Q16" s="1813"/>
      <c r="R16" s="774"/>
      <c r="S16" s="775"/>
      <c r="T16" s="774"/>
      <c r="U16" s="775"/>
      <c r="V16" s="774"/>
      <c r="W16" s="775"/>
      <c r="X16" s="1816"/>
      <c r="Y16" s="3204"/>
      <c r="Z16" s="1817"/>
      <c r="AA16" s="1814">
        <v>1</v>
      </c>
      <c r="AB16" s="1814">
        <v>1</v>
      </c>
      <c r="AC16" s="1814">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4"/>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04"/>
      <c r="Q18" s="1813"/>
      <c r="R18" s="774"/>
      <c r="S18" s="775"/>
      <c r="T18" s="774"/>
      <c r="U18" s="775"/>
      <c r="V18" s="774"/>
      <c r="W18" s="775"/>
      <c r="X18" s="1816"/>
      <c r="Y18" s="3204"/>
      <c r="Z18" s="1817"/>
      <c r="AA18" s="1814">
        <v>1</v>
      </c>
      <c r="AB18" s="1814">
        <v>1</v>
      </c>
      <c r="AC18" s="1814">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4"/>
      <c r="Q19" s="1813" t="str">
        <f t="shared" ref="Q19:Q33" si="8">B19</f>
        <v>区域土地利用方向</v>
      </c>
      <c r="R19" s="774" t="s">
        <v>17</v>
      </c>
      <c r="S19" s="775">
        <f>F19</f>
        <v>100</v>
      </c>
      <c r="T19" s="774" t="s">
        <v>17</v>
      </c>
      <c r="U19" s="775">
        <f>H19</f>
        <v>100</v>
      </c>
      <c r="V19" s="774" t="s">
        <v>17</v>
      </c>
      <c r="W19" s="775">
        <f>J19</f>
        <v>100</v>
      </c>
      <c r="X19" s="1816"/>
      <c r="Y19" s="3204"/>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04"/>
      <c r="Q20" s="1813"/>
      <c r="R20" s="774"/>
      <c r="S20" s="775"/>
      <c r="T20" s="774"/>
      <c r="U20" s="775"/>
      <c r="V20" s="774"/>
      <c r="W20" s="775"/>
      <c r="X20" s="1816"/>
      <c r="Y20" s="3204"/>
      <c r="Z20" s="1817"/>
      <c r="AA20" s="1814"/>
      <c r="AB20" s="1814"/>
      <c r="AC20" s="1814"/>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4"/>
      <c r="Q21" s="1813" t="str">
        <f t="shared" si="8"/>
        <v>环境状况</v>
      </c>
      <c r="R21" s="774" t="s">
        <v>17</v>
      </c>
      <c r="S21" s="775">
        <f>F21</f>
        <v>100</v>
      </c>
      <c r="T21" s="774" t="s">
        <v>17</v>
      </c>
      <c r="U21" s="775">
        <f>H21</f>
        <v>100</v>
      </c>
      <c r="V21" s="774" t="s">
        <v>17</v>
      </c>
      <c r="W21" s="775">
        <f>J21</f>
        <v>100</v>
      </c>
      <c r="X21" s="1816"/>
      <c r="Y21" s="3204"/>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04"/>
      <c r="Q22" s="1813"/>
      <c r="R22" s="774"/>
      <c r="S22" s="775"/>
      <c r="T22" s="774"/>
      <c r="U22" s="775"/>
      <c r="V22" s="774"/>
      <c r="W22" s="775"/>
      <c r="X22" s="1816"/>
      <c r="Y22" s="3204"/>
      <c r="Z22" s="1817"/>
      <c r="AA22" s="1814">
        <v>1</v>
      </c>
      <c r="AB22" s="1814">
        <v>1</v>
      </c>
      <c r="AC22" s="1814">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4"/>
      <c r="Q23" s="1798" t="str">
        <f t="shared" si="8"/>
        <v>公共配套设施</v>
      </c>
      <c r="R23" s="770" t="s">
        <v>17</v>
      </c>
      <c r="S23" s="771">
        <f>F23</f>
        <v>100</v>
      </c>
      <c r="T23" s="770" t="s">
        <v>17</v>
      </c>
      <c r="U23" s="771">
        <f>H23</f>
        <v>100</v>
      </c>
      <c r="V23" s="770" t="s">
        <v>17</v>
      </c>
      <c r="W23" s="771">
        <f>J23</f>
        <v>100</v>
      </c>
      <c r="X23" s="772"/>
      <c r="Y23" s="3204"/>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04"/>
      <c r="Q24" s="1798"/>
      <c r="R24" s="770"/>
      <c r="S24" s="771"/>
      <c r="T24" s="770"/>
      <c r="U24" s="771"/>
      <c r="V24" s="770"/>
      <c r="W24" s="771"/>
      <c r="X24" s="772"/>
      <c r="Y24" s="3204"/>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4"/>
      <c r="Q25" s="1798"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04"/>
      <c r="Q26" s="1798"/>
      <c r="R26" s="770"/>
      <c r="S26" s="771"/>
      <c r="T26" s="770"/>
      <c r="U26" s="771"/>
      <c r="V26" s="770"/>
      <c r="W26" s="771"/>
      <c r="X26" s="772"/>
      <c r="Y26" s="320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4"/>
      <c r="Z27" s="1817" t="str">
        <f t="shared" ref="Z27:Z40" si="13">Q27</f>
        <v>临街状况</v>
      </c>
      <c r="AA27" s="1814">
        <f t="shared" si="3"/>
        <v>1</v>
      </c>
      <c r="AB27" s="1814">
        <f t="shared" si="4"/>
        <v>1</v>
      </c>
      <c r="AC27" s="1814">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4"/>
      <c r="Q28" s="1813" t="str">
        <f t="shared" si="8"/>
        <v>毗邻道路的类型与等级</v>
      </c>
      <c r="R28" s="774" t="s">
        <v>17</v>
      </c>
      <c r="S28" s="775">
        <f t="shared" si="10"/>
        <v>100</v>
      </c>
      <c r="T28" s="774" t="s">
        <v>17</v>
      </c>
      <c r="U28" s="775">
        <f t="shared" si="11"/>
        <v>100</v>
      </c>
      <c r="V28" s="774" t="s">
        <v>17</v>
      </c>
      <c r="W28" s="775">
        <f t="shared" si="12"/>
        <v>100</v>
      </c>
      <c r="X28" s="1816"/>
      <c r="Y28" s="3204"/>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04"/>
      <c r="Q29" s="1813"/>
      <c r="R29" s="774"/>
      <c r="S29" s="775"/>
      <c r="T29" s="774"/>
      <c r="U29" s="775"/>
      <c r="V29" s="774"/>
      <c r="W29" s="775"/>
      <c r="X29" s="1816"/>
      <c r="Y29" s="3204"/>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4"/>
      <c r="Q30" s="1813" t="str">
        <f t="shared" si="8"/>
        <v>土地级别</v>
      </c>
      <c r="R30" s="774" t="s">
        <v>17</v>
      </c>
      <c r="S30" s="775">
        <f t="shared" si="10"/>
        <v>100</v>
      </c>
      <c r="T30" s="774" t="s">
        <v>17</v>
      </c>
      <c r="U30" s="775">
        <f t="shared" si="11"/>
        <v>100</v>
      </c>
      <c r="V30" s="774" t="s">
        <v>17</v>
      </c>
      <c r="W30" s="775">
        <f t="shared" si="12"/>
        <v>100</v>
      </c>
      <c r="X30" s="1816"/>
      <c r="Y30" s="3204"/>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4"/>
      <c r="Q31" s="1813">
        <f t="shared" si="8"/>
        <v>111</v>
      </c>
      <c r="R31" s="774" t="s">
        <v>17</v>
      </c>
      <c r="S31" s="775">
        <f t="shared" si="10"/>
        <v>100</v>
      </c>
      <c r="T31" s="774" t="s">
        <v>17</v>
      </c>
      <c r="U31" s="775">
        <f t="shared" si="11"/>
        <v>100</v>
      </c>
      <c r="V31" s="774" t="s">
        <v>17</v>
      </c>
      <c r="W31" s="775">
        <f t="shared" si="12"/>
        <v>100</v>
      </c>
      <c r="X31" s="1816"/>
      <c r="Y31" s="3204"/>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1" t="s">
        <v>2563</v>
      </c>
      <c r="Q32" s="1813">
        <f t="shared" si="8"/>
        <v>111</v>
      </c>
      <c r="R32" s="774" t="s">
        <v>17</v>
      </c>
      <c r="S32" s="775">
        <f t="shared" si="10"/>
        <v>100</v>
      </c>
      <c r="T32" s="774" t="s">
        <v>17</v>
      </c>
      <c r="U32" s="775">
        <f t="shared" si="11"/>
        <v>100</v>
      </c>
      <c r="V32" s="774" t="s">
        <v>17</v>
      </c>
      <c r="W32" s="775">
        <f t="shared" si="12"/>
        <v>100</v>
      </c>
      <c r="X32" s="1816"/>
      <c r="Y32" s="3208" t="s">
        <v>2563</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8"/>
      <c r="Q33" s="1813">
        <f t="shared" si="8"/>
        <v>111</v>
      </c>
      <c r="R33" s="777" t="s">
        <v>17</v>
      </c>
      <c r="S33" s="778">
        <f t="shared" si="10"/>
        <v>100</v>
      </c>
      <c r="T33" s="777" t="s">
        <v>17</v>
      </c>
      <c r="U33" s="778">
        <f t="shared" si="11"/>
        <v>100</v>
      </c>
      <c r="V33" s="777" t="s">
        <v>17</v>
      </c>
      <c r="W33" s="778">
        <f t="shared" si="12"/>
        <v>100</v>
      </c>
      <c r="X33" s="779"/>
      <c r="Y33" s="3208"/>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8"/>
      <c r="Q34" s="1813" t="str">
        <f>B34</f>
        <v>宗地面积</v>
      </c>
      <c r="R34" s="774" t="s">
        <v>17</v>
      </c>
      <c r="S34" s="775" t="e">
        <f t="shared" si="10"/>
        <v>#N/A</v>
      </c>
      <c r="T34" s="774" t="s">
        <v>17</v>
      </c>
      <c r="U34" s="775" t="e">
        <f t="shared" si="11"/>
        <v>#N/A</v>
      </c>
      <c r="V34" s="774" t="s">
        <v>17</v>
      </c>
      <c r="W34" s="775" t="e">
        <f t="shared" si="12"/>
        <v>#N/A</v>
      </c>
      <c r="X34" s="1816"/>
      <c r="Y34" s="3208"/>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08"/>
      <c r="Q35" s="1813" t="str">
        <f t="shared" ref="Q35:Q40" si="14">B35</f>
        <v>宗地形状</v>
      </c>
      <c r="R35" s="774" t="s">
        <v>17</v>
      </c>
      <c r="S35" s="775">
        <f t="shared" si="10"/>
        <v>100</v>
      </c>
      <c r="T35" s="774" t="s">
        <v>17</v>
      </c>
      <c r="U35" s="775">
        <f t="shared" si="11"/>
        <v>100</v>
      </c>
      <c r="V35" s="774" t="s">
        <v>17</v>
      </c>
      <c r="W35" s="775">
        <f t="shared" si="12"/>
        <v>100</v>
      </c>
      <c r="X35" s="1816"/>
      <c r="Y35" s="3208"/>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08"/>
      <c r="Q36" s="1813"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08" t="s">
        <v>2563</v>
      </c>
      <c r="Q37" s="1813" t="str">
        <f t="shared" si="14"/>
        <v>工程地质条件</v>
      </c>
      <c r="R37" s="774" t="s">
        <v>17</v>
      </c>
      <c r="S37" s="775">
        <f t="shared" si="10"/>
        <v>100</v>
      </c>
      <c r="T37" s="774" t="s">
        <v>17</v>
      </c>
      <c r="U37" s="775">
        <f t="shared" si="11"/>
        <v>100</v>
      </c>
      <c r="V37" s="774" t="s">
        <v>17</v>
      </c>
      <c r="W37" s="775">
        <f t="shared" si="12"/>
        <v>100</v>
      </c>
      <c r="X37" s="1816"/>
      <c r="Y37" s="3208"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8"/>
      <c r="Q38" s="1813">
        <f t="shared" si="14"/>
        <v>111</v>
      </c>
      <c r="R38" s="774" t="s">
        <v>17</v>
      </c>
      <c r="S38" s="775">
        <f t="shared" si="10"/>
        <v>100</v>
      </c>
      <c r="T38" s="774" t="s">
        <v>17</v>
      </c>
      <c r="U38" s="775">
        <f t="shared" si="11"/>
        <v>100</v>
      </c>
      <c r="V38" s="774" t="s">
        <v>17</v>
      </c>
      <c r="W38" s="775">
        <f t="shared" si="12"/>
        <v>100</v>
      </c>
      <c r="X38" s="1816"/>
      <c r="Y38" s="320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8"/>
      <c r="Q39" s="1813">
        <f t="shared" si="14"/>
        <v>111</v>
      </c>
      <c r="R39" s="774" t="s">
        <v>17</v>
      </c>
      <c r="S39" s="775">
        <f t="shared" si="10"/>
        <v>100</v>
      </c>
      <c r="T39" s="774" t="s">
        <v>17</v>
      </c>
      <c r="U39" s="775">
        <f t="shared" si="11"/>
        <v>100</v>
      </c>
      <c r="V39" s="774" t="s">
        <v>17</v>
      </c>
      <c r="W39" s="775">
        <f t="shared" si="12"/>
        <v>100</v>
      </c>
      <c r="X39" s="1816"/>
      <c r="Y39" s="3208"/>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8"/>
      <c r="Q40" s="1813">
        <f t="shared" si="14"/>
        <v>111</v>
      </c>
      <c r="R40" s="777" t="s">
        <v>17</v>
      </c>
      <c r="S40" s="778">
        <f t="shared" si="10"/>
        <v>100</v>
      </c>
      <c r="T40" s="777" t="s">
        <v>17</v>
      </c>
      <c r="U40" s="778">
        <f t="shared" si="11"/>
        <v>100</v>
      </c>
      <c r="V40" s="777" t="s">
        <v>17</v>
      </c>
      <c r="W40" s="778">
        <f t="shared" si="12"/>
        <v>100</v>
      </c>
      <c r="X40" s="779"/>
      <c r="Y40" s="3208"/>
      <c r="Z40" s="780">
        <f t="shared" si="13"/>
        <v>111</v>
      </c>
      <c r="AA40" s="1814">
        <f t="shared" si="3"/>
        <v>1</v>
      </c>
      <c r="AB40" s="1814">
        <f t="shared" si="4"/>
        <v>1</v>
      </c>
      <c r="AC40" s="1814">
        <f t="shared" si="5"/>
        <v>1</v>
      </c>
    </row>
    <row r="41" spans="1:29" ht="15">
      <c r="A41" s="479" t="s">
        <v>2718</v>
      </c>
      <c r="B41" s="2707" t="s">
        <v>2798</v>
      </c>
      <c r="C41" s="682" t="s">
        <v>1</v>
      </c>
      <c r="D41" s="481"/>
      <c r="E41" s="482"/>
      <c r="F41" s="483"/>
      <c r="G41" s="484"/>
      <c r="H41" s="485"/>
      <c r="I41" s="482"/>
      <c r="J41" s="485"/>
      <c r="K41" s="783"/>
      <c r="L41" s="1146"/>
      <c r="M41" s="1134"/>
      <c r="N41" s="1134"/>
      <c r="O41" s="1147"/>
      <c r="P41" s="3196" t="str">
        <f>A41</f>
        <v>成交单价</v>
      </c>
      <c r="Q41" s="3196"/>
      <c r="R41" s="3210">
        <f>E41</f>
        <v>0</v>
      </c>
      <c r="S41" s="3210"/>
      <c r="T41" s="3210">
        <f>G41</f>
        <v>0</v>
      </c>
      <c r="U41" s="3210"/>
      <c r="V41" s="3210">
        <f>I41</f>
        <v>0</v>
      </c>
      <c r="W41" s="321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96" t="str">
        <f>A42</f>
        <v>比较价值（元/平方米）</v>
      </c>
      <c r="Q42" s="3196"/>
      <c r="R42" s="3282" t="e">
        <f>ROUND(PRODUCT(R41,AA7:AA40),0)</f>
        <v>#DIV/0!</v>
      </c>
      <c r="S42" s="3282"/>
      <c r="T42" s="3282" t="e">
        <f>ROUND(PRODUCT(T41,AB7:AB40),0)</f>
        <v>#DIV/0!</v>
      </c>
      <c r="U42" s="3282"/>
      <c r="V42" s="3282" t="e">
        <f>ROUND(PRODUCT(V41,AC7:AC40),0)</f>
        <v>#DIV/0!</v>
      </c>
      <c r="W42" s="328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198" t="str">
        <f>A43</f>
        <v>估价对象XX用房的比较价值（楼面单价，元/平方米）</v>
      </c>
      <c r="Q43" s="3199"/>
      <c r="R43" s="3283" t="e">
        <f>ROUND(AVERAGE(R42:V42),0)</f>
        <v>#DIV/0!</v>
      </c>
      <c r="S43" s="3283"/>
      <c r="T43" s="3283"/>
      <c r="U43" s="3283"/>
      <c r="V43" s="3283"/>
      <c r="W43" s="328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215" t="s">
        <v>2762</v>
      </c>
      <c r="H50" s="3284"/>
      <c r="I50" s="1817" t="s">
        <v>2799</v>
      </c>
      <c r="J50" s="1817" t="str">
        <f>项目基本情况!F35</f>
        <v>新疆省</v>
      </c>
      <c r="K50" s="2711" t="s">
        <v>2764</v>
      </c>
      <c r="L50" s="1109"/>
      <c r="M50" s="1147"/>
      <c r="N50" s="1147"/>
      <c r="O50" s="1147"/>
    </row>
    <row r="51" spans="1:17" s="692" customFormat="1">
      <c r="A51" s="688" t="s">
        <v>2765</v>
      </c>
      <c r="B51" s="689" t="e">
        <f>C43</f>
        <v>#DIV/0!</v>
      </c>
      <c r="C51" s="690">
        <v>1</v>
      </c>
      <c r="D51" s="1166">
        <v>1</v>
      </c>
      <c r="E51" s="690">
        <f>'数据-汇总表'!E8+'数据-汇总表'!E9</f>
        <v>2729.87</v>
      </c>
      <c r="F51" s="691" t="e">
        <f t="shared" ref="F51:F60" si="15">ROUND(B51*E51/10000,0)</f>
        <v>#DIV/0!</v>
      </c>
      <c r="G51" s="3211"/>
      <c r="H51" s="3196"/>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85"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85"/>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85"/>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85"/>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2"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3"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698.38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2800</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0</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4" t="s">
        <v>2817</v>
      </c>
      <c r="D3" s="2725" t="s">
        <v>2818</v>
      </c>
      <c r="E3" s="2730"/>
      <c r="F3" s="2731" t="s">
        <v>2819</v>
      </c>
      <c r="G3" s="916">
        <f>IF(F3="宗地容积率",'数据-汇总表'!I4,IF(F3="估价对象容积率",'数据-汇总表'!I6,'数据-汇总表'!I7))</f>
        <v>3.91</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3"/>
      <c r="B4" s="3294"/>
      <c r="C4" s="3294"/>
      <c r="D4" s="3295"/>
      <c r="E4" s="3295"/>
      <c r="F4" s="3295"/>
      <c r="G4" s="3295"/>
      <c r="H4" s="3295"/>
      <c r="I4" s="3295"/>
      <c r="J4" s="3296"/>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97" t="str">
        <f>IF(E2="商业",IF(C8="不临58条商业街","",2),"")</f>
        <v/>
      </c>
      <c r="B7" s="2748" t="s">
        <v>2830</v>
      </c>
      <c r="C7" s="919" t="e">
        <f>IF(C8="不临58条商业街",1,ROUND(1+(1.6*E8+1.2*E9+0.8*E10+0.4*E11)*C9,4))</f>
        <v>#DIV/0!</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3.91</v>
      </c>
      <c r="AA7" s="1609"/>
      <c r="AB7" s="1609"/>
      <c r="AC7" s="1610"/>
      <c r="AD7" s="1611"/>
      <c r="AE7" s="1611"/>
      <c r="AF7" s="1611"/>
      <c r="AG7" s="1611"/>
      <c r="AH7" s="1611"/>
      <c r="AI7" s="1611"/>
      <c r="AJ7" s="1612"/>
    </row>
    <row r="8" spans="1:36" ht="15">
      <c r="A8" s="3298"/>
      <c r="B8" s="198" t="s">
        <v>2835</v>
      </c>
      <c r="C8" s="2753"/>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0" t="s">
        <v>2838</v>
      </c>
      <c r="X8" s="3291"/>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98"/>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2"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8"/>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8"/>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2" t="s">
        <v>2862</v>
      </c>
      <c r="X11" s="1617" t="s">
        <v>2863</v>
      </c>
      <c r="Y11" s="1618">
        <f>$G$3</f>
        <v>3.91</v>
      </c>
      <c r="Z11" s="1618">
        <f t="shared" ref="Z11:AJ11" si="3">$G$3</f>
        <v>3.91</v>
      </c>
      <c r="AA11" s="1618">
        <f t="shared" si="3"/>
        <v>3.91</v>
      </c>
      <c r="AB11" s="1618">
        <f t="shared" si="3"/>
        <v>3.91</v>
      </c>
      <c r="AC11" s="1618">
        <f t="shared" si="3"/>
        <v>3.91</v>
      </c>
      <c r="AD11" s="1618">
        <f t="shared" si="3"/>
        <v>3.91</v>
      </c>
      <c r="AE11" s="1618">
        <f t="shared" si="3"/>
        <v>3.91</v>
      </c>
      <c r="AF11" s="1618">
        <f t="shared" si="3"/>
        <v>3.91</v>
      </c>
      <c r="AG11" s="1618">
        <f t="shared" si="3"/>
        <v>3.91</v>
      </c>
      <c r="AH11" s="1618">
        <f t="shared" si="3"/>
        <v>3.91</v>
      </c>
      <c r="AI11" s="1618">
        <f t="shared" si="3"/>
        <v>3.91</v>
      </c>
      <c r="AJ11" s="1618">
        <f t="shared" si="3"/>
        <v>3.91</v>
      </c>
    </row>
    <row r="12" spans="1:36" ht="25.5" thickBot="1">
      <c r="A12" s="3297"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2"/>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9"/>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t="e">
        <f t="shared" si="0"/>
        <v>#DIV/0!</v>
      </c>
      <c r="U13" s="1606"/>
      <c r="V13" s="1605" t="e">
        <f t="shared" si="1"/>
        <v>#DIV/0!</v>
      </c>
      <c r="W13" s="3292"/>
      <c r="X13" s="1619"/>
      <c r="Y13" s="1616">
        <f>(-0.163*(Y12^2)-0.59*Y12+7617)*(10^(-4))/Y11</f>
        <v>0.19480818414322251</v>
      </c>
      <c r="Z13" s="1616">
        <f t="shared" ref="Z13:AJ13" si="5">(-0.163*(Z12^2)-0.59*Z12+7617)*(10^(-4))/Z11</f>
        <v>0.19480818414322251</v>
      </c>
      <c r="AA13" s="1616">
        <f t="shared" si="5"/>
        <v>0.19480818414322251</v>
      </c>
      <c r="AB13" s="1616">
        <f t="shared" si="5"/>
        <v>0.19480818414322251</v>
      </c>
      <c r="AC13" s="1616">
        <f t="shared" si="5"/>
        <v>0.19480818414322251</v>
      </c>
      <c r="AD13" s="1616">
        <f t="shared" si="5"/>
        <v>0.19480818414322251</v>
      </c>
      <c r="AE13" s="1616">
        <f t="shared" si="5"/>
        <v>0.19480818414322251</v>
      </c>
      <c r="AF13" s="1616">
        <f t="shared" si="5"/>
        <v>0.19480818414322251</v>
      </c>
      <c r="AG13" s="1616">
        <f t="shared" si="5"/>
        <v>0.19480818414322251</v>
      </c>
      <c r="AH13" s="1616">
        <f t="shared" si="5"/>
        <v>0.19480818414322251</v>
      </c>
      <c r="AI13" s="1616">
        <f t="shared" si="5"/>
        <v>0.19480818414322251</v>
      </c>
      <c r="AJ13" s="1616">
        <f t="shared" si="5"/>
        <v>0.19480818414322251</v>
      </c>
    </row>
    <row r="14" spans="1:36" ht="15">
      <c r="A14" s="3299"/>
      <c r="B14" s="2771"/>
      <c r="C14" s="2772"/>
      <c r="D14" s="2773"/>
      <c r="E14" s="2773"/>
      <c r="F14" s="2774"/>
      <c r="G14" s="2775" t="s">
        <v>2875</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0"/>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7" t="s">
        <v>2881</v>
      </c>
      <c r="B16" s="2748" t="s">
        <v>2882</v>
      </c>
      <c r="C16" s="1804" t="e">
        <f>ROUND(SUM(G17:J17)/C17,0)</f>
        <v>#DIV/0!</v>
      </c>
      <c r="D16" s="2782" t="s">
        <v>2883</v>
      </c>
      <c r="E16" s="2783"/>
      <c r="F16" s="2784"/>
      <c r="G16" s="2785"/>
      <c r="H16" s="2785"/>
      <c r="I16" s="2785"/>
      <c r="J16" s="2786"/>
      <c r="K16" s="1373"/>
      <c r="L16" s="2787"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8"/>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2890</v>
      </c>
      <c r="C19" s="927" t="e">
        <f>ROUND(IF(H19="按公示增长率计算",SUMPRODUCT((地价!A3:A22=YEAR(G19)&amp;"-"&amp;ROUNDUP(MONTH(G19)/3,0))*(地价!X2:AB2=E2)*(地价!X3:AB22)),IF(H19="地价指数",M20/M19,(1+I19)^O19)),4)</f>
        <v>#DIV/0!</v>
      </c>
      <c r="D19" s="2800" t="s">
        <v>2891</v>
      </c>
      <c r="E19" s="928">
        <v>41640</v>
      </c>
      <c r="F19" s="2800" t="s">
        <v>2892</v>
      </c>
      <c r="G19" s="929">
        <f>'数据-取费表'!B2</f>
        <v>43214</v>
      </c>
      <c r="H19" s="2801" t="s">
        <v>2893</v>
      </c>
      <c r="I19" s="930" t="str">
        <f>IF(H19="季度增幅（自定义）",SUMIF(N21:N24,E2,O21:O24),"")</f>
        <v/>
      </c>
      <c r="J19" s="2798"/>
      <c r="K19" s="1380"/>
      <c r="L19" s="2802" t="s">
        <v>2894</v>
      </c>
      <c r="M19" s="1737">
        <f>ROUND(SUMIF(地价!B2:F2,E2,地价!B22:F22),0)</f>
        <v>0</v>
      </c>
      <c r="N19" s="2803" t="s">
        <v>2895</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2896</v>
      </c>
      <c r="C20" s="932" t="e">
        <f>ROUND(POWER(1+G20,J20-I20)*(POWER(1+G20,I20)-1)/(POWER(1+G20,J20)-1),4)</f>
        <v>#DIV/0!</v>
      </c>
      <c r="D20" s="2809" t="s">
        <v>2897</v>
      </c>
      <c r="E20" s="1771">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80"/>
      <c r="L20" s="2810" t="s">
        <v>2899</v>
      </c>
      <c r="M20" s="1738">
        <f>ROUND(SUMPRODUCT((地价!A4:A22=YEAR(G19)&amp;"-"&amp;ROUNDUP(MONTH(G19)/3,0))*(地价!B2:F2=E2)*(地价!B4:F22)),0)</f>
        <v>0</v>
      </c>
      <c r="N20" s="2811" t="s">
        <v>2900</v>
      </c>
      <c r="O20" s="2812" t="s">
        <v>2901</v>
      </c>
      <c r="P20" s="2813" t="s">
        <v>2902</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2903</v>
      </c>
      <c r="C21" s="940">
        <f>IF(B21="容积率修正",IF(G3&lt;=10,D22,J22),C23)</f>
        <v>0</v>
      </c>
      <c r="D21" s="2816"/>
      <c r="E21" s="2816"/>
      <c r="F21" s="2816"/>
      <c r="G21" s="2816"/>
      <c r="H21" s="2816"/>
      <c r="I21" s="2816"/>
      <c r="J21" s="2817"/>
      <c r="K21" s="1380"/>
      <c r="N21" s="2818" t="s">
        <v>2904</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1" customFormat="1" ht="14.25">
      <c r="A22" s="2667" t="s">
        <v>2905</v>
      </c>
      <c r="B22" s="2819" t="s">
        <v>2906</v>
      </c>
      <c r="C22" s="1813" t="s">
        <v>2907</v>
      </c>
      <c r="D22" s="1813">
        <f>IF(E22=G22,F22,IF(G3&lt;=10,ROUND(F22+(H22-F22)*(G3-E22)/(G22-E22),4),"——"))</f>
        <v>0</v>
      </c>
      <c r="E22" s="916">
        <f>ROUNDDOWN(G3,1)</f>
        <v>3.9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2908</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7" t="s">
        <v>2909</v>
      </c>
      <c r="B23" s="2820" t="s">
        <v>2910</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2911</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2912</v>
      </c>
      <c r="C24" s="927">
        <f>SUMIF(A45:A88,E2,B45:B88)</f>
        <v>0</v>
      </c>
      <c r="D24" s="2796"/>
      <c r="E24" s="2826"/>
      <c r="F24" s="2826"/>
      <c r="G24" s="2826"/>
      <c r="H24" s="2826"/>
      <c r="I24" s="2826"/>
      <c r="J24" s="2827"/>
      <c r="K24" s="1380"/>
      <c r="N24" s="2828" t="s">
        <v>2913</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2914</v>
      </c>
      <c r="C25" s="933"/>
      <c r="D25" s="2751"/>
      <c r="E25" s="2751"/>
      <c r="F25" s="2830"/>
      <c r="G25" s="2751"/>
      <c r="H25" s="2751"/>
      <c r="I25" s="2751"/>
      <c r="J25" s="2752"/>
      <c r="K25" s="1373"/>
      <c r="N25" s="2831" t="s">
        <v>2915</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2"/>
      <c r="B26" s="2819" t="s">
        <v>2916</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2917</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2918</v>
      </c>
      <c r="C28" s="2843" t="s">
        <v>2919</v>
      </c>
      <c r="D28" s="2843" t="s">
        <v>2920</v>
      </c>
      <c r="E28" s="2844" t="s">
        <v>2921</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2922</v>
      </c>
      <c r="C29" s="206" t="e">
        <f>ROUND(C5*C18*C19*C20*C21*C24,0)</f>
        <v>#DIV/0!</v>
      </c>
      <c r="D29" s="2848"/>
      <c r="E29" s="945" t="e">
        <f>ROUND(C29*D29/10000,0)</f>
        <v>#DIV/0!</v>
      </c>
      <c r="F29" s="2849" t="s">
        <v>2923</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2924</v>
      </c>
      <c r="C30" s="229" t="e">
        <f>ROUND(IF(E2="工业",C29*M39,C29*M38),0)</f>
        <v>#DIV/0!</v>
      </c>
      <c r="D30" s="2854"/>
      <c r="E30" s="945" t="e">
        <f>ROUND(C30*D30/10000,0)</f>
        <v>#DIV/0!</v>
      </c>
      <c r="F30" s="2855" t="s">
        <v>2925</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07" t="s">
        <v>2930</v>
      </c>
      <c r="B33" s="2864" t="s">
        <v>2931</v>
      </c>
      <c r="C33" s="206" t="e">
        <f>ROUND(D5*C19*C20*C24*F33,0)</f>
        <v>#DIV/0!</v>
      </c>
      <c r="D33" s="2848"/>
      <c r="E33" s="200" t="e">
        <f>ROUND(C33*D33/10000,0)</f>
        <v>#DIV/0!</v>
      </c>
      <c r="F33" s="200">
        <f>SUMIF(修正!A45:A56,G2,修正!B45:B56)</f>
        <v>0</v>
      </c>
      <c r="G33" s="200" t="e">
        <f t="shared" ref="G33:G39"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8"/>
      <c r="B34" s="2768" t="s">
        <v>2932</v>
      </c>
      <c r="C34" s="206" t="e">
        <f>ROUND(D5*C19*C20*C24*F34,0)</f>
        <v>#DIV/0!</v>
      </c>
      <c r="D34" s="2848"/>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8"/>
      <c r="B35" s="2768" t="s">
        <v>2933</v>
      </c>
      <c r="C35" s="206" t="e">
        <f>ROUND(D5*C19*C20*C24*F35,0)</f>
        <v>#DIV/0!</v>
      </c>
      <c r="D35" s="2848"/>
      <c r="E35" s="200" t="e">
        <f t="shared" si="7"/>
        <v>#DIV/0!</v>
      </c>
      <c r="F35" s="200">
        <f>SUMIF(修正!A45:A56,G2,修正!D45:D56)</f>
        <v>0</v>
      </c>
      <c r="G35" s="200" t="e">
        <f t="shared" si="6"/>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09"/>
      <c r="B36" s="2768" t="s">
        <v>2934</v>
      </c>
      <c r="C36" s="206" t="e">
        <f>ROUND(D5*C19*C20*C24*F36,0)</f>
        <v>#DIV/0!</v>
      </c>
      <c r="D36" s="2848"/>
      <c r="E36" s="200" t="e">
        <f t="shared" si="7"/>
        <v>#DIV/0!</v>
      </c>
      <c r="F36" s="200">
        <f>SUMIF(修正!A45:A56,G2,修正!E45:E56)</f>
        <v>0</v>
      </c>
      <c r="G36" s="200" t="e">
        <f t="shared" si="6"/>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2935</v>
      </c>
      <c r="C37" s="200" t="e">
        <f>ROUND(C5*C19*C20*C24*F37,0)</f>
        <v>#DIV/0!</v>
      </c>
      <c r="D37" s="2848"/>
      <c r="E37" s="200" t="e">
        <f t="shared" si="7"/>
        <v>#DIV/0!</v>
      </c>
      <c r="F37" s="206">
        <f>SUMIF(修正!A45:A56,G2,修正!F45:F56)</f>
        <v>0</v>
      </c>
      <c r="G37" s="200" t="e">
        <f t="shared" si="6"/>
        <v>#DIV/0!</v>
      </c>
      <c r="H37" s="200">
        <f t="shared" si="8"/>
        <v>0</v>
      </c>
      <c r="I37" s="200" t="e">
        <f t="shared" si="9"/>
        <v>#DIV/0!</v>
      </c>
      <c r="J37" s="2865"/>
      <c r="K37" s="1373"/>
      <c r="L37" s="2867" t="s">
        <v>2936</v>
      </c>
      <c r="M37" s="2868"/>
      <c r="N37" s="1373"/>
      <c r="O37" s="1373"/>
      <c r="P37" s="1373"/>
      <c r="Q37" s="1373"/>
      <c r="R37" s="1373"/>
      <c r="S37" s="1373"/>
      <c r="T37" s="1373"/>
      <c r="U37" s="1373"/>
      <c r="V37" s="1373"/>
      <c r="W37" s="1373"/>
      <c r="X37" s="1373"/>
      <c r="Y37" s="1373"/>
      <c r="Z37" s="1374"/>
    </row>
    <row r="38" spans="1:37">
      <c r="A38" s="2866"/>
      <c r="B38" s="2768" t="s">
        <v>2937</v>
      </c>
      <c r="C38" s="200" t="e">
        <f>ROUND(C5*C19*C20*C24*F38,0)</f>
        <v>#DIV/0!</v>
      </c>
      <c r="D38" s="2848"/>
      <c r="E38" s="200" t="e">
        <f t="shared" si="7"/>
        <v>#DIV/0!</v>
      </c>
      <c r="F38" s="206">
        <f>SUMIF(修正!A45:A56,G2,修正!G45:G56)</f>
        <v>0</v>
      </c>
      <c r="G38" s="200" t="e">
        <f t="shared" si="6"/>
        <v>#DIV/0!</v>
      </c>
      <c r="H38" s="200">
        <f t="shared" si="8"/>
        <v>0</v>
      </c>
      <c r="I38" s="200" t="e">
        <f t="shared" si="9"/>
        <v>#DIV/0!</v>
      </c>
      <c r="J38" s="2865"/>
      <c r="K38" s="1373"/>
      <c r="L38" s="1890" t="s">
        <v>2938</v>
      </c>
      <c r="M38" s="2869">
        <v>0.25</v>
      </c>
      <c r="N38" s="1373"/>
      <c r="O38" s="1373"/>
      <c r="P38" s="1373"/>
      <c r="Q38" s="1373"/>
      <c r="R38" s="1373"/>
      <c r="S38" s="1373"/>
      <c r="T38" s="1373"/>
      <c r="U38" s="1373"/>
      <c r="V38" s="1373"/>
      <c r="W38" s="1373"/>
      <c r="X38" s="1373"/>
      <c r="Y38" s="1373"/>
      <c r="Z38" s="1374"/>
    </row>
    <row r="39" spans="1:37" ht="13.5" thickBot="1">
      <c r="A39" s="2852"/>
      <c r="B39" s="2870" t="s">
        <v>2939</v>
      </c>
      <c r="C39" s="229" t="e">
        <f>ROUND(C5*C19*C20*C24*F39,0)</f>
        <v>#DIV/0!</v>
      </c>
      <c r="D39" s="2854"/>
      <c r="E39" s="229" t="e">
        <f t="shared" si="7"/>
        <v>#DIV/0!</v>
      </c>
      <c r="F39" s="935">
        <f>SUMIF(修正!A45:A56,G2,修正!H45:H56)</f>
        <v>0</v>
      </c>
      <c r="G39" s="229" t="e">
        <f t="shared" si="6"/>
        <v>#DIV/0!</v>
      </c>
      <c r="H39" s="229">
        <f t="shared" si="8"/>
        <v>0</v>
      </c>
      <c r="I39" s="229" t="e">
        <f t="shared" si="9"/>
        <v>#DIV/0!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2940</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2941</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2942</v>
      </c>
      <c r="B47" s="1812" t="s">
        <v>2943</v>
      </c>
      <c r="C47" s="1812" t="s">
        <v>2944</v>
      </c>
      <c r="D47" s="1812" t="s">
        <v>2945</v>
      </c>
      <c r="E47" s="819" t="s">
        <v>2946</v>
      </c>
      <c r="F47" s="2882" t="s">
        <v>2947</v>
      </c>
      <c r="G47" s="1812" t="s">
        <v>754</v>
      </c>
      <c r="H47" s="2883" t="s">
        <v>2948</v>
      </c>
      <c r="I47" s="1812" t="s">
        <v>2949</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1" t="s">
        <v>2950</v>
      </c>
      <c r="B48" s="2884" t="str">
        <f>估价对象房地状况!C4</f>
        <v>估价对象周边商业氛围一般，有华阳广场，人流量一般，商业繁华度一般</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1" t="s">
        <v>2951</v>
      </c>
      <c r="B49" s="2885" t="str">
        <f>估价对象房地状况!C18</f>
        <v>估价对象周边道路路网密集，有延安南路、塔城东路、公共交通通达情况较好，有1路、54路、44路，停车便捷程度较好，综合评价交通便捷度较好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2952</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2953</v>
      </c>
      <c r="B51" s="2886" t="s">
        <v>2954</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2955</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2956</v>
      </c>
      <c r="B53" s="2887" t="s">
        <v>2957</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76.5">
      <c r="A54" s="2888" t="s">
        <v>2958</v>
      </c>
      <c r="B54" s="1728" t="str">
        <f>估价对象房地状况!C21</f>
        <v>估价对象所在区域有中国工商银行、昌吉市北京南路石油新村社区卫生服务站、铭日商店、昌吉市第五小学，公共配套设施较较齐备</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2959</v>
      </c>
      <c r="B55" s="2885" t="str">
        <f>估价对象房地状况!C22</f>
        <v>估价对象所在区域基础设施七通</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9" t="s">
        <v>2960</v>
      </c>
      <c r="B56" s="2890" t="str">
        <f>估价对象房地状况!C20</f>
        <v>区域内有晋昌公园，自然环境较好；有昌吉回族自治州技师培训学院，人文环境较好；综合评价环境状况较好</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2961</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2942</v>
      </c>
      <c r="B58" s="1812"/>
      <c r="C58" s="1812" t="s">
        <v>2944</v>
      </c>
      <c r="D58" s="1812" t="s">
        <v>2945</v>
      </c>
      <c r="E58" s="819" t="s">
        <v>2946</v>
      </c>
      <c r="F58" s="2882" t="s">
        <v>2962</v>
      </c>
      <c r="G58" s="1812" t="s">
        <v>754</v>
      </c>
      <c r="H58" s="2883" t="s">
        <v>2948</v>
      </c>
      <c r="I58" s="1812" t="s">
        <v>2949</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1" t="s">
        <v>2963</v>
      </c>
      <c r="B59" s="2884" t="str">
        <f>估价对象房地状况!C17</f>
        <v>估价对象周边办公楼项目数量一般，入驻率较高，办公集聚程度一般</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1" t="s">
        <v>2951</v>
      </c>
      <c r="B60" s="2885" t="str">
        <f>估价对象房地状况!C18</f>
        <v>估价对象周边道路路网密集，有延安南路、塔城东路、公共交通通达情况较好，有1路、54路、44路，停车便捷程度较好，综合评价交通便捷度较好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2952</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2953</v>
      </c>
      <c r="B62" s="2886" t="s">
        <v>2954</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2955</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2956</v>
      </c>
      <c r="B64" s="2887" t="s">
        <v>2957</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76.5">
      <c r="A65" s="2881" t="s">
        <v>2958</v>
      </c>
      <c r="B65" s="1728" t="str">
        <f>估价对象房地状况!C21</f>
        <v>估价对象所在区域有中国工商银行、昌吉市北京南路石油新村社区卫生服务站、铭日商店、昌吉市第五小学，公共配套设施较较齐备</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2959</v>
      </c>
      <c r="B66" s="1728" t="str">
        <f>估价对象房地状况!C22</f>
        <v>估价对象所在区域基础设施七通</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9" t="s">
        <v>2960</v>
      </c>
      <c r="B67" s="2891" t="str">
        <f>估价对象房地状况!C20</f>
        <v>区域内有晋昌公园，自然环境较好；有昌吉回族自治州技师培训学院，人文环境较好；综合评价环境状况较好</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2964</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2942</v>
      </c>
      <c r="B69" s="1812"/>
      <c r="C69" s="1812" t="s">
        <v>2944</v>
      </c>
      <c r="D69" s="1812" t="s">
        <v>2945</v>
      </c>
      <c r="E69" s="819" t="s">
        <v>2946</v>
      </c>
      <c r="F69" s="2882" t="s">
        <v>2962</v>
      </c>
      <c r="G69" s="1812" t="s">
        <v>754</v>
      </c>
      <c r="H69" s="2883" t="s">
        <v>2948</v>
      </c>
      <c r="I69" s="1812" t="s">
        <v>2949</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1" t="s">
        <v>2965</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1" t="s">
        <v>2951</v>
      </c>
      <c r="B71" s="2885" t="str">
        <f>估价对象房地状况!C18</f>
        <v>估价对象周边道路路网密集，有延安南路、塔城东路、公共交通通达情况较好，有1路、54路、44路，停车便捷程度较好，综合评价交通便捷度较好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2952</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2966</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76.5">
      <c r="A74" s="2881" t="s">
        <v>2958</v>
      </c>
      <c r="B74" s="1728" t="str">
        <f>估价对象房地状况!C21</f>
        <v>估价对象所在区域有中国工商银行、昌吉市北京南路石油新村社区卫生服务站、铭日商店、昌吉市第五小学，公共配套设施较较齐备</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2959</v>
      </c>
      <c r="B75" s="1728" t="str">
        <f>估价对象房地状况!C22</f>
        <v>估价对象所在区域基础设施七通</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2956</v>
      </c>
      <c r="B76" s="2887" t="s">
        <v>2957</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63.75">
      <c r="A77" s="2881" t="s">
        <v>2960</v>
      </c>
      <c r="B77" s="2884" t="str">
        <f>估价对象房地状况!C20</f>
        <v>区域内有晋昌公园，自然环境较好；有昌吉回族自治州技师培训学院，人文环境较好；综合评价环境状况较好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2967</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2968</v>
      </c>
      <c r="B79" s="2878">
        <f>1+E81</f>
        <v>1</v>
      </c>
      <c r="C79" s="814"/>
      <c r="D79" s="814"/>
      <c r="E79" s="815"/>
      <c r="F79" s="2880"/>
      <c r="G79" s="6"/>
      <c r="H79" s="6"/>
      <c r="I79" s="6"/>
      <c r="J79" s="7"/>
      <c r="K79" s="7"/>
      <c r="L79" s="7"/>
      <c r="M79" s="7"/>
      <c r="N79" s="7"/>
      <c r="Z79" s="2723"/>
      <c r="AA79" s="2799"/>
      <c r="AG79" s="1375"/>
      <c r="AK79" s="2799"/>
    </row>
    <row r="80" spans="1:37" ht="24.75">
      <c r="A80" s="2881" t="s">
        <v>2942</v>
      </c>
      <c r="B80" s="1812"/>
      <c r="C80" s="1812" t="s">
        <v>2944</v>
      </c>
      <c r="D80" s="1812" t="s">
        <v>2945</v>
      </c>
      <c r="E80" s="819" t="s">
        <v>2946</v>
      </c>
      <c r="F80" s="2882" t="s">
        <v>2962</v>
      </c>
      <c r="G80" s="1812" t="s">
        <v>754</v>
      </c>
      <c r="H80" s="2883" t="s">
        <v>2948</v>
      </c>
      <c r="I80" s="1812" t="s">
        <v>2949</v>
      </c>
      <c r="J80" s="603" t="s">
        <v>2595</v>
      </c>
      <c r="K80" s="603" t="s">
        <v>2596</v>
      </c>
      <c r="L80" s="603" t="s">
        <v>2597</v>
      </c>
      <c r="M80" s="603" t="s">
        <v>2598</v>
      </c>
      <c r="N80" s="603" t="s">
        <v>2599</v>
      </c>
      <c r="Z80" s="2723"/>
      <c r="AA80" s="2799"/>
      <c r="AG80" s="1375"/>
      <c r="AK80" s="2799"/>
    </row>
    <row r="81" spans="1:37" ht="38.25">
      <c r="A81" s="2881" t="s">
        <v>2969</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2951</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2952</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2966</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2958</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2959</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2956</v>
      </c>
      <c r="B87" s="2887" t="s">
        <v>2970</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2971</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01" t="s">
        <v>2972</v>
      </c>
      <c r="B90" s="3301"/>
      <c r="C90" s="3301"/>
      <c r="D90" s="3301"/>
      <c r="E90" s="3301"/>
      <c r="F90" s="3301"/>
      <c r="G90" s="3301"/>
      <c r="H90" s="3301"/>
      <c r="I90" s="3301"/>
      <c r="J90" s="3301"/>
      <c r="K90" s="2895"/>
      <c r="L90" s="2895"/>
      <c r="M90" s="2895"/>
      <c r="N90" s="2895"/>
    </row>
    <row r="91" spans="1:37">
      <c r="A91" s="3303" t="s">
        <v>2973</v>
      </c>
      <c r="B91" s="3303" t="s">
        <v>2974</v>
      </c>
      <c r="C91" s="2849" t="s">
        <v>2975</v>
      </c>
      <c r="D91" s="2850"/>
      <c r="E91" s="2850"/>
      <c r="F91" s="2850"/>
      <c r="G91" s="2850"/>
      <c r="H91" s="2850"/>
      <c r="I91" s="2850"/>
      <c r="J91" s="2896"/>
      <c r="K91" s="2897"/>
      <c r="L91" s="2897"/>
      <c r="M91" s="2897"/>
      <c r="N91" s="2897"/>
    </row>
    <row r="92" spans="1:37">
      <c r="A92" s="3303"/>
      <c r="B92" s="3303"/>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04"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5"/>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5"/>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5"/>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5"/>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5"/>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5"/>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06"/>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04" t="s">
        <v>2977</v>
      </c>
      <c r="B101" s="2902" t="s">
        <v>2978</v>
      </c>
      <c r="C101" s="2903">
        <f>$G$3</f>
        <v>3.91</v>
      </c>
      <c r="D101" s="2903">
        <f t="shared" ref="D101:N101" si="31">$G$3</f>
        <v>3.91</v>
      </c>
      <c r="E101" s="2903">
        <f t="shared" si="31"/>
        <v>3.91</v>
      </c>
      <c r="F101" s="2903">
        <f t="shared" si="31"/>
        <v>3.91</v>
      </c>
      <c r="G101" s="2903">
        <f t="shared" si="31"/>
        <v>3.91</v>
      </c>
      <c r="H101" s="2903">
        <f t="shared" si="31"/>
        <v>3.91</v>
      </c>
      <c r="I101" s="2903">
        <f t="shared" si="31"/>
        <v>3.91</v>
      </c>
      <c r="J101" s="2903">
        <f t="shared" si="31"/>
        <v>3.91</v>
      </c>
      <c r="K101" s="2903">
        <f t="shared" si="31"/>
        <v>3.91</v>
      </c>
      <c r="L101" s="2903">
        <f t="shared" si="31"/>
        <v>3.91</v>
      </c>
      <c r="M101" s="2903">
        <f t="shared" si="31"/>
        <v>3.91</v>
      </c>
      <c r="N101" s="2903">
        <f t="shared" si="31"/>
        <v>3.91</v>
      </c>
    </row>
    <row r="102" spans="1:14">
      <c r="A102" s="3305"/>
      <c r="B102" s="2898">
        <v>1</v>
      </c>
      <c r="C102" s="2899">
        <f>1.9362/C101</f>
        <v>0.49519181585677746</v>
      </c>
      <c r="D102" s="2899">
        <f>1.9362/D101</f>
        <v>0.49519181585677746</v>
      </c>
      <c r="E102" s="2899">
        <f>1.8629/E101</f>
        <v>0.47644501278772378</v>
      </c>
      <c r="F102" s="2899">
        <f>1.8629/F101</f>
        <v>0.47644501278772378</v>
      </c>
      <c r="G102" s="2899">
        <f>1.8629/G101</f>
        <v>0.47644501278772378</v>
      </c>
      <c r="H102" s="2899">
        <f>1.8629/H101</f>
        <v>0.47644501278772378</v>
      </c>
      <c r="I102" s="2899">
        <f>1.8629/I101</f>
        <v>0.47644501278772378</v>
      </c>
      <c r="J102" s="2899">
        <f>1.942/J101</f>
        <v>0.49667519181585673</v>
      </c>
      <c r="K102" s="2899">
        <f>1.942/K101</f>
        <v>0.49667519181585673</v>
      </c>
      <c r="L102" s="2899">
        <f>1.942/L101</f>
        <v>0.49667519181585673</v>
      </c>
      <c r="M102" s="2899">
        <f>1.942/M101</f>
        <v>0.49667519181585673</v>
      </c>
      <c r="N102" s="2899">
        <f>1.942/N101</f>
        <v>0.49667519181585673</v>
      </c>
    </row>
    <row r="103" spans="1:14">
      <c r="A103" s="3305"/>
      <c r="B103" s="2898">
        <v>2</v>
      </c>
      <c r="C103" s="2899">
        <f>1.4198/C101</f>
        <v>0.36312020460358052</v>
      </c>
      <c r="D103" s="2899">
        <f>1.4198/D101</f>
        <v>0.36312020460358052</v>
      </c>
      <c r="E103" s="2899">
        <f>1.3372/E101</f>
        <v>0.34199488491048591</v>
      </c>
      <c r="F103" s="2899">
        <f>1.3372/F101</f>
        <v>0.34199488491048591</v>
      </c>
      <c r="G103" s="2899">
        <f>1.3372/G101</f>
        <v>0.34199488491048591</v>
      </c>
      <c r="H103" s="2899">
        <f>1.3372/H101</f>
        <v>0.34199488491048591</v>
      </c>
      <c r="I103" s="2899">
        <f>1.3372/I101</f>
        <v>0.34199488491048591</v>
      </c>
      <c r="J103" s="2899">
        <f>1.2799/J101</f>
        <v>0.32734015345268541</v>
      </c>
      <c r="K103" s="2899">
        <f>1.2799/K101</f>
        <v>0.32734015345268541</v>
      </c>
      <c r="L103" s="2899">
        <f>1.2799/L101</f>
        <v>0.32734015345268541</v>
      </c>
      <c r="M103" s="2899">
        <f>1.2799/M101</f>
        <v>0.32734015345268541</v>
      </c>
      <c r="N103" s="2899">
        <f>1.2799/N101</f>
        <v>0.32734015345268541</v>
      </c>
    </row>
    <row r="104" spans="1:14">
      <c r="A104" s="3305"/>
      <c r="B104" s="2898">
        <v>3</v>
      </c>
      <c r="C104" s="2899">
        <f>1.1594/C101</f>
        <v>0.29652173913043478</v>
      </c>
      <c r="D104" s="2899">
        <f>1.1594/D101</f>
        <v>0.29652173913043478</v>
      </c>
      <c r="E104" s="2899">
        <f>1.0788/E101</f>
        <v>0.27590792838874678</v>
      </c>
      <c r="F104" s="2899">
        <f>1.0788/F101</f>
        <v>0.27590792838874678</v>
      </c>
      <c r="G104" s="2899">
        <f>1.0788/G101</f>
        <v>0.27590792838874678</v>
      </c>
      <c r="H104" s="2899">
        <f>1.0788/H101</f>
        <v>0.27590792838874678</v>
      </c>
      <c r="I104" s="2899">
        <f>1.0788/I101</f>
        <v>0.27590792838874678</v>
      </c>
      <c r="J104" s="2899">
        <f>1.0072/J101</f>
        <v>0.25759590792838877</v>
      </c>
      <c r="K104" s="2899">
        <f>1.0072/K101</f>
        <v>0.25759590792838877</v>
      </c>
      <c r="L104" s="2899">
        <f>1.0072/L101</f>
        <v>0.25759590792838877</v>
      </c>
      <c r="M104" s="2899">
        <f>1.0072/M101</f>
        <v>0.25759590792838877</v>
      </c>
      <c r="N104" s="2899">
        <f>1.0072/N101</f>
        <v>0.25759590792838877</v>
      </c>
    </row>
    <row r="105" spans="1:14">
      <c r="A105" s="3305"/>
      <c r="B105" s="2898">
        <v>4</v>
      </c>
      <c r="C105" s="2899">
        <f>0.9622/C101</f>
        <v>0.24608695652173915</v>
      </c>
      <c r="D105" s="2899">
        <f>0.9622/D101</f>
        <v>0.24608695652173915</v>
      </c>
      <c r="E105" s="2899">
        <f>0.8656/E101</f>
        <v>0.22138107416879796</v>
      </c>
      <c r="F105" s="2899">
        <f>0.8656/F101</f>
        <v>0.22138107416879796</v>
      </c>
      <c r="G105" s="2899">
        <f>0.8656/G101</f>
        <v>0.22138107416879796</v>
      </c>
      <c r="H105" s="2899">
        <f>0.8656/H101</f>
        <v>0.22138107416879796</v>
      </c>
      <c r="I105" s="2899">
        <f>0.8656/I101</f>
        <v>0.22138107416879796</v>
      </c>
      <c r="J105" s="2899">
        <f>0.7525/J101</f>
        <v>0.1924552429667519</v>
      </c>
      <c r="K105" s="2899">
        <f>0.7525/K101</f>
        <v>0.1924552429667519</v>
      </c>
      <c r="L105" s="2899">
        <f>0.7525/L101</f>
        <v>0.1924552429667519</v>
      </c>
      <c r="M105" s="2899">
        <f>0.7525/M101</f>
        <v>0.1924552429667519</v>
      </c>
      <c r="N105" s="2899">
        <f>0.7525/N101</f>
        <v>0.1924552429667519</v>
      </c>
    </row>
    <row r="106" spans="1:14">
      <c r="A106" s="3305"/>
      <c r="B106" s="2898">
        <v>5</v>
      </c>
      <c r="C106" s="2899">
        <f>0.8417/C101</f>
        <v>0.21526854219948849</v>
      </c>
      <c r="D106" s="2899">
        <f>0.8417/D101</f>
        <v>0.21526854219948849</v>
      </c>
      <c r="E106" s="2899">
        <f>0.7371/E101</f>
        <v>0.18851662404092071</v>
      </c>
      <c r="F106" s="2899">
        <f>0.7371/F101</f>
        <v>0.18851662404092071</v>
      </c>
      <c r="G106" s="2899">
        <f>0.7371/G101</f>
        <v>0.18851662404092071</v>
      </c>
      <c r="H106" s="2899">
        <f>0.7371/H101</f>
        <v>0.18851662404092071</v>
      </c>
      <c r="I106" s="2899">
        <f>0.7371/I101</f>
        <v>0.18851662404092071</v>
      </c>
      <c r="J106" s="2899">
        <f>0.5659/J101</f>
        <v>0.1447314578005115</v>
      </c>
      <c r="K106" s="2899">
        <f>0.5659/K101</f>
        <v>0.1447314578005115</v>
      </c>
      <c r="L106" s="2899">
        <f>0.5659/L101</f>
        <v>0.1447314578005115</v>
      </c>
      <c r="M106" s="2899">
        <f>0.5659/M101</f>
        <v>0.1447314578005115</v>
      </c>
      <c r="N106" s="2899">
        <f>0.5659/N101</f>
        <v>0.1447314578005115</v>
      </c>
    </row>
    <row r="107" spans="1:14">
      <c r="A107" s="3305"/>
      <c r="B107" s="2898">
        <v>6</v>
      </c>
      <c r="C107" s="2899">
        <f>0.7608/C101</f>
        <v>0.19457800511508952</v>
      </c>
      <c r="D107" s="2899">
        <f>0.7608/D101</f>
        <v>0.19457800511508952</v>
      </c>
      <c r="E107" s="2899">
        <f>0.6482/E101</f>
        <v>0.16578005115089514</v>
      </c>
      <c r="F107" s="2899">
        <f>0.6482/F101</f>
        <v>0.16578005115089514</v>
      </c>
      <c r="G107" s="2899">
        <f>0.6482/G101</f>
        <v>0.16578005115089514</v>
      </c>
      <c r="H107" s="2899">
        <f>0.6482/H101</f>
        <v>0.16578005115089514</v>
      </c>
      <c r="I107" s="2899">
        <f>0.6482/I101</f>
        <v>0.16578005115089514</v>
      </c>
      <c r="J107" s="2899">
        <f>0.4525/J101</f>
        <v>0.11572890025575447</v>
      </c>
      <c r="K107" s="2899">
        <f>0.4525/K101</f>
        <v>0.11572890025575447</v>
      </c>
      <c r="L107" s="2899">
        <f>0.4525/L101</f>
        <v>0.11572890025575447</v>
      </c>
      <c r="M107" s="2899">
        <f>0.4525/M101</f>
        <v>0.11572890025575447</v>
      </c>
      <c r="N107" s="2899">
        <f>0.4525/N101</f>
        <v>0.11572890025575447</v>
      </c>
    </row>
    <row r="108" spans="1:14">
      <c r="A108" s="3305"/>
      <c r="B108" s="3161"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06"/>
      <c r="B109" s="3162"/>
      <c r="C109" s="2901">
        <f>(-0.163*(C108^2)-0.59*C108+7617)*(10^(-4))/C101</f>
        <v>0.19480818414322251</v>
      </c>
      <c r="D109" s="2901">
        <f>(-0.163*(D108^2)-0.59*D108+7617)*(10^(-4))/D101</f>
        <v>0.19480818414322251</v>
      </c>
      <c r="E109" s="2901">
        <f>(-0.161*(E108^2)-7.509*E108+6533)*(10^(-4))/E101</f>
        <v>0.1670843989769821</v>
      </c>
      <c r="F109" s="2901">
        <f>(-0.161*(F108^2)-7.509*F108+6533)*(10^(-4))/F101</f>
        <v>0.1670843989769821</v>
      </c>
      <c r="G109" s="2901">
        <f>(-0.161*(G108^2)-7.509*G108+6533)*(10^(-4))/G101</f>
        <v>0.1670843989769821</v>
      </c>
      <c r="H109" s="2901">
        <f>(-0.161*(H108^2)-7.509*H108+6533)*(10^(-4))/H101</f>
        <v>0.1670843989769821</v>
      </c>
      <c r="I109" s="2901">
        <f>(-0.161*(I108^2)-7.509*I108+6533)*(10^(-4))/I101</f>
        <v>0.1670843989769821</v>
      </c>
      <c r="J109" s="2901">
        <f>(-0.214*(J108^2)-21.991*J108+4665)*(10^(-4))/J101</f>
        <v>0.11930946291560103</v>
      </c>
      <c r="K109" s="2901">
        <f>(-0.214*(K108^2)-21.991*K108+4665)*(10^(-4))/K101</f>
        <v>0.11930946291560103</v>
      </c>
      <c r="L109" s="2901">
        <f>(-0.214*(L108^2)-21.991*L108+4665)*(10^(-4))/L101</f>
        <v>0.11930946291560103</v>
      </c>
      <c r="M109" s="2901">
        <f>(-0.214*(M108^2)-21.991*M108+4665)*(10^(-4))/M101</f>
        <v>0.11930946291560103</v>
      </c>
      <c r="N109" s="2901">
        <f>(-0.214*(N108^2)-21.991*N108+4665)*(10^(-4))/N101</f>
        <v>0.11930946291560103</v>
      </c>
    </row>
    <row r="110" spans="1:14">
      <c r="A110" s="3302" t="s">
        <v>2980</v>
      </c>
      <c r="B110" s="3302"/>
      <c r="C110" s="3302"/>
      <c r="D110" s="3302"/>
      <c r="E110" s="3302"/>
      <c r="F110" s="3302"/>
      <c r="G110" s="3302"/>
      <c r="H110" s="3302"/>
      <c r="I110" s="3302"/>
      <c r="J110" s="3302"/>
      <c r="K110" s="2904"/>
      <c r="L110" s="2904"/>
      <c r="M110" s="2904"/>
      <c r="N110" s="2904"/>
    </row>
    <row r="112" spans="1:14" ht="13.5" thickBot="1"/>
    <row r="113" spans="1:13" ht="25.5" thickBot="1">
      <c r="A113" s="903" t="s">
        <v>2981</v>
      </c>
      <c r="B113" s="1290">
        <f>G3</f>
        <v>3.91</v>
      </c>
      <c r="C113" s="904" t="s">
        <v>2982</v>
      </c>
      <c r="D113" s="905">
        <f>SUMPRODUCT((A115:A118=F113)*(B114:M114=H113)*B115:M118)</f>
        <v>0</v>
      </c>
      <c r="E113" s="2727" t="s">
        <v>2812</v>
      </c>
      <c r="F113" s="2906">
        <f>E2</f>
        <v>0</v>
      </c>
      <c r="G113" s="2727" t="s">
        <v>2813</v>
      </c>
      <c r="H113" s="2906">
        <f>G2</f>
        <v>0</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f>ROUND(0.9335-0.0094*B113,4)</f>
        <v>0.89670000000000005</v>
      </c>
      <c r="C115" s="910">
        <f>B115</f>
        <v>0.89670000000000005</v>
      </c>
      <c r="D115" s="910">
        <f>ROUND(0.8331-0.0109*B113,4)</f>
        <v>0.79049999999999998</v>
      </c>
      <c r="E115" s="910">
        <f>D115</f>
        <v>0.79049999999999998</v>
      </c>
      <c r="F115" s="910">
        <f>E115</f>
        <v>0.79049999999999998</v>
      </c>
      <c r="G115" s="910">
        <f>F115</f>
        <v>0.79049999999999998</v>
      </c>
      <c r="H115" s="910">
        <f>G115</f>
        <v>0.79049999999999998</v>
      </c>
      <c r="I115" s="910">
        <f>ROUND(0.689-0.0155*B113,4)</f>
        <v>0.62839999999999996</v>
      </c>
      <c r="J115" s="910">
        <f t="shared" ref="J115:M118" si="33">I115</f>
        <v>0.62839999999999996</v>
      </c>
      <c r="K115" s="910">
        <f t="shared" si="33"/>
        <v>0.62839999999999996</v>
      </c>
      <c r="L115" s="910">
        <f t="shared" si="33"/>
        <v>0.62839999999999996</v>
      </c>
      <c r="M115" s="911">
        <f t="shared" si="33"/>
        <v>0.62839999999999996</v>
      </c>
    </row>
    <row r="116" spans="1:13">
      <c r="A116" s="909" t="s">
        <v>2878</v>
      </c>
      <c r="B116" s="910">
        <f>ROUND(0.949-0.012*B113,4)</f>
        <v>0.90210000000000001</v>
      </c>
      <c r="C116" s="910">
        <f>B116</f>
        <v>0.90210000000000001</v>
      </c>
      <c r="D116" s="910">
        <f>ROUND(0.8567-0.013*B113,4)</f>
        <v>0.80589999999999995</v>
      </c>
      <c r="E116" s="910">
        <f t="shared" ref="E116:H117" si="34">D116</f>
        <v>0.80589999999999995</v>
      </c>
      <c r="F116" s="910">
        <f t="shared" si="34"/>
        <v>0.80589999999999995</v>
      </c>
      <c r="G116" s="910">
        <f t="shared" si="34"/>
        <v>0.80589999999999995</v>
      </c>
      <c r="H116" s="910">
        <f t="shared" si="34"/>
        <v>0.80589999999999995</v>
      </c>
      <c r="I116" s="910">
        <f>ROUND(0.7694-0.014*B113,4)</f>
        <v>0.7147</v>
      </c>
      <c r="J116" s="910">
        <f t="shared" si="33"/>
        <v>0.7147</v>
      </c>
      <c r="K116" s="910">
        <f t="shared" si="33"/>
        <v>0.7147</v>
      </c>
      <c r="L116" s="910">
        <f t="shared" si="33"/>
        <v>0.7147</v>
      </c>
      <c r="M116" s="911">
        <f t="shared" si="33"/>
        <v>0.7147</v>
      </c>
    </row>
    <row r="117" spans="1:13">
      <c r="A117" s="909" t="s">
        <v>2879</v>
      </c>
      <c r="B117" s="910">
        <f>ROUND(0.8808-0.006*B113,4)</f>
        <v>0.85729999999999995</v>
      </c>
      <c r="C117" s="910">
        <f>B117</f>
        <v>0.85729999999999995</v>
      </c>
      <c r="D117" s="910">
        <f>ROUND(0.8748-0.008*B113,4)</f>
        <v>0.84350000000000003</v>
      </c>
      <c r="E117" s="910">
        <f t="shared" si="34"/>
        <v>0.84350000000000003</v>
      </c>
      <c r="F117" s="910">
        <f t="shared" si="34"/>
        <v>0.84350000000000003</v>
      </c>
      <c r="G117" s="910">
        <f t="shared" si="34"/>
        <v>0.84350000000000003</v>
      </c>
      <c r="H117" s="910">
        <f t="shared" si="34"/>
        <v>0.84350000000000003</v>
      </c>
      <c r="I117" s="910">
        <f>ROUND(0.7412-0.0095*B113,4)</f>
        <v>0.70409999999999995</v>
      </c>
      <c r="J117" s="910">
        <f t="shared" si="33"/>
        <v>0.70409999999999995</v>
      </c>
      <c r="K117" s="910">
        <f t="shared" si="33"/>
        <v>0.70409999999999995</v>
      </c>
      <c r="L117" s="910">
        <f t="shared" si="33"/>
        <v>0.70409999999999995</v>
      </c>
      <c r="M117" s="911">
        <f t="shared" si="33"/>
        <v>0.70409999999999995</v>
      </c>
    </row>
    <row r="118" spans="1:13" ht="13.5" thickBot="1">
      <c r="A118" s="714" t="s">
        <v>2880</v>
      </c>
      <c r="B118" s="912">
        <f>ROUND(0.7275-0.01*B113,4)</f>
        <v>0.68840000000000001</v>
      </c>
      <c r="C118" s="912">
        <f>B118</f>
        <v>0.68840000000000001</v>
      </c>
      <c r="D118" s="912">
        <f>ROUND(0.7043-0.012*B113,4)</f>
        <v>0.65739999999999998</v>
      </c>
      <c r="E118" s="912">
        <f>D118</f>
        <v>0.65739999999999998</v>
      </c>
      <c r="F118" s="912">
        <f>E118</f>
        <v>0.65739999999999998</v>
      </c>
      <c r="G118" s="912">
        <f>ROUND(0.6299-0.0122*B113,4)</f>
        <v>0.58220000000000005</v>
      </c>
      <c r="H118" s="912">
        <f>G118</f>
        <v>0.58220000000000005</v>
      </c>
      <c r="I118" s="912">
        <f>ROUND(0.5667-0.0136*B113,4)</f>
        <v>0.51349999999999996</v>
      </c>
      <c r="J118" s="912">
        <f t="shared" si="33"/>
        <v>0.51349999999999996</v>
      </c>
      <c r="K118" s="912">
        <f t="shared" si="33"/>
        <v>0.51349999999999996</v>
      </c>
      <c r="L118" s="912">
        <f t="shared" si="33"/>
        <v>0.51349999999999996</v>
      </c>
      <c r="M118" s="913">
        <f t="shared" si="33"/>
        <v>0.51349999999999996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0" t="s">
        <v>183</v>
      </c>
      <c r="B18" s="882" t="s">
        <v>560</v>
      </c>
      <c r="C18" s="883" t="s">
        <v>561</v>
      </c>
      <c r="D18" s="884"/>
      <c r="E18" s="882">
        <v>1</v>
      </c>
      <c r="F18" s="885" t="s">
        <v>562</v>
      </c>
      <c r="G18" s="886"/>
      <c r="H18" s="878"/>
      <c r="I18" s="878"/>
    </row>
    <row r="19" spans="1:9" s="887" customFormat="1" ht="19.5" customHeight="1">
      <c r="A19" s="3310"/>
      <c r="B19" s="3310" t="s">
        <v>563</v>
      </c>
      <c r="C19" s="883" t="s">
        <v>564</v>
      </c>
      <c r="D19" s="884"/>
      <c r="E19" s="882">
        <v>0.9</v>
      </c>
      <c r="F19" s="885" t="s">
        <v>565</v>
      </c>
      <c r="G19" s="886"/>
      <c r="H19" s="878"/>
      <c r="I19" s="878"/>
    </row>
    <row r="20" spans="1:9" s="887" customFormat="1" ht="19.5" customHeight="1">
      <c r="A20" s="3310"/>
      <c r="B20" s="3310"/>
      <c r="C20" s="883" t="s">
        <v>566</v>
      </c>
      <c r="D20" s="884"/>
      <c r="E20" s="882">
        <v>1.1000000000000001</v>
      </c>
      <c r="F20" s="885" t="s">
        <v>567</v>
      </c>
      <c r="G20" s="886"/>
      <c r="H20" s="878"/>
      <c r="I20" s="878"/>
    </row>
    <row r="21" spans="1:9" s="887" customFormat="1" ht="19.5" customHeight="1">
      <c r="A21" s="3310"/>
      <c r="B21" s="3310"/>
      <c r="C21" s="883" t="s">
        <v>568</v>
      </c>
      <c r="D21" s="884"/>
      <c r="E21" s="882">
        <v>0.8</v>
      </c>
      <c r="F21" s="885" t="s">
        <v>569</v>
      </c>
      <c r="G21" s="886"/>
      <c r="H21" s="878"/>
      <c r="I21" s="878"/>
    </row>
    <row r="22" spans="1:9" s="887" customFormat="1" ht="19.5" customHeight="1">
      <c r="A22" s="3310"/>
      <c r="B22" s="3310"/>
      <c r="C22" s="883" t="s">
        <v>570</v>
      </c>
      <c r="D22" s="884"/>
      <c r="E22" s="882">
        <v>0.5</v>
      </c>
      <c r="F22" s="885"/>
      <c r="G22" s="886"/>
      <c r="H22" s="878"/>
      <c r="I22" s="878"/>
    </row>
    <row r="23" spans="1:9" s="887" customFormat="1" ht="19.5" customHeight="1">
      <c r="A23" s="3310" t="s">
        <v>184</v>
      </c>
      <c r="B23" s="882" t="s">
        <v>560</v>
      </c>
      <c r="C23" s="883" t="s">
        <v>571</v>
      </c>
      <c r="D23" s="884"/>
      <c r="E23" s="882">
        <v>1</v>
      </c>
      <c r="F23" s="885" t="s">
        <v>572</v>
      </c>
      <c r="G23" s="886"/>
      <c r="H23" s="878"/>
      <c r="I23" s="878"/>
    </row>
    <row r="24" spans="1:9" s="887" customFormat="1" ht="19.5" customHeight="1">
      <c r="A24" s="3310"/>
      <c r="B24" s="3310" t="s">
        <v>563</v>
      </c>
      <c r="C24" s="883" t="s">
        <v>573</v>
      </c>
      <c r="D24" s="884"/>
      <c r="E24" s="882">
        <v>0.5</v>
      </c>
      <c r="F24" s="885"/>
      <c r="G24" s="886"/>
      <c r="H24" s="878"/>
      <c r="I24" s="878"/>
    </row>
    <row r="25" spans="1:9" s="887" customFormat="1" ht="19.5" customHeight="1">
      <c r="A25" s="3310"/>
      <c r="B25" s="3310"/>
      <c r="C25" s="883" t="s">
        <v>574</v>
      </c>
      <c r="D25" s="884"/>
      <c r="E25" s="882">
        <v>1.1000000000000001</v>
      </c>
      <c r="F25" s="885"/>
      <c r="G25" s="886"/>
      <c r="H25" s="878"/>
      <c r="I25" s="878"/>
    </row>
    <row r="26" spans="1:9" s="887" customFormat="1" ht="19.5" customHeight="1">
      <c r="A26" s="3310"/>
      <c r="B26" s="3310"/>
      <c r="C26" s="883" t="s">
        <v>575</v>
      </c>
      <c r="D26" s="884"/>
      <c r="E26" s="882">
        <v>1.1000000000000001</v>
      </c>
      <c r="F26" s="885"/>
      <c r="G26" s="886"/>
      <c r="H26" s="878"/>
      <c r="I26" s="878"/>
    </row>
    <row r="27" spans="1:9" s="887" customFormat="1" ht="19.5" customHeight="1">
      <c r="A27" s="3310"/>
      <c r="B27" s="3310"/>
      <c r="C27" s="883" t="s">
        <v>576</v>
      </c>
      <c r="D27" s="884"/>
      <c r="E27" s="882">
        <v>0.9</v>
      </c>
      <c r="F27" s="885" t="s">
        <v>577</v>
      </c>
      <c r="G27" s="886"/>
      <c r="H27" s="878"/>
      <c r="I27" s="878"/>
    </row>
    <row r="28" spans="1:9" s="887" customFormat="1" ht="19.5" customHeight="1">
      <c r="A28" s="3310"/>
      <c r="B28" s="3310"/>
      <c r="C28" s="883" t="s">
        <v>578</v>
      </c>
      <c r="D28" s="884"/>
      <c r="E28" s="882">
        <v>0.9</v>
      </c>
      <c r="F28" s="885" t="s">
        <v>579</v>
      </c>
      <c r="G28" s="886"/>
      <c r="H28" s="878"/>
      <c r="I28" s="878"/>
    </row>
    <row r="29" spans="1:9" s="887" customFormat="1" ht="19.5" customHeight="1">
      <c r="A29" s="3310"/>
      <c r="B29" s="3310"/>
      <c r="C29" s="883" t="s">
        <v>580</v>
      </c>
      <c r="D29" s="884"/>
      <c r="E29" s="882">
        <v>0.9</v>
      </c>
      <c r="F29" s="885" t="s">
        <v>581</v>
      </c>
      <c r="G29" s="886"/>
      <c r="H29" s="878"/>
      <c r="I29" s="878"/>
    </row>
    <row r="30" spans="1:9" s="887" customFormat="1" ht="19.5" customHeight="1">
      <c r="A30" s="3310"/>
      <c r="B30" s="3310"/>
      <c r="C30" s="883" t="s">
        <v>582</v>
      </c>
      <c r="D30" s="884"/>
      <c r="E30" s="882">
        <v>0.9</v>
      </c>
      <c r="F30" s="885" t="s">
        <v>583</v>
      </c>
      <c r="G30" s="886"/>
      <c r="H30" s="878"/>
      <c r="I30" s="878"/>
    </row>
    <row r="31" spans="1:9" s="887" customFormat="1" ht="19.5" customHeight="1">
      <c r="A31" s="3310"/>
      <c r="B31" s="3310"/>
      <c r="C31" s="883" t="s">
        <v>584</v>
      </c>
      <c r="D31" s="884"/>
      <c r="E31" s="882">
        <v>0.8</v>
      </c>
      <c r="F31" s="885" t="s">
        <v>585</v>
      </c>
      <c r="G31" s="886"/>
      <c r="H31" s="878"/>
      <c r="I31" s="878"/>
    </row>
    <row r="32" spans="1:9" s="887" customFormat="1" ht="19.5" customHeight="1">
      <c r="A32" s="3310"/>
      <c r="B32" s="3310"/>
      <c r="C32" s="883" t="s">
        <v>586</v>
      </c>
      <c r="D32" s="884"/>
      <c r="E32" s="882">
        <v>0.8</v>
      </c>
      <c r="F32" s="885" t="s">
        <v>587</v>
      </c>
      <c r="G32" s="886"/>
      <c r="H32" s="878"/>
      <c r="I32" s="878"/>
    </row>
    <row r="33" spans="1:9" s="887" customFormat="1" ht="19.5" customHeight="1">
      <c r="A33" s="3310" t="s">
        <v>185</v>
      </c>
      <c r="B33" s="882" t="s">
        <v>560</v>
      </c>
      <c r="C33" s="883" t="s">
        <v>588</v>
      </c>
      <c r="D33" s="884"/>
      <c r="E33" s="882">
        <v>1</v>
      </c>
      <c r="F33" s="885" t="s">
        <v>589</v>
      </c>
      <c r="G33" s="886"/>
      <c r="H33" s="878"/>
      <c r="I33" s="878"/>
    </row>
    <row r="34" spans="1:9" s="887" customFormat="1" ht="19.5" customHeight="1">
      <c r="A34" s="3310"/>
      <c r="B34" s="882" t="s">
        <v>563</v>
      </c>
      <c r="C34" s="883" t="s">
        <v>590</v>
      </c>
      <c r="D34" s="884"/>
      <c r="E34" s="882">
        <v>1.5</v>
      </c>
      <c r="F34" s="885" t="s">
        <v>591</v>
      </c>
      <c r="G34" s="886"/>
      <c r="H34" s="878"/>
      <c r="I34" s="878"/>
    </row>
    <row r="35" spans="1:9" s="887" customFormat="1" ht="19.5" customHeight="1">
      <c r="A35" s="3310" t="s">
        <v>186</v>
      </c>
      <c r="B35" s="882" t="s">
        <v>560</v>
      </c>
      <c r="C35" s="883" t="s">
        <v>592</v>
      </c>
      <c r="D35" s="884"/>
      <c r="E35" s="882">
        <v>1</v>
      </c>
      <c r="F35" s="885" t="s">
        <v>593</v>
      </c>
      <c r="G35" s="886"/>
      <c r="H35" s="878"/>
      <c r="I35" s="878"/>
    </row>
    <row r="36" spans="1:9" s="887" customFormat="1" ht="19.5" customHeight="1">
      <c r="A36" s="3310"/>
      <c r="B36" s="3310" t="s">
        <v>563</v>
      </c>
      <c r="C36" s="883" t="s">
        <v>594</v>
      </c>
      <c r="D36" s="884"/>
      <c r="E36" s="882">
        <v>1</v>
      </c>
      <c r="F36" s="885" t="s">
        <v>595</v>
      </c>
      <c r="G36" s="886"/>
      <c r="H36" s="878"/>
      <c r="I36" s="878"/>
    </row>
    <row r="37" spans="1:9" s="887" customFormat="1" ht="19.5" customHeight="1">
      <c r="A37" s="3310"/>
      <c r="B37" s="3310"/>
      <c r="C37" s="883" t="s">
        <v>596</v>
      </c>
      <c r="D37" s="884"/>
      <c r="E37" s="882">
        <v>1.5</v>
      </c>
      <c r="F37" s="885" t="s">
        <v>597</v>
      </c>
      <c r="G37" s="886"/>
      <c r="H37" s="878"/>
      <c r="I37" s="878"/>
    </row>
    <row r="38" spans="1:9" s="887" customFormat="1" ht="19.5" customHeight="1">
      <c r="A38" s="3310"/>
      <c r="B38" s="3310"/>
      <c r="C38" s="883" t="s">
        <v>598</v>
      </c>
      <c r="D38" s="884"/>
      <c r="E38" s="882">
        <v>1</v>
      </c>
      <c r="F38" s="885" t="s">
        <v>599</v>
      </c>
      <c r="G38" s="886"/>
      <c r="H38" s="878"/>
      <c r="I38" s="878"/>
    </row>
    <row r="39" spans="1:9" s="887" customFormat="1" ht="19.5" customHeight="1">
      <c r="A39" s="3310"/>
      <c r="B39" s="331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0" t="s">
        <v>614</v>
      </c>
      <c r="C61" s="818" t="s">
        <v>615</v>
      </c>
      <c r="D61" s="818" t="s">
        <v>616</v>
      </c>
      <c r="E61" s="895">
        <v>0.5</v>
      </c>
      <c r="F61" s="882">
        <v>80</v>
      </c>
    </row>
    <row r="62" spans="1:8" s="878" customFormat="1" ht="24">
      <c r="A62" s="882">
        <v>2</v>
      </c>
      <c r="B62" s="3310"/>
      <c r="C62" s="818" t="s">
        <v>617</v>
      </c>
      <c r="D62" s="818" t="s">
        <v>618</v>
      </c>
      <c r="E62" s="895">
        <v>0.5</v>
      </c>
      <c r="F62" s="882">
        <v>80</v>
      </c>
    </row>
    <row r="63" spans="1:8" s="878" customFormat="1" ht="36">
      <c r="A63" s="882">
        <v>3</v>
      </c>
      <c r="B63" s="3310"/>
      <c r="C63" s="818" t="s">
        <v>619</v>
      </c>
      <c r="D63" s="818" t="s">
        <v>620</v>
      </c>
      <c r="E63" s="895">
        <v>0.5</v>
      </c>
      <c r="F63" s="882">
        <v>80</v>
      </c>
    </row>
    <row r="64" spans="1:8" s="878" customFormat="1" ht="36">
      <c r="A64" s="882">
        <v>4</v>
      </c>
      <c r="B64" s="3310"/>
      <c r="C64" s="818" t="s">
        <v>621</v>
      </c>
      <c r="D64" s="818" t="s">
        <v>622</v>
      </c>
      <c r="E64" s="895">
        <v>0.4</v>
      </c>
      <c r="F64" s="882">
        <v>60</v>
      </c>
    </row>
    <row r="65" spans="1:6" s="878" customFormat="1" ht="36">
      <c r="A65" s="882">
        <v>5</v>
      </c>
      <c r="B65" s="3310"/>
      <c r="C65" s="818" t="s">
        <v>623</v>
      </c>
      <c r="D65" s="818" t="s">
        <v>624</v>
      </c>
      <c r="E65" s="895">
        <v>0.2</v>
      </c>
      <c r="F65" s="882">
        <v>30</v>
      </c>
    </row>
    <row r="66" spans="1:6" s="878" customFormat="1" ht="36">
      <c r="A66" s="882">
        <v>6</v>
      </c>
      <c r="B66" s="3310"/>
      <c r="C66" s="818" t="s">
        <v>625</v>
      </c>
      <c r="D66" s="818" t="s">
        <v>626</v>
      </c>
      <c r="E66" s="895">
        <v>0.3</v>
      </c>
      <c r="F66" s="882">
        <v>50</v>
      </c>
    </row>
    <row r="67" spans="1:6" s="878" customFormat="1" ht="36">
      <c r="A67" s="882">
        <v>7</v>
      </c>
      <c r="B67" s="3310"/>
      <c r="C67" s="818" t="s">
        <v>627</v>
      </c>
      <c r="D67" s="818" t="s">
        <v>628</v>
      </c>
      <c r="E67" s="895">
        <v>0.2</v>
      </c>
      <c r="F67" s="882">
        <v>30</v>
      </c>
    </row>
    <row r="68" spans="1:6" s="878" customFormat="1" ht="36">
      <c r="A68" s="882">
        <v>8</v>
      </c>
      <c r="B68" s="3310"/>
      <c r="C68" s="818" t="s">
        <v>629</v>
      </c>
      <c r="D68" s="818" t="s">
        <v>630</v>
      </c>
      <c r="E68" s="895">
        <v>0.2</v>
      </c>
      <c r="F68" s="882">
        <v>30</v>
      </c>
    </row>
    <row r="69" spans="1:6" s="878" customFormat="1" ht="36">
      <c r="A69" s="882">
        <v>9</v>
      </c>
      <c r="B69" s="3310"/>
      <c r="C69" s="818" t="s">
        <v>631</v>
      </c>
      <c r="D69" s="818" t="s">
        <v>632</v>
      </c>
      <c r="E69" s="895">
        <v>0.2</v>
      </c>
      <c r="F69" s="882">
        <v>30</v>
      </c>
    </row>
    <row r="70" spans="1:6" s="878" customFormat="1" ht="48">
      <c r="A70" s="882">
        <v>10</v>
      </c>
      <c r="B70" s="3310"/>
      <c r="C70" s="818" t="s">
        <v>633</v>
      </c>
      <c r="D70" s="818" t="s">
        <v>634</v>
      </c>
      <c r="E70" s="895">
        <v>0.2</v>
      </c>
      <c r="F70" s="882">
        <v>30</v>
      </c>
    </row>
    <row r="71" spans="1:6" s="878" customFormat="1" ht="48">
      <c r="A71" s="882">
        <v>11</v>
      </c>
      <c r="B71" s="3310"/>
      <c r="C71" s="818" t="s">
        <v>635</v>
      </c>
      <c r="D71" s="818" t="s">
        <v>636</v>
      </c>
      <c r="E71" s="895">
        <v>0.2</v>
      </c>
      <c r="F71" s="882">
        <v>30</v>
      </c>
    </row>
    <row r="72" spans="1:6" s="878" customFormat="1" ht="36">
      <c r="A72" s="882">
        <v>12</v>
      </c>
      <c r="B72" s="3310"/>
      <c r="C72" s="818" t="s">
        <v>637</v>
      </c>
      <c r="D72" s="818" t="s">
        <v>638</v>
      </c>
      <c r="E72" s="895">
        <v>0.5</v>
      </c>
      <c r="F72" s="882">
        <v>80</v>
      </c>
    </row>
    <row r="73" spans="1:6" s="878" customFormat="1" ht="24">
      <c r="A73" s="882">
        <v>13</v>
      </c>
      <c r="B73" s="3310"/>
      <c r="C73" s="818" t="s">
        <v>639</v>
      </c>
      <c r="D73" s="818" t="s">
        <v>640</v>
      </c>
      <c r="E73" s="895">
        <v>0.4</v>
      </c>
      <c r="F73" s="882">
        <v>60</v>
      </c>
    </row>
    <row r="74" spans="1:6" s="878" customFormat="1" ht="24">
      <c r="A74" s="882">
        <v>14</v>
      </c>
      <c r="B74" s="3310"/>
      <c r="C74" s="818" t="s">
        <v>641</v>
      </c>
      <c r="D74" s="818" t="s">
        <v>642</v>
      </c>
      <c r="E74" s="895">
        <v>0.2</v>
      </c>
      <c r="F74" s="882">
        <v>30</v>
      </c>
    </row>
    <row r="75" spans="1:6" s="878" customFormat="1" ht="24">
      <c r="A75" s="882">
        <v>15</v>
      </c>
      <c r="B75" s="3310"/>
      <c r="C75" s="818" t="s">
        <v>643</v>
      </c>
      <c r="D75" s="818" t="s">
        <v>644</v>
      </c>
      <c r="E75" s="895">
        <v>0.2</v>
      </c>
      <c r="F75" s="882">
        <v>30</v>
      </c>
    </row>
    <row r="76" spans="1:6" s="878" customFormat="1" ht="24">
      <c r="A76" s="882">
        <v>16</v>
      </c>
      <c r="B76" s="3310" t="s">
        <v>645</v>
      </c>
      <c r="C76" s="818" t="s">
        <v>646</v>
      </c>
      <c r="D76" s="818" t="s">
        <v>647</v>
      </c>
      <c r="E76" s="895">
        <v>0.5</v>
      </c>
      <c r="F76" s="882">
        <v>80</v>
      </c>
    </row>
    <row r="77" spans="1:6" s="878" customFormat="1" ht="24">
      <c r="A77" s="882">
        <v>17</v>
      </c>
      <c r="B77" s="3310"/>
      <c r="C77" s="818" t="s">
        <v>648</v>
      </c>
      <c r="D77" s="818" t="s">
        <v>649</v>
      </c>
      <c r="E77" s="895">
        <v>0.5</v>
      </c>
      <c r="F77" s="882">
        <v>80</v>
      </c>
    </row>
    <row r="78" spans="1:6" s="878" customFormat="1" ht="24">
      <c r="A78" s="882">
        <v>18</v>
      </c>
      <c r="B78" s="3310"/>
      <c r="C78" s="818" t="s">
        <v>650</v>
      </c>
      <c r="D78" s="818" t="s">
        <v>651</v>
      </c>
      <c r="E78" s="895">
        <v>0.2</v>
      </c>
      <c r="F78" s="882">
        <v>30</v>
      </c>
    </row>
    <row r="79" spans="1:6" s="878" customFormat="1" ht="24">
      <c r="A79" s="882">
        <v>19</v>
      </c>
      <c r="B79" s="3310"/>
      <c r="C79" s="818" t="s">
        <v>652</v>
      </c>
      <c r="D79" s="818" t="s">
        <v>653</v>
      </c>
      <c r="E79" s="895">
        <v>0.5</v>
      </c>
      <c r="F79" s="882">
        <v>80</v>
      </c>
    </row>
    <row r="80" spans="1:6" s="878" customFormat="1" ht="36">
      <c r="A80" s="882">
        <v>20</v>
      </c>
      <c r="B80" s="3310"/>
      <c r="C80" s="818" t="s">
        <v>654</v>
      </c>
      <c r="D80" s="818" t="s">
        <v>655</v>
      </c>
      <c r="E80" s="895">
        <v>0.2</v>
      </c>
      <c r="F80" s="882">
        <v>30</v>
      </c>
    </row>
    <row r="81" spans="1:6" s="878" customFormat="1" ht="36">
      <c r="A81" s="882">
        <v>21</v>
      </c>
      <c r="B81" s="3310"/>
      <c r="C81" s="818" t="s">
        <v>656</v>
      </c>
      <c r="D81" s="818" t="s">
        <v>657</v>
      </c>
      <c r="E81" s="895">
        <v>0.2</v>
      </c>
      <c r="F81" s="882">
        <v>30</v>
      </c>
    </row>
    <row r="82" spans="1:6" s="878" customFormat="1" ht="48">
      <c r="A82" s="882">
        <v>22</v>
      </c>
      <c r="B82" s="3310"/>
      <c r="C82" s="818" t="s">
        <v>658</v>
      </c>
      <c r="D82" s="818" t="s">
        <v>659</v>
      </c>
      <c r="E82" s="895">
        <v>0.2</v>
      </c>
      <c r="F82" s="882">
        <v>30</v>
      </c>
    </row>
    <row r="83" spans="1:6" s="878" customFormat="1" ht="48">
      <c r="A83" s="882">
        <v>23</v>
      </c>
      <c r="B83" s="3310"/>
      <c r="C83" s="818" t="s">
        <v>660</v>
      </c>
      <c r="D83" s="818" t="s">
        <v>661</v>
      </c>
      <c r="E83" s="895">
        <v>0.2</v>
      </c>
      <c r="F83" s="882">
        <v>30</v>
      </c>
    </row>
    <row r="84" spans="1:6" s="878" customFormat="1" ht="36">
      <c r="A84" s="882">
        <v>24</v>
      </c>
      <c r="B84" s="3310"/>
      <c r="C84" s="818" t="s">
        <v>662</v>
      </c>
      <c r="D84" s="818" t="s">
        <v>663</v>
      </c>
      <c r="E84" s="895">
        <v>0.2</v>
      </c>
      <c r="F84" s="882">
        <v>30</v>
      </c>
    </row>
    <row r="85" spans="1:6" s="878" customFormat="1" ht="36">
      <c r="A85" s="882">
        <v>25</v>
      </c>
      <c r="B85" s="3310"/>
      <c r="C85" s="818" t="s">
        <v>664</v>
      </c>
      <c r="D85" s="818" t="s">
        <v>665</v>
      </c>
      <c r="E85" s="895">
        <v>0.5</v>
      </c>
      <c r="F85" s="882">
        <v>80</v>
      </c>
    </row>
    <row r="86" spans="1:6" s="878" customFormat="1" ht="36">
      <c r="A86" s="882">
        <v>26</v>
      </c>
      <c r="B86" s="3310"/>
      <c r="C86" s="818" t="s">
        <v>666</v>
      </c>
      <c r="D86" s="818" t="s">
        <v>667</v>
      </c>
      <c r="E86" s="895">
        <v>0.2</v>
      </c>
      <c r="F86" s="882">
        <v>30</v>
      </c>
    </row>
    <row r="87" spans="1:6" s="878" customFormat="1" ht="36">
      <c r="A87" s="882">
        <v>27</v>
      </c>
      <c r="B87" s="3310"/>
      <c r="C87" s="818" t="s">
        <v>668</v>
      </c>
      <c r="D87" s="818" t="s">
        <v>669</v>
      </c>
      <c r="E87" s="895">
        <v>0.2</v>
      </c>
      <c r="F87" s="882">
        <v>30</v>
      </c>
    </row>
    <row r="88" spans="1:6" s="878" customFormat="1" ht="36">
      <c r="A88" s="882">
        <v>28</v>
      </c>
      <c r="B88" s="3310"/>
      <c r="C88" s="818" t="s">
        <v>670</v>
      </c>
      <c r="D88" s="818" t="s">
        <v>671</v>
      </c>
      <c r="E88" s="895">
        <v>0.2</v>
      </c>
      <c r="F88" s="882">
        <v>30</v>
      </c>
    </row>
    <row r="89" spans="1:6" s="878" customFormat="1" ht="24">
      <c r="A89" s="882">
        <v>29</v>
      </c>
      <c r="B89" s="3310"/>
      <c r="C89" s="818" t="s">
        <v>672</v>
      </c>
      <c r="D89" s="818" t="s">
        <v>673</v>
      </c>
      <c r="E89" s="895">
        <v>0.2</v>
      </c>
      <c r="F89" s="882">
        <v>30</v>
      </c>
    </row>
    <row r="90" spans="1:6" s="878" customFormat="1" ht="24">
      <c r="A90" s="882">
        <v>30</v>
      </c>
      <c r="B90" s="3310"/>
      <c r="C90" s="818" t="s">
        <v>674</v>
      </c>
      <c r="D90" s="818" t="s">
        <v>675</v>
      </c>
      <c r="E90" s="895">
        <v>0.2</v>
      </c>
      <c r="F90" s="882">
        <v>30</v>
      </c>
    </row>
    <row r="91" spans="1:6" s="878" customFormat="1" ht="36">
      <c r="A91" s="882">
        <v>31</v>
      </c>
      <c r="B91" s="3310"/>
      <c r="C91" s="818" t="s">
        <v>676</v>
      </c>
      <c r="D91" s="818" t="s">
        <v>677</v>
      </c>
      <c r="E91" s="895">
        <v>0.2</v>
      </c>
      <c r="F91" s="882">
        <v>30</v>
      </c>
    </row>
    <row r="92" spans="1:6" s="878" customFormat="1" ht="24">
      <c r="A92" s="882">
        <v>32</v>
      </c>
      <c r="B92" s="3310" t="s">
        <v>678</v>
      </c>
      <c r="C92" s="882" t="s">
        <v>679</v>
      </c>
      <c r="D92" s="818" t="s">
        <v>680</v>
      </c>
      <c r="E92" s="895">
        <v>0.2</v>
      </c>
      <c r="F92" s="882">
        <v>30</v>
      </c>
    </row>
    <row r="93" spans="1:6" s="878" customFormat="1" ht="36">
      <c r="A93" s="882">
        <v>33</v>
      </c>
      <c r="B93" s="3310"/>
      <c r="C93" s="882" t="s">
        <v>681</v>
      </c>
      <c r="D93" s="818" t="s">
        <v>682</v>
      </c>
      <c r="E93" s="895">
        <v>0.2</v>
      </c>
      <c r="F93" s="882">
        <v>30</v>
      </c>
    </row>
    <row r="94" spans="1:6" s="878" customFormat="1" ht="48">
      <c r="A94" s="882">
        <v>34</v>
      </c>
      <c r="B94" s="3310"/>
      <c r="C94" s="882" t="s">
        <v>683</v>
      </c>
      <c r="D94" s="818" t="s">
        <v>684</v>
      </c>
      <c r="E94" s="895">
        <v>0.2</v>
      </c>
      <c r="F94" s="882">
        <v>30</v>
      </c>
    </row>
    <row r="95" spans="1:6" s="878" customFormat="1" ht="36">
      <c r="A95" s="882">
        <v>35</v>
      </c>
      <c r="B95" s="3310"/>
      <c r="C95" s="882" t="s">
        <v>685</v>
      </c>
      <c r="D95" s="818" t="s">
        <v>686</v>
      </c>
      <c r="E95" s="895">
        <v>0.2</v>
      </c>
      <c r="F95" s="882">
        <v>30</v>
      </c>
    </row>
    <row r="96" spans="1:6" s="878" customFormat="1" ht="48">
      <c r="A96" s="882">
        <v>36</v>
      </c>
      <c r="B96" s="3310"/>
      <c r="C96" s="818" t="s">
        <v>687</v>
      </c>
      <c r="D96" s="818" t="s">
        <v>688</v>
      </c>
      <c r="E96" s="895">
        <v>0.2</v>
      </c>
      <c r="F96" s="882">
        <v>30</v>
      </c>
    </row>
    <row r="97" spans="1:6" s="878" customFormat="1" ht="36">
      <c r="A97" s="882">
        <v>37</v>
      </c>
      <c r="B97" s="3310"/>
      <c r="C97" s="882" t="s">
        <v>689</v>
      </c>
      <c r="D97" s="818" t="s">
        <v>690</v>
      </c>
      <c r="E97" s="895">
        <v>0.2</v>
      </c>
      <c r="F97" s="882">
        <v>30</v>
      </c>
    </row>
    <row r="98" spans="1:6" s="878" customFormat="1" ht="36">
      <c r="A98" s="882">
        <v>38</v>
      </c>
      <c r="B98" s="3310"/>
      <c r="C98" s="882" t="s">
        <v>691</v>
      </c>
      <c r="D98" s="818" t="s">
        <v>692</v>
      </c>
      <c r="E98" s="895">
        <v>0.2</v>
      </c>
      <c r="F98" s="882">
        <v>30</v>
      </c>
    </row>
    <row r="99" spans="1:6" s="878" customFormat="1" ht="36">
      <c r="A99" s="882">
        <v>39</v>
      </c>
      <c r="B99" s="3310" t="s">
        <v>693</v>
      </c>
      <c r="C99" s="882" t="s">
        <v>694</v>
      </c>
      <c r="D99" s="818" t="s">
        <v>695</v>
      </c>
      <c r="E99" s="895">
        <v>0.3</v>
      </c>
      <c r="F99" s="882">
        <v>50</v>
      </c>
    </row>
    <row r="100" spans="1:6" s="878" customFormat="1" ht="24">
      <c r="A100" s="882">
        <v>40</v>
      </c>
      <c r="B100" s="3310"/>
      <c r="C100" s="882" t="s">
        <v>696</v>
      </c>
      <c r="D100" s="818" t="s">
        <v>697</v>
      </c>
      <c r="E100" s="895">
        <v>0.2</v>
      </c>
      <c r="F100" s="882">
        <v>30</v>
      </c>
    </row>
    <row r="101" spans="1:6" s="878" customFormat="1" ht="36">
      <c r="A101" s="882">
        <v>41</v>
      </c>
      <c r="B101" s="331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0" t="s">
        <v>708</v>
      </c>
      <c r="C105" s="882" t="s">
        <v>709</v>
      </c>
      <c r="D105" s="818" t="s">
        <v>710</v>
      </c>
      <c r="E105" s="895">
        <v>0.2</v>
      </c>
      <c r="F105" s="882">
        <v>30</v>
      </c>
    </row>
    <row r="106" spans="1:6" s="878" customFormat="1" ht="36">
      <c r="A106" s="882">
        <v>46</v>
      </c>
      <c r="B106" s="3310"/>
      <c r="C106" s="882" t="s">
        <v>711</v>
      </c>
      <c r="D106" s="818" t="s">
        <v>712</v>
      </c>
      <c r="E106" s="895">
        <v>0.2</v>
      </c>
      <c r="F106" s="882">
        <v>30</v>
      </c>
    </row>
    <row r="107" spans="1:6" s="878" customFormat="1" ht="36">
      <c r="A107" s="882">
        <v>47</v>
      </c>
      <c r="B107" s="3310" t="s">
        <v>713</v>
      </c>
      <c r="C107" s="882" t="s">
        <v>714</v>
      </c>
      <c r="D107" s="818" t="s">
        <v>715</v>
      </c>
      <c r="E107" s="895">
        <v>0.3</v>
      </c>
      <c r="F107" s="882">
        <v>50</v>
      </c>
    </row>
    <row r="108" spans="1:6" s="878" customFormat="1" ht="36">
      <c r="A108" s="882">
        <v>48</v>
      </c>
      <c r="B108" s="331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0" t="s">
        <v>724</v>
      </c>
      <c r="C111" s="882" t="s">
        <v>725</v>
      </c>
      <c r="D111" s="818" t="s">
        <v>726</v>
      </c>
      <c r="E111" s="895">
        <v>0.2</v>
      </c>
      <c r="F111" s="882">
        <v>30</v>
      </c>
    </row>
    <row r="112" spans="1:6" s="878" customFormat="1" ht="24">
      <c r="A112" s="882">
        <v>52</v>
      </c>
      <c r="B112" s="3310"/>
      <c r="C112" s="882" t="s">
        <v>727</v>
      </c>
      <c r="D112" s="818" t="s">
        <v>728</v>
      </c>
      <c r="E112" s="895">
        <v>0.2</v>
      </c>
      <c r="F112" s="882">
        <v>30</v>
      </c>
    </row>
    <row r="113" spans="1:6" s="878" customFormat="1" ht="24">
      <c r="A113" s="882">
        <v>53</v>
      </c>
      <c r="B113" s="331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0" t="s">
        <v>737</v>
      </c>
      <c r="C116" s="882" t="s">
        <v>738</v>
      </c>
      <c r="D116" s="818" t="s">
        <v>739</v>
      </c>
      <c r="E116" s="895">
        <v>0.2</v>
      </c>
      <c r="F116" s="882">
        <v>30</v>
      </c>
    </row>
    <row r="117" spans="1:6" ht="36">
      <c r="A117" s="882">
        <v>57</v>
      </c>
      <c r="B117" s="331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3003</v>
      </c>
    </row>
    <row r="2" spans="1:5" ht="15.75">
      <c r="A2" s="2913" t="s">
        <v>2995</v>
      </c>
      <c r="B2" s="2914" t="e">
        <f ca="1">SUMIF(B6:B13,"&lt;&gt;#ref!",B6:B13)</f>
        <v>#DIV/0!</v>
      </c>
      <c r="C2" s="2913" t="s">
        <v>2996</v>
      </c>
      <c r="D2" s="2913" t="s">
        <v>2997</v>
      </c>
      <c r="E2" s="2914" t="e">
        <f ca="1">SUM(E6:E13)</f>
        <v>#REF!</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估价结果一览表（市场价值不需“结果表-1”）</v>
      </c>
      <c r="B3" s="3008"/>
      <c r="C3" s="3008"/>
      <c r="D3" s="3008"/>
      <c r="E3" s="3008"/>
    </row>
    <row r="4" spans="1:5" ht="19.5" thickBot="1">
      <c r="A4" s="1964"/>
      <c r="B4" s="3006" t="s">
        <v>1630</v>
      </c>
      <c r="C4" s="3006"/>
      <c r="D4" s="3006"/>
      <c r="E4" s="1964"/>
    </row>
    <row r="5" spans="1:5" ht="16.5" thickTop="1">
      <c r="A5" s="1962"/>
      <c r="B5" s="3004" t="s">
        <v>1622</v>
      </c>
      <c r="C5" s="1965" t="s">
        <v>1623</v>
      </c>
      <c r="D5" s="1043">
        <f ca="1">结果表!H101</f>
        <v>803</v>
      </c>
      <c r="E5" s="1962"/>
    </row>
    <row r="6" spans="1:5" ht="15.75">
      <c r="A6" s="1962"/>
      <c r="B6" s="3004"/>
      <c r="C6" s="1965" t="s">
        <v>1624</v>
      </c>
      <c r="D6" s="1043" t="str">
        <f ca="1">NUMBERSTRING(INT(D5*10000),2)&amp;"元整"</f>
        <v>捌佰零叁万元整</v>
      </c>
      <c r="E6" s="1962"/>
    </row>
    <row r="7" spans="1:5" ht="15.75">
      <c r="A7" s="1962"/>
      <c r="B7" s="3009"/>
      <c r="C7" s="1966" t="s">
        <v>1625</v>
      </c>
      <c r="D7" s="1044">
        <f ca="1">结果表!H102</f>
        <v>22951</v>
      </c>
      <c r="E7" s="1962"/>
    </row>
    <row r="8" spans="1:5" ht="15.75">
      <c r="A8" s="1962"/>
      <c r="B8" s="3010" t="str">
        <f>结果表!E103</f>
        <v>2.估价师知悉的法定优先受偿款</v>
      </c>
      <c r="C8" s="1967" t="s">
        <v>1626</v>
      </c>
      <c r="D8" s="1044">
        <f>结果表!H103</f>
        <v>0</v>
      </c>
      <c r="E8" s="1962"/>
    </row>
    <row r="9" spans="1:5" ht="15.75">
      <c r="A9" s="1962"/>
      <c r="B9" s="301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3" t="str">
        <f>结果表!E107</f>
        <v>3.房地产抵押价值</v>
      </c>
      <c r="C13" s="1970" t="s">
        <v>1623</v>
      </c>
      <c r="D13" s="1046">
        <f ca="1">结果表!H107</f>
        <v>803</v>
      </c>
      <c r="E13" s="1962"/>
    </row>
    <row r="14" spans="1:5" ht="15.75">
      <c r="A14" s="1962"/>
      <c r="B14" s="3004"/>
      <c r="C14" s="1965" t="s">
        <v>1624</v>
      </c>
      <c r="D14" s="1043" t="str">
        <f ca="1">NUMBERSTRING(INT(D13*10000),2)&amp;"元整"</f>
        <v>捌佰零叁万元整</v>
      </c>
      <c r="E14" s="1962"/>
    </row>
    <row r="15" spans="1:5" ht="15">
      <c r="A15" s="1962"/>
      <c r="B15" s="3009"/>
      <c r="C15" s="1966" t="s">
        <v>1634</v>
      </c>
      <c r="D15" s="1055">
        <f ca="1">结果表!H108</f>
        <v>2942</v>
      </c>
      <c r="E15" s="1962"/>
    </row>
    <row r="16" spans="1:5" ht="15">
      <c r="A16" s="1962"/>
      <c r="B16" s="3010" t="str">
        <f>结果表!E109</f>
        <v>——</v>
      </c>
      <c r="C16" s="1970" t="s">
        <v>1635</v>
      </c>
      <c r="D16" s="1971" t="str">
        <f>结果表!H109</f>
        <v>——</v>
      </c>
      <c r="E16" s="1962"/>
    </row>
    <row r="17" spans="1:5" ht="15.75">
      <c r="A17" s="1962"/>
      <c r="B17" s="3011"/>
      <c r="C17" s="1965" t="s">
        <v>1636</v>
      </c>
      <c r="D17" s="1043" t="e">
        <f>NUMBERSTRING(INT(D16*10000),2)&amp;"元整"</f>
        <v>#VALUE!</v>
      </c>
      <c r="E17" s="1962"/>
    </row>
    <row r="18" spans="1:5" ht="15">
      <c r="A18" s="1962"/>
      <c r="B18" s="3012"/>
      <c r="C18" s="1966" t="s">
        <v>1625</v>
      </c>
      <c r="D18" s="1055" t="str">
        <f>结果表!H110</f>
        <v>——</v>
      </c>
      <c r="E18" s="1962"/>
    </row>
    <row r="19" spans="1:5" ht="15.75">
      <c r="A19" s="1962"/>
      <c r="B19" s="3003" t="str">
        <f>结果表!E111</f>
        <v>——</v>
      </c>
      <c r="C19" s="1970" t="s">
        <v>1623</v>
      </c>
      <c r="D19" s="1044" t="str">
        <f>结果表!H111</f>
        <v>——</v>
      </c>
      <c r="E19" s="1962"/>
    </row>
    <row r="20" spans="1:5" ht="15.75">
      <c r="A20" s="1962"/>
      <c r="B20" s="3004"/>
      <c r="C20" s="1965" t="s">
        <v>1636</v>
      </c>
      <c r="D20" s="1043" t="e">
        <f>NUMBERSTRING(INT(D19*10000),2)&amp;"元整"</f>
        <v>#VALUE!</v>
      </c>
      <c r="E20" s="1962"/>
    </row>
    <row r="21" spans="1:5" ht="15.75" thickBot="1">
      <c r="A21" s="1962"/>
      <c r="B21" s="300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6" t="s">
        <v>1150</v>
      </c>
      <c r="C1" s="3316"/>
      <c r="D1" s="3316"/>
      <c r="E1" s="3316"/>
      <c r="F1" s="3316"/>
      <c r="G1" s="3315" t="s">
        <v>1151</v>
      </c>
      <c r="H1" s="3315"/>
      <c r="I1" s="3315"/>
      <c r="J1" s="3315"/>
      <c r="K1" s="3315"/>
      <c r="L1" s="3315"/>
      <c r="N1" s="3315" t="s">
        <v>1152</v>
      </c>
      <c r="O1" s="3315"/>
      <c r="P1" s="3315"/>
      <c r="Q1" s="3315"/>
      <c r="R1" s="1449"/>
      <c r="S1" s="3315" t="s">
        <v>1153</v>
      </c>
      <c r="T1" s="3315"/>
      <c r="U1" s="3315"/>
      <c r="V1" s="3315"/>
      <c r="X1" s="3314" t="s">
        <v>1154</v>
      </c>
      <c r="Y1" s="3315"/>
      <c r="Z1" s="3315"/>
      <c r="AA1" s="3315"/>
      <c r="AB1" s="3315"/>
      <c r="AD1" s="3314" t="s">
        <v>1155</v>
      </c>
      <c r="AE1" s="3315"/>
      <c r="AF1" s="3315"/>
      <c r="AG1" s="3315"/>
      <c r="AH1" s="331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3036</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1.4274</v>
      </c>
      <c r="Y3" s="2939">
        <f>ROUND(SUMPRODUCT(PRODUCT(1+O3:O$21)),4)</f>
        <v>1.2685</v>
      </c>
      <c r="Z3" s="2939">
        <f t="shared" ref="Z3:Z19" si="0">Y3</f>
        <v>1.2685</v>
      </c>
      <c r="AA3" s="2939">
        <f>ROUND(SUMPRODUCT(PRODUCT(1+P3:P$21)),4)</f>
        <v>1.4825999999999999</v>
      </c>
      <c r="AB3" s="2939">
        <f>ROUND(SUMPRODUCT(PRODUCT(1+Q3:Q$21)),4)</f>
        <v>1.2309000000000001</v>
      </c>
      <c r="AD3" s="2940">
        <f>ROUND(AVERAGE(I3:I$22)/100,4)</f>
        <v>2.1899999999999999E-2</v>
      </c>
      <c r="AE3" s="2940">
        <f>ROUND(AVERAGE(J3:J$22)/100,4)</f>
        <v>1.47E-2</v>
      </c>
      <c r="AF3" s="2940">
        <f t="shared" ref="AF3:AF20" si="1">AE3</f>
        <v>1.47E-2</v>
      </c>
      <c r="AG3" s="2940">
        <f>ROUND(AVERAGE(K3:K$22)/100,4)</f>
        <v>2.4299999999999999E-2</v>
      </c>
      <c r="AH3" s="2940">
        <f>ROUND(AVERAGE(L3:L$22)/100,4)</f>
        <v>1.2500000000000001E-2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3037</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3035</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3">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3032</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9">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3033</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5"/>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4"/>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17">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312"/>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312"/>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313"/>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311">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312"/>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312"/>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313"/>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311">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312"/>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312"/>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313"/>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318">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319"/>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319"/>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320"/>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311">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312"/>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312"/>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313"/>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311">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312">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312">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313">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311">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312">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312">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313">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311">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312">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312">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313">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311">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312">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312">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313">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311">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312">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312">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313">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311">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312">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312">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313">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311">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312">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312">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313">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311">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312">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312">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313">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311">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312">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312">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313">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311">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312">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312">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313">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topLeftCell="K1" zoomScale="90" zoomScaleNormal="90" workbookViewId="0">
      <pane ySplit="24" topLeftCell="A25" activePane="bottomLeft" state="frozen"/>
      <selection activeCell="C50" sqref="C50"/>
      <selection pane="bottomLeft" activeCell="B28" sqref="B28"/>
    </sheetView>
  </sheetViews>
  <sheetFormatPr defaultRowHeight="12.75"/>
  <cols>
    <col min="1" max="1" width="11.5" style="139"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22" t="s">
        <v>3006</v>
      </c>
      <c r="D1" s="3323"/>
      <c r="E1" s="3323"/>
      <c r="F1" s="3323"/>
      <c r="G1" s="3323"/>
      <c r="H1" s="3323"/>
      <c r="I1" s="3323"/>
      <c r="J1" s="3323"/>
      <c r="K1" s="3323"/>
      <c r="L1" s="3323"/>
      <c r="M1" s="3323"/>
      <c r="N1" s="3323"/>
      <c r="O1" s="3323"/>
      <c r="P1" s="3323"/>
      <c r="Q1" s="3323"/>
      <c r="R1" s="3323"/>
      <c r="S1" s="3324"/>
      <c r="T1" s="1207" t="s">
        <v>3007</v>
      </c>
    </row>
    <row r="2" spans="1:45" s="707" customFormat="1" ht="38.25">
      <c r="A2" s="1208"/>
      <c r="B2" s="703" t="s">
        <v>3008</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1500(含)-1800</v>
      </c>
      <c r="I2" s="705" t="str">
        <f t="shared" si="0"/>
        <v>1800(含)-2100</v>
      </c>
      <c r="J2" s="705" t="str">
        <f t="shared" si="0"/>
        <v>2100(含)-2400</v>
      </c>
      <c r="K2" s="705" t="str">
        <f t="shared" si="0"/>
        <v>2400(含)-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300</v>
      </c>
      <c r="E3" s="710">
        <v>600</v>
      </c>
      <c r="F3" s="1707">
        <v>900</v>
      </c>
      <c r="G3" s="1707">
        <v>1200</v>
      </c>
      <c r="H3" s="1707">
        <v>1500</v>
      </c>
      <c r="I3" s="1707">
        <v>1800</v>
      </c>
      <c r="J3" s="1707">
        <v>2100</v>
      </c>
      <c r="K3" s="1707">
        <v>2400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v>90</v>
      </c>
      <c r="I4" s="1711">
        <v>88</v>
      </c>
      <c r="J4" s="1711">
        <v>86</v>
      </c>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3330" t="s">
        <v>3178</v>
      </c>
      <c r="D5" s="3331" t="s">
        <v>3180</v>
      </c>
      <c r="E5" s="3331" t="s">
        <v>3181</v>
      </c>
      <c r="F5" s="3332" t="s">
        <v>3182</v>
      </c>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3015</v>
      </c>
      <c r="B17" s="2920" t="s">
        <v>3016</v>
      </c>
      <c r="C17" s="1234">
        <v>1</v>
      </c>
      <c r="D17" s="1235">
        <v>2</v>
      </c>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40</v>
      </c>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3017</v>
      </c>
      <c r="E19" s="1795"/>
      <c r="F19" s="1795"/>
      <c r="G19" s="1795"/>
      <c r="H19" s="1283"/>
      <c r="I19" s="168"/>
      <c r="J19" s="168"/>
      <c r="K19" s="168"/>
      <c r="L19" s="168"/>
      <c r="M19" s="168"/>
      <c r="N19" s="168"/>
      <c r="O19" s="168"/>
      <c r="P19" s="168"/>
      <c r="Q19" s="168"/>
      <c r="R19" s="788"/>
      <c r="S19" s="138"/>
    </row>
    <row r="20" spans="1:45" ht="16.5" thickBot="1">
      <c r="A20" s="715" t="s">
        <v>3018</v>
      </c>
      <c r="B20" s="338">
        <f ca="1">IF(D20="——",S22,S22-F20)</f>
        <v>2649</v>
      </c>
      <c r="C20" s="168"/>
      <c r="D20" s="2922" t="s">
        <v>70</v>
      </c>
      <c r="E20" s="1796"/>
      <c r="F20" s="1207" t="e">
        <f ca="1">SUMIF(INDIRECT("'"&amp;H20&amp;"'"&amp;"!A:A"),"承租人权益价值",INDIRECT("'"&amp;H20&amp;"'"&amp;"!c:c"))</f>
        <v>#REF!</v>
      </c>
      <c r="G20" s="1207" t="s">
        <v>3019</v>
      </c>
      <c r="H20" s="2923"/>
      <c r="I20" s="168"/>
      <c r="J20" s="168"/>
      <c r="K20" s="168"/>
      <c r="L20" s="168"/>
      <c r="M20" s="168"/>
      <c r="N20" s="168"/>
      <c r="O20" s="168"/>
      <c r="P20" s="168"/>
      <c r="Q20" s="168"/>
      <c r="R20" s="788"/>
      <c r="S20" s="138"/>
    </row>
    <row r="21" spans="1:45" ht="15.75">
      <c r="A21" s="715" t="s">
        <v>3020</v>
      </c>
      <c r="B21" s="338">
        <f ca="1">R22</f>
        <v>9704</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2729.87</v>
      </c>
      <c r="C22" s="3183" t="s">
        <v>33</v>
      </c>
      <c r="D22" s="3184"/>
      <c r="E22" s="3184"/>
      <c r="F22" s="3184"/>
      <c r="G22" s="3184"/>
      <c r="H22" s="3184"/>
      <c r="I22" s="3184"/>
      <c r="J22" s="3184"/>
      <c r="K22" s="3184"/>
      <c r="L22" s="3184"/>
      <c r="M22" s="3184"/>
      <c r="N22" s="3184"/>
      <c r="O22" s="3184"/>
      <c r="P22" s="3184"/>
      <c r="Q22" s="3321"/>
      <c r="R22" s="716">
        <f ca="1">ROUND(S22*10000/B22,0)</f>
        <v>9704</v>
      </c>
      <c r="S22" s="24">
        <f ca="1">SUM(S24:S10000)</f>
        <v>2649</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1层</v>
      </c>
      <c r="B24" s="718">
        <f>'数据-基础表'!I13</f>
        <v>349.87</v>
      </c>
      <c r="C24" s="719">
        <v>1</v>
      </c>
      <c r="D24" s="720" t="s">
        <v>3179</v>
      </c>
      <c r="E24" s="719">
        <v>1</v>
      </c>
      <c r="F24" s="720"/>
      <c r="G24" s="719">
        <v>1</v>
      </c>
      <c r="H24" s="720"/>
      <c r="I24" s="719">
        <v>1</v>
      </c>
      <c r="J24" s="720"/>
      <c r="K24" s="719">
        <v>1</v>
      </c>
      <c r="L24" s="720"/>
      <c r="M24" s="719">
        <v>1</v>
      </c>
      <c r="N24" s="720"/>
      <c r="O24" s="719">
        <v>1</v>
      </c>
      <c r="P24" s="720">
        <v>1</v>
      </c>
      <c r="Q24" s="719">
        <v>1</v>
      </c>
      <c r="R24" s="721">
        <f ca="1">结果表!C105</f>
        <v>22951</v>
      </c>
      <c r="S24" s="719">
        <f t="shared" ref="S24:S54" ca="1" si="11">ROUND(R24*B24/10000,0)</f>
        <v>803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2层</v>
      </c>
      <c r="B25" s="718">
        <f>'数据-基础表'!I14</f>
        <v>2380</v>
      </c>
      <c r="C25" s="24">
        <f>IF(B25="",1,(LOOKUP(B25,$3:$3,$4:$4)-LOOKUP($B$24,$3:$3,$4:$4)+100)/100)</f>
        <v>0.88</v>
      </c>
      <c r="D25" s="720" t="s">
        <v>3176</v>
      </c>
      <c r="E25" s="24">
        <f>(SUMIF($5:$5,D25,$6:$6)-SUMIF($5:$5,$D$24,$6:$6)+100)/100</f>
        <v>0.96</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0.4</v>
      </c>
      <c r="R25" s="716">
        <f ca="1">IF(B25="",0,ROUND($R$24*C25*E25*G25*I25*K25*M25*O25*Q25,0))</f>
        <v>7756</v>
      </c>
      <c r="S25" s="361">
        <f t="shared" ca="1" si="11"/>
        <v>1846</v>
      </c>
    </row>
    <row r="26" spans="1:45">
      <c r="A26" s="159"/>
      <c r="B26" s="59"/>
      <c r="C26" s="24">
        <f t="shared" ref="C26:C89" si="12">IF(B26="",1,(LOOKUP(B26,$3:$3,$4:$4)-LOOKUP($B$24,$3:$3,$4:$4)+100)/100)</f>
        <v>1</v>
      </c>
      <c r="D26" s="720"/>
      <c r="E26" s="24">
        <f t="shared" ref="E26:E89" si="13">(SUMIF($5:$5,D26,$6:$6)-SUMIF($5:$5,$D$24,$6:$6)+100)/100</f>
        <v>0.02</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0.02</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0.02</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0.02</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0.02</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0.02</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0.02</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0.02</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0.02</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0.02</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0.02</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0.02</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0.02</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0.02</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0.02</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0.02</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0.02</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0.02</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0.02</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0.02</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0.02</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0.02</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0.02</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0.02</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0.02</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0.02</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0.02</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0.02</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0.02</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0.02</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0.02</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0.02</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0.02</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0.02</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0.02</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0.02</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0.02</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0.02</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0.02</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0.02</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0.02</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0.02</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0.02</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0.02</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0.02</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0.02</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0.02</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0.02</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0.02</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0.02</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0.02</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0.02</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0.02</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0.02</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0.02</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0.02</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0.02</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0.02</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0.02</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0.02</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0.02</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0.02</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0.02</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0.02</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0.02</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0.02</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0.02</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0.02</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0.02</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0.02</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0.02</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0.02</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0.02</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0.02</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0.02</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0.02</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0.02</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0.02</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0.02</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0.02</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0.02</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0.02</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0.02</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0.02</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0.02</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0.02</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0.02</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0.02</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0.02</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0.02</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0.02</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0.02</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0.02</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0.02</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0.02</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0.02</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0.02</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0.02</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0.02</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0.02</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0.02</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0.02</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0.02</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0.02</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0.02</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0.02</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0.02</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0.02</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0.02</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0.02</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0.02</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0.02</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0.02</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0.02</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0.02</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0.02</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0.02</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0.02</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0.02</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0.02</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0.02</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0.02</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0.02</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0.02</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0.02</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0.02</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0.02</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0.02</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0.02</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0.02</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0.02</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0.02</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0.02</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0.02</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0.02</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0.02</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0.02</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0.02</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0.02</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0.02</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0.02</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0.02</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0.02</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0.02</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0.02</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0.02</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0.02</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0.02</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0.02</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0.02</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0.02</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0.02</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0.02</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0.02</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0.02</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0.02</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0.02</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0.02</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0.02</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0.02</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0.02</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0.02</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0.02</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0.02</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0.02</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0.02</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0.02</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0.02</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0.02</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0.02</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0.02</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0.02</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0.02</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0.02</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0.02</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0.02</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0.02</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0.02</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0.02</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0.02</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0.02</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0.02</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0.02</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0.02</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0.02</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0.02</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0.02</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0.02</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0.02</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0.02</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0.02</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0.02</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0.02</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0.02</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0.02</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0.02</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0.02</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0.02</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0.02</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0.02</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0.02</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0.02</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0.02</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0.02</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0.02</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0.02</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0.02</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0.02</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0.02</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0.02</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0.02</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0.02</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0.02</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0.02</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0.02</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0.02</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0.02</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0.02</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0.02</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0.02</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0.02</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0.02</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0.02</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0.02</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0.02</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0.02</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0.02</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0.02</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0.02</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0.02</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0.02</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0.02</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0.02</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0.02</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0.02</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0.02</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0.02</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0.02</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0.02</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0.02</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0.02</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0.02</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0.02</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0.02</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0.02</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0.02</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0.02</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0.02</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0.02</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0.02</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0.02</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0.02</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0.02</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0.02</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0.02</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0.02</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0.02</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0.02</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0.02</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0.02</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0.02</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0.02</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0.02</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0.02</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0.02</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0.02</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0.02</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0.02</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0.02</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0.02</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0.02</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0.02</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0.02</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0.02</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0.02</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0.02</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0.02</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0.02</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0.02</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0.02</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0.02</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0.02</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0.02</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0.02</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0.02</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0.02</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0.02</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0.02</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0.02</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0.02</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0.02</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0.02</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0.02</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0.02</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0.02</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0.02</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0.02</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0.02</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0.02</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0.02</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0.02</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0.02</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0.02</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0.02</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0.02</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0.02</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0.02</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0.02</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0.02</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0.02</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0.02</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0.02</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0.02</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0.02</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0.02</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0.02</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0.02</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0.02</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0.02</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0.02</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0.02</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0.02</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0.02</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0.02</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0.02</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0.02</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0.02</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0.02</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0.02</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0.02</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0.02</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0.02</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0.02</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0.02</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0.02</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0.02</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0.02</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0.02</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0.02</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0.02</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0.02</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0.02</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0.02</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0.02</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0.02</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0.02</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0.02</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0.02</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0.02</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0.02</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0.02</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0.02</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0.02</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0.02</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0.02</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0.02</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0.02</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0.02</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0.02</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0.02</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0.02</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0.02</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0.02</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0.02</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0.02</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0.02</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0.02</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0.02</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0.02</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0.02</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0.02</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0.02</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0.02</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0.02</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0.02</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0.02</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0.02</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0.02</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0.02</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0.02</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0.02</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0.02</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0.02</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0.02</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0.02</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0.02</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0.02</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0.02</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0.02</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0.02</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0.02</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0.02</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0.02</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0.02</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0.02</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0.02</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0.02</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0.02</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0.02</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0.02</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0.02</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0.02</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0.02</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0.02</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0.02</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0.02</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0.02</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0.02</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0.02</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0.02</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0.02</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0.02</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0.02</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0.02</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0.02</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0.02</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0.02</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0.02</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0.02</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0.02</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0.02</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0.02</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0.02</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0.02</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0.02</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0.02</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0.02</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0.02</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0.02</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0.02</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0.02</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0.02</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0.02</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0.02</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0.02</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0.02</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0.02</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0.02</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0.02</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0.02</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0.02</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0.02</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0.02</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0.02</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0.02</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0.02</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0.02</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0.02</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0.02</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0.02</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0.02</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0.02</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0.02</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0.02</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0.02</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0.02</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0.02</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0.02</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0.02</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0.02</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0.02</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0.02</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0.02</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0.02</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0.02</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0.02</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0.02</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0.02</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0.02</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0.02</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0.02</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0.02</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0.02</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0.02</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0.02</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0.02</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0.02</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0.02</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0.02</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0.02</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0.02</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0.02</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0.02</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0.02</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0.02</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0.02</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0.02</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0.02</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0.02</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0.02</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0.02</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0.02</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0.02</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0.02</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0.02</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0.02</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0.02</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0.02</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0.02</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30217</v>
      </c>
      <c r="C2" s="2" t="s">
        <v>133</v>
      </c>
      <c r="D2" s="243"/>
      <c r="E2" s="243"/>
      <c r="F2" s="243"/>
      <c r="G2" s="243"/>
    </row>
    <row r="3" spans="1:7" s="244" customFormat="1" ht="18" customHeight="1" thickBot="1">
      <c r="A3" s="247" t="s">
        <v>85</v>
      </c>
      <c r="B3" s="248">
        <f ca="1">ROUND(B2*10000/'数据-汇总表'!E3,0)</f>
        <v>110690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98</v>
      </c>
      <c r="D10" s="1035">
        <f>'数据-汇总表'!E6</f>
        <v>2729.87</v>
      </c>
      <c r="E10" s="269">
        <f>'数据-取费表'!B28</f>
        <v>360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98</v>
      </c>
      <c r="D19" s="1039">
        <f>'数据-汇总表'!E3</f>
        <v>2729.87</v>
      </c>
      <c r="E19" s="255">
        <f>'数据-取费表'!B31</f>
        <v>360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1508</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7</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4224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4224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29127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797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710</v>
      </c>
      <c r="D34" s="261"/>
      <c r="E34" s="264"/>
      <c r="F34" s="301">
        <f>IF('数据-取费表'!B24=0,1,'数据-取费表'!N16)</f>
        <v>1</v>
      </c>
      <c r="G34" s="263" t="s">
        <v>116</v>
      </c>
    </row>
    <row r="35" spans="1:7" ht="13.5" customHeight="1">
      <c r="A35" s="954" t="s">
        <v>796</v>
      </c>
      <c r="B35" s="259" t="s">
        <v>60</v>
      </c>
      <c r="C35" s="264">
        <f>ROUND(C34*F35,0)</f>
        <v>21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55</v>
      </c>
      <c r="D37" s="261">
        <f>'数据-汇总表'!E3</f>
        <v>2729.87</v>
      </c>
      <c r="E37" s="293">
        <f>'数据-取费表'!B35</f>
        <v>200</v>
      </c>
      <c r="F37" s="303"/>
      <c r="G37" s="305" t="s">
        <v>119</v>
      </c>
    </row>
    <row r="38" spans="1:7" ht="13.5" customHeight="1">
      <c r="A38" s="954" t="s">
        <v>799</v>
      </c>
      <c r="B38" s="259" t="s">
        <v>63</v>
      </c>
      <c r="C38" s="264">
        <f>ROUND(C34*F38,0)</f>
        <v>11</v>
      </c>
      <c r="D38" s="264"/>
      <c r="E38" s="264"/>
      <c r="F38" s="303">
        <f>'数据-取费表'!B36</f>
        <v>1.4999999999999999E-2</v>
      </c>
      <c r="G38" s="263" t="s">
        <v>117</v>
      </c>
    </row>
    <row r="39" spans="1:7" s="258" customFormat="1" ht="13.5" customHeight="1">
      <c r="A39" s="951" t="s">
        <v>783</v>
      </c>
      <c r="B39" s="254" t="s">
        <v>104</v>
      </c>
      <c r="C39" s="276">
        <f>ROUND(C33*F20,0)</f>
        <v>16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29</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28</v>
      </c>
      <c r="D42" s="282"/>
      <c r="E42" s="282"/>
      <c r="F42" s="283"/>
      <c r="G42" s="3188" t="s">
        <v>121</v>
      </c>
    </row>
    <row r="43" spans="1:7" ht="13.5" customHeight="1">
      <c r="A43" s="954" t="s">
        <v>792</v>
      </c>
      <c r="B43" s="259" t="s">
        <v>1064</v>
      </c>
      <c r="C43" s="282">
        <f ca="1">ROUND(IF('数据-取费表'!B22&lt;=1,C39*F22*'数据-取费表'!B21/2,C39*(POWER((1+F22),'数据-取费表'!B21/2)-1)),0)</f>
        <v>1</v>
      </c>
      <c r="D43" s="282"/>
      <c r="E43" s="282"/>
      <c r="F43" s="283"/>
      <c r="G43" s="3189"/>
    </row>
    <row r="44" spans="1:7" ht="13.5" customHeight="1">
      <c r="A44" s="954" t="s">
        <v>793</v>
      </c>
      <c r="B44" s="259" t="s">
        <v>1066</v>
      </c>
      <c r="C44" s="282">
        <f ca="1">ROUND(IF('数据-取费表'!B22&lt;=1,C40*F22*'数据-取费表'!B21/2,C40*(POWER((1+F22),'数据-取费表'!B21/2)-1)),4)</f>
        <v>6.9999999999999999E-4</v>
      </c>
      <c r="D44" s="282"/>
      <c r="E44" s="282"/>
      <c r="F44" s="283"/>
      <c r="G44" s="3190"/>
    </row>
    <row r="45" spans="1:7" s="258" customFormat="1" ht="13.5" customHeight="1">
      <c r="A45" s="951" t="s">
        <v>786</v>
      </c>
      <c r="B45" s="288" t="s">
        <v>112</v>
      </c>
      <c r="C45" s="289">
        <f>C46</f>
        <v>163</v>
      </c>
      <c r="D45" s="279">
        <f>C47</f>
        <v>4.0000000000000001E-3</v>
      </c>
      <c r="E45" s="280" t="s">
        <v>129</v>
      </c>
      <c r="F45" s="290"/>
      <c r="G45" s="291" t="s">
        <v>1072</v>
      </c>
    </row>
    <row r="46" spans="1:7" s="258" customFormat="1" ht="13.5" customHeight="1">
      <c r="A46" s="954" t="s">
        <v>794</v>
      </c>
      <c r="B46" s="292" t="s">
        <v>1065</v>
      </c>
      <c r="C46" s="293">
        <f>ROUND((C33+C39)*F27,0)</f>
        <v>163</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1090</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1090</v>
      </c>
      <c r="D51" s="276"/>
      <c r="E51" s="276"/>
      <c r="F51" s="308"/>
      <c r="G51" s="278" t="s">
        <v>64</v>
      </c>
    </row>
    <row r="52" spans="1:7" s="252" customFormat="1" ht="16.5" thickBot="1">
      <c r="A52" s="309" t="s">
        <v>65</v>
      </c>
      <c r="B52" s="310"/>
      <c r="C52" s="311">
        <f ca="1">C31+C51</f>
        <v>30217</v>
      </c>
      <c r="D52" s="310"/>
      <c r="E52" s="310"/>
      <c r="F52" s="310"/>
      <c r="G52" s="312"/>
    </row>
    <row r="55" spans="1:7" ht="15">
      <c r="B55" s="314" t="s">
        <v>66</v>
      </c>
      <c r="C55" s="315"/>
    </row>
    <row r="56" spans="1:7">
      <c r="B56" s="317" t="s">
        <v>67</v>
      </c>
      <c r="C56" s="318">
        <f ca="1">ROUND(C51/C52,3)</f>
        <v>3.5999999999999997E-2</v>
      </c>
    </row>
    <row r="57" spans="1:7">
      <c r="B57" s="317" t="s">
        <v>68</v>
      </c>
      <c r="C57" s="319">
        <f ca="1">1-C56</f>
        <v>0.96399999999999997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5" t="s">
        <v>156</v>
      </c>
      <c r="B1" s="3325"/>
      <c r="C1" s="3325"/>
      <c r="D1" s="3325"/>
      <c r="E1" s="3325"/>
      <c r="F1" s="332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6" t="s">
        <v>169</v>
      </c>
      <c r="B2" s="3326"/>
      <c r="C2" s="3326"/>
      <c r="D2" s="3326"/>
      <c r="E2" s="3326"/>
      <c r="F2" s="332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5" t="s">
        <v>871</v>
      </c>
      <c r="B1" s="332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43214</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I63"/>
  <sheetViews>
    <sheetView workbookViewId="0">
      <selection activeCell="G18" sqref="G18"/>
    </sheetView>
  </sheetViews>
  <sheetFormatPr defaultRowHeight="13.5"/>
  <cols>
    <col min="7" max="7" width="12.375" customWidth="1"/>
    <col min="8" max="8" width="20.25" customWidth="1"/>
    <col min="9" max="9" width="50" customWidth="1"/>
  </cols>
  <sheetData>
    <row r="1" spans="1:9">
      <c r="A1">
        <v>1</v>
      </c>
      <c r="B1" s="2972" t="s">
        <v>3086</v>
      </c>
      <c r="C1">
        <v>13</v>
      </c>
      <c r="D1">
        <v>57.15</v>
      </c>
    </row>
    <row r="2" spans="1:9">
      <c r="A2">
        <v>2</v>
      </c>
      <c r="C2">
        <v>14</v>
      </c>
      <c r="D2">
        <v>57.15</v>
      </c>
      <c r="G2" s="2972" t="s">
        <v>3145</v>
      </c>
    </row>
    <row r="3" spans="1:9">
      <c r="A3">
        <v>3</v>
      </c>
      <c r="C3">
        <v>35</v>
      </c>
      <c r="D3">
        <v>121.11</v>
      </c>
      <c r="G3" s="2972" t="s">
        <v>3146</v>
      </c>
      <c r="H3" s="2972" t="s">
        <v>3147</v>
      </c>
      <c r="I3" s="2972" t="s">
        <v>3148</v>
      </c>
    </row>
    <row r="4" spans="1:9">
      <c r="A4">
        <v>4</v>
      </c>
      <c r="C4">
        <v>35</v>
      </c>
      <c r="D4">
        <v>114.46</v>
      </c>
      <c r="G4" s="2972" t="s">
        <v>3149</v>
      </c>
      <c r="H4" s="2972" t="s">
        <v>3150</v>
      </c>
      <c r="I4" s="2972" t="s">
        <v>3151</v>
      </c>
    </row>
    <row r="5" spans="1:9">
      <c r="A5">
        <v>5</v>
      </c>
      <c r="B5" s="2972" t="s">
        <v>3087</v>
      </c>
      <c r="C5">
        <v>1</v>
      </c>
      <c r="D5">
        <v>184.32</v>
      </c>
      <c r="G5" s="2972" t="s">
        <v>3152</v>
      </c>
      <c r="H5" s="2972" t="s">
        <v>3153</v>
      </c>
      <c r="I5" s="2972" t="s">
        <v>3154</v>
      </c>
    </row>
    <row r="6" spans="1:9">
      <c r="A6">
        <v>6</v>
      </c>
      <c r="C6">
        <v>2</v>
      </c>
      <c r="D6">
        <v>61.11</v>
      </c>
    </row>
    <row r="7" spans="1:9">
      <c r="A7">
        <v>7</v>
      </c>
      <c r="C7">
        <v>3</v>
      </c>
      <c r="D7">
        <v>61.11</v>
      </c>
    </row>
    <row r="8" spans="1:9">
      <c r="A8">
        <v>8</v>
      </c>
      <c r="C8">
        <v>4</v>
      </c>
      <c r="D8">
        <v>61.11</v>
      </c>
    </row>
    <row r="9" spans="1:9">
      <c r="A9">
        <v>9</v>
      </c>
      <c r="C9">
        <v>5</v>
      </c>
      <c r="D9">
        <v>61.11</v>
      </c>
    </row>
    <row r="10" spans="1:9">
      <c r="A10">
        <v>10</v>
      </c>
      <c r="C10">
        <v>6</v>
      </c>
      <c r="D10">
        <v>61.11</v>
      </c>
    </row>
    <row r="11" spans="1:9">
      <c r="A11">
        <v>11</v>
      </c>
      <c r="C11" s="2997">
        <v>7</v>
      </c>
      <c r="D11" s="2997">
        <v>201.28</v>
      </c>
    </row>
    <row r="12" spans="1:9">
      <c r="A12">
        <v>12</v>
      </c>
      <c r="C12" s="2997">
        <v>8</v>
      </c>
      <c r="D12" s="2997">
        <v>63.91</v>
      </c>
    </row>
    <row r="13" spans="1:9">
      <c r="A13">
        <v>13</v>
      </c>
      <c r="C13" s="2997">
        <v>9</v>
      </c>
      <c r="D13" s="2997">
        <v>63.91</v>
      </c>
    </row>
    <row r="14" spans="1:9">
      <c r="A14">
        <v>14</v>
      </c>
      <c r="C14" s="2997">
        <v>10</v>
      </c>
      <c r="D14" s="2997">
        <v>63.91</v>
      </c>
    </row>
    <row r="15" spans="1:9">
      <c r="A15">
        <v>15</v>
      </c>
      <c r="C15" s="2997">
        <v>11</v>
      </c>
      <c r="D15" s="2997">
        <v>63.91</v>
      </c>
    </row>
    <row r="16" spans="1:9">
      <c r="A16">
        <v>16</v>
      </c>
      <c r="C16" s="2997">
        <v>12</v>
      </c>
      <c r="D16" s="2997">
        <v>63.91</v>
      </c>
    </row>
    <row r="17" spans="1:4">
      <c r="A17">
        <v>17</v>
      </c>
      <c r="C17" s="2997">
        <v>13</v>
      </c>
      <c r="D17" s="2997">
        <v>63.91</v>
      </c>
    </row>
    <row r="18" spans="1:4">
      <c r="A18">
        <v>18</v>
      </c>
      <c r="C18" s="2997">
        <v>14</v>
      </c>
      <c r="D18" s="2997">
        <v>47.94</v>
      </c>
    </row>
    <row r="19" spans="1:4">
      <c r="A19">
        <v>19</v>
      </c>
      <c r="C19" s="2997">
        <v>15</v>
      </c>
      <c r="D19" s="2997">
        <v>52.73</v>
      </c>
    </row>
    <row r="20" spans="1:4">
      <c r="A20">
        <v>20</v>
      </c>
      <c r="C20" s="2997">
        <v>16</v>
      </c>
      <c r="D20" s="2997">
        <v>63.91</v>
      </c>
    </row>
    <row r="21" spans="1:4">
      <c r="A21">
        <v>21</v>
      </c>
      <c r="C21" s="2997">
        <v>17</v>
      </c>
      <c r="D21" s="2997">
        <v>63.91</v>
      </c>
    </row>
    <row r="22" spans="1:4">
      <c r="A22">
        <v>11</v>
      </c>
      <c r="C22" s="2998">
        <v>18</v>
      </c>
      <c r="D22" s="2998">
        <v>43.94</v>
      </c>
    </row>
    <row r="23" spans="1:4">
      <c r="A23">
        <v>12</v>
      </c>
      <c r="C23">
        <v>19</v>
      </c>
      <c r="D23">
        <v>43.94</v>
      </c>
    </row>
    <row r="24" spans="1:4">
      <c r="A24">
        <v>13</v>
      </c>
      <c r="C24">
        <v>20</v>
      </c>
      <c r="D24">
        <v>194.5</v>
      </c>
    </row>
    <row r="25" spans="1:4">
      <c r="A25">
        <v>14</v>
      </c>
      <c r="C25">
        <v>21</v>
      </c>
      <c r="D25">
        <v>59</v>
      </c>
    </row>
    <row r="26" spans="1:4">
      <c r="A26">
        <v>15</v>
      </c>
      <c r="C26">
        <v>22</v>
      </c>
      <c r="D26">
        <v>59</v>
      </c>
    </row>
    <row r="27" spans="1:4">
      <c r="A27">
        <v>16</v>
      </c>
      <c r="C27">
        <v>23</v>
      </c>
      <c r="D27">
        <v>59</v>
      </c>
    </row>
    <row r="28" spans="1:4">
      <c r="A28">
        <v>17</v>
      </c>
      <c r="C28">
        <v>24</v>
      </c>
      <c r="D28">
        <v>59</v>
      </c>
    </row>
    <row r="29" spans="1:4">
      <c r="A29">
        <v>18</v>
      </c>
      <c r="C29">
        <v>25</v>
      </c>
      <c r="D29">
        <v>59</v>
      </c>
    </row>
    <row r="30" spans="1:4">
      <c r="A30">
        <v>19</v>
      </c>
      <c r="C30">
        <v>26</v>
      </c>
      <c r="D30">
        <v>59</v>
      </c>
    </row>
    <row r="31" spans="1:4">
      <c r="A31">
        <v>20</v>
      </c>
      <c r="C31">
        <v>27</v>
      </c>
      <c r="D31">
        <v>59</v>
      </c>
    </row>
    <row r="32" spans="1:4">
      <c r="A32">
        <v>21</v>
      </c>
      <c r="C32">
        <v>28</v>
      </c>
      <c r="D32">
        <v>59</v>
      </c>
    </row>
    <row r="33" spans="1:4">
      <c r="A33">
        <v>22</v>
      </c>
      <c r="C33">
        <v>29</v>
      </c>
      <c r="D33">
        <v>114.01</v>
      </c>
    </row>
    <row r="34" spans="1:4">
      <c r="A34">
        <v>23</v>
      </c>
      <c r="C34">
        <v>30</v>
      </c>
      <c r="D34">
        <v>38.880000000000003</v>
      </c>
    </row>
    <row r="35" spans="1:4">
      <c r="A35">
        <v>24</v>
      </c>
      <c r="C35">
        <v>31</v>
      </c>
      <c r="D35">
        <v>38.880000000000003</v>
      </c>
    </row>
    <row r="36" spans="1:4">
      <c r="A36">
        <v>25</v>
      </c>
      <c r="C36">
        <v>32</v>
      </c>
      <c r="D36">
        <v>56.55</v>
      </c>
    </row>
    <row r="37" spans="1:4">
      <c r="A37">
        <v>26</v>
      </c>
      <c r="C37">
        <v>33</v>
      </c>
      <c r="D37">
        <v>67.849999999999994</v>
      </c>
    </row>
    <row r="38" spans="1:4">
      <c r="A38">
        <v>27</v>
      </c>
      <c r="C38">
        <v>34</v>
      </c>
      <c r="D38">
        <v>45.57</v>
      </c>
    </row>
    <row r="39" spans="1:4">
      <c r="A39">
        <v>28</v>
      </c>
      <c r="C39">
        <v>35</v>
      </c>
      <c r="D39">
        <v>56.55</v>
      </c>
    </row>
    <row r="40" spans="1:4">
      <c r="A40">
        <v>29</v>
      </c>
      <c r="C40">
        <v>36</v>
      </c>
      <c r="D40">
        <v>53.01</v>
      </c>
    </row>
    <row r="41" spans="1:4">
      <c r="A41">
        <v>30</v>
      </c>
      <c r="C41">
        <v>37</v>
      </c>
      <c r="D41">
        <v>32.6</v>
      </c>
    </row>
    <row r="42" spans="1:4">
      <c r="A42">
        <v>31</v>
      </c>
      <c r="C42">
        <v>38</v>
      </c>
      <c r="D42">
        <v>32.6</v>
      </c>
    </row>
    <row r="43" spans="1:4">
      <c r="A43">
        <v>32</v>
      </c>
      <c r="C43">
        <v>39</v>
      </c>
      <c r="D43">
        <v>32.6</v>
      </c>
    </row>
    <row r="44" spans="1:4">
      <c r="A44">
        <v>33</v>
      </c>
      <c r="C44">
        <v>40</v>
      </c>
      <c r="D44">
        <v>32.6</v>
      </c>
    </row>
    <row r="45" spans="1:4">
      <c r="A45">
        <v>45</v>
      </c>
      <c r="C45" s="2997">
        <v>41</v>
      </c>
      <c r="D45" s="2997">
        <v>35.46</v>
      </c>
    </row>
    <row r="46" spans="1:4">
      <c r="A46">
        <v>46</v>
      </c>
      <c r="C46" s="2997">
        <v>42</v>
      </c>
      <c r="D46" s="2997">
        <v>35.46</v>
      </c>
    </row>
    <row r="47" spans="1:4">
      <c r="A47">
        <v>47</v>
      </c>
      <c r="C47" s="2997">
        <v>43</v>
      </c>
      <c r="D47" s="2997">
        <v>61</v>
      </c>
    </row>
    <row r="48" spans="1:4">
      <c r="A48">
        <v>48</v>
      </c>
      <c r="C48" s="2997">
        <v>44</v>
      </c>
      <c r="D48" s="2997">
        <v>61</v>
      </c>
    </row>
    <row r="49" spans="1:4">
      <c r="A49">
        <v>49</v>
      </c>
      <c r="C49" s="2997">
        <v>45</v>
      </c>
      <c r="D49" s="2997">
        <v>30.5</v>
      </c>
    </row>
    <row r="50" spans="1:4">
      <c r="A50">
        <v>50</v>
      </c>
      <c r="C50" s="2997">
        <v>46</v>
      </c>
      <c r="D50" s="2997">
        <v>45.75</v>
      </c>
    </row>
    <row r="51" spans="1:4">
      <c r="A51">
        <v>51</v>
      </c>
      <c r="C51" s="2997">
        <v>47</v>
      </c>
      <c r="D51" s="2997">
        <v>45.75</v>
      </c>
    </row>
    <row r="52" spans="1:4">
      <c r="A52">
        <v>52</v>
      </c>
      <c r="C52" s="2997">
        <v>48</v>
      </c>
      <c r="D52" s="2997">
        <v>30.5</v>
      </c>
    </row>
    <row r="53" spans="1:4">
      <c r="A53">
        <v>34</v>
      </c>
      <c r="C53">
        <v>49</v>
      </c>
      <c r="D53">
        <v>56.09</v>
      </c>
    </row>
    <row r="54" spans="1:4">
      <c r="A54">
        <v>35</v>
      </c>
      <c r="C54">
        <v>50</v>
      </c>
      <c r="D54">
        <v>44.17</v>
      </c>
    </row>
    <row r="55" spans="1:4">
      <c r="A55">
        <v>36</v>
      </c>
      <c r="C55">
        <v>51</v>
      </c>
      <c r="D55">
        <v>39.97</v>
      </c>
    </row>
    <row r="56" spans="1:4">
      <c r="A56">
        <v>37</v>
      </c>
      <c r="C56">
        <v>52</v>
      </c>
      <c r="D56">
        <v>39.97</v>
      </c>
    </row>
    <row r="57" spans="1:4">
      <c r="A57">
        <v>38</v>
      </c>
      <c r="C57">
        <v>53</v>
      </c>
      <c r="D57">
        <v>44.17</v>
      </c>
    </row>
    <row r="58" spans="1:4">
      <c r="A58">
        <v>39</v>
      </c>
      <c r="C58">
        <v>54</v>
      </c>
      <c r="D58">
        <v>56.09</v>
      </c>
    </row>
    <row r="59" spans="1:4">
      <c r="A59">
        <v>40</v>
      </c>
      <c r="C59">
        <v>55</v>
      </c>
      <c r="D59">
        <v>28.05</v>
      </c>
    </row>
    <row r="60" spans="1:4">
      <c r="A60">
        <v>41</v>
      </c>
      <c r="C60">
        <v>56</v>
      </c>
      <c r="D60">
        <v>28.05</v>
      </c>
    </row>
    <row r="61" spans="1:4">
      <c r="A61">
        <v>42</v>
      </c>
      <c r="C61">
        <v>57</v>
      </c>
      <c r="D61">
        <v>56.09</v>
      </c>
    </row>
    <row r="62" spans="1:4">
      <c r="A62">
        <v>43</v>
      </c>
      <c r="C62">
        <v>58</v>
      </c>
      <c r="D62">
        <v>56.09</v>
      </c>
    </row>
    <row r="63" spans="1:4">
      <c r="D63">
        <f>SUM(D5:D10,D22:D44,D53:D62)</f>
        <v>2294.6900000000005</v>
      </c>
    </row>
  </sheetData>
  <phoneticPr fontId="143"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2" t="str">
        <f>IF(项目基本情况!B9="房地产市场价值","估价结果一览表","结果表-2")</f>
        <v>估价结果一览表</v>
      </c>
      <c r="B1" s="3022"/>
      <c r="C1" s="3022"/>
      <c r="D1" s="3022"/>
      <c r="E1" s="3022"/>
      <c r="F1" s="3022"/>
      <c r="G1" s="3022"/>
      <c r="H1" s="3022"/>
      <c r="I1" s="3022"/>
    </row>
    <row r="2" spans="1:9" ht="30" customHeight="1" thickTop="1">
      <c r="A2" s="3023" t="s">
        <v>1641</v>
      </c>
      <c r="B2" s="3023" t="s">
        <v>1642</v>
      </c>
      <c r="C2" s="3023" t="s">
        <v>1643</v>
      </c>
      <c r="D2" s="3023" t="str">
        <f>结果表!D116</f>
        <v>出让国有建设用地使用权价值</v>
      </c>
      <c r="E2" s="3023"/>
      <c r="F2" s="3023" t="str">
        <f>结果表!F116</f>
        <v>在建建筑物价值</v>
      </c>
      <c r="G2" s="3023"/>
      <c r="H2" s="3023" t="str">
        <f>IF(项目基本情况!B9="房地产市场价值","房地产市场价值","房地产价值")</f>
        <v>房地产市场价值</v>
      </c>
      <c r="I2" s="3023"/>
    </row>
    <row r="3" spans="1:9" ht="15">
      <c r="A3" s="3017"/>
      <c r="B3" s="3017"/>
      <c r="C3" s="3017"/>
      <c r="D3" s="1047" t="s">
        <v>1638</v>
      </c>
      <c r="E3" s="1047" t="s">
        <v>1644</v>
      </c>
      <c r="F3" s="1047" t="s">
        <v>1638</v>
      </c>
      <c r="G3" s="1047" t="s">
        <v>1639</v>
      </c>
      <c r="H3" s="1047" t="s">
        <v>1638</v>
      </c>
      <c r="I3" s="1047" t="s">
        <v>1639</v>
      </c>
    </row>
    <row r="4" spans="1:9" ht="30">
      <c r="A4" s="1976" t="str">
        <f>项目基本情况!S2</f>
        <v>新疆省昌吉市延安南路46号小区房地产</v>
      </c>
      <c r="B4" s="1047">
        <f>项目基本情况!C17</f>
        <v>2729.87</v>
      </c>
      <c r="C4" s="1047">
        <f>项目基本情况!C18</f>
        <v>698.38</v>
      </c>
      <c r="D4" s="1047">
        <f ca="1">结果表!D118</f>
        <v>451</v>
      </c>
      <c r="E4" s="1047">
        <f ca="1">结果表!E118</f>
        <v>12890</v>
      </c>
      <c r="F4" s="1047">
        <f ca="1">结果表!F118</f>
        <v>352</v>
      </c>
      <c r="G4" s="1047">
        <f ca="1">结果表!G118</f>
        <v>10061</v>
      </c>
      <c r="H4" s="1047">
        <f ca="1">结果表!H118</f>
        <v>803</v>
      </c>
      <c r="I4" s="1047">
        <f ca="1">结果表!I118</f>
        <v>22951</v>
      </c>
    </row>
    <row r="5" spans="1:9" ht="30" customHeight="1">
      <c r="A5" s="3017" t="s">
        <v>1640</v>
      </c>
      <c r="B5" s="3017"/>
      <c r="C5" s="3017"/>
      <c r="D5" s="3018" t="str">
        <f ca="1">结果表!D119</f>
        <v>肆佰伍拾壹万元整</v>
      </c>
      <c r="E5" s="3018"/>
      <c r="F5" s="3018" t="str">
        <f ca="1">结果表!F119</f>
        <v>叁佰伍拾贰万元整</v>
      </c>
      <c r="G5" s="3018"/>
      <c r="H5" s="3018" t="str">
        <f ca="1">结果表!H119</f>
        <v>捌佰零叁万元整</v>
      </c>
      <c r="I5" s="3018"/>
    </row>
    <row r="6" spans="1:9" ht="15.75">
      <c r="A6" s="3016" t="str">
        <f>结果表!A120</f>
        <v/>
      </c>
      <c r="B6" s="3016"/>
      <c r="C6" s="3016"/>
      <c r="D6" s="3016">
        <f>结果表!D120</f>
        <v>0</v>
      </c>
      <c r="E6" s="3016"/>
      <c r="F6" s="3016"/>
      <c r="G6" s="3016"/>
      <c r="H6" s="3016"/>
      <c r="I6" s="3016"/>
    </row>
    <row r="7" spans="1:9" ht="15">
      <c r="A7" s="3017" t="s">
        <v>1640</v>
      </c>
      <c r="B7" s="3017"/>
      <c r="C7" s="3017"/>
      <c r="D7" s="3019" t="str">
        <f>结果表!D121</f>
        <v>零元整</v>
      </c>
      <c r="E7" s="3020"/>
      <c r="F7" s="3020"/>
      <c r="G7" s="3020"/>
      <c r="H7" s="3020"/>
      <c r="I7" s="3021"/>
    </row>
    <row r="8" spans="1:9" ht="15.75">
      <c r="A8" s="3016" t="str">
        <f>结果表!A122</f>
        <v/>
      </c>
      <c r="B8" s="3016"/>
      <c r="C8" s="3016"/>
      <c r="D8" s="3016">
        <f ca="1">结果表!D122</f>
        <v>803</v>
      </c>
      <c r="E8" s="3016"/>
      <c r="F8" s="3016"/>
      <c r="G8" s="3016"/>
      <c r="H8" s="3016"/>
      <c r="I8" s="3016"/>
    </row>
    <row r="9" spans="1:9" ht="15">
      <c r="A9" s="3017" t="s">
        <v>1640</v>
      </c>
      <c r="B9" s="3017"/>
      <c r="C9" s="3017"/>
      <c r="D9" s="3018" t="str">
        <f ca="1">结果表!D123</f>
        <v>捌佰零叁万元整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1640</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1640</v>
      </c>
      <c r="B13" s="3013"/>
      <c r="C13" s="3013"/>
      <c r="D13" s="3014" t="e">
        <f>结果表!D127</f>
        <v>#VALUE!</v>
      </c>
      <c r="E13" s="3014"/>
      <c r="F13" s="3014"/>
      <c r="G13" s="3014"/>
      <c r="H13" s="3014"/>
      <c r="I13" s="3014"/>
    </row>
    <row r="14" spans="1:9" ht="15" thickTop="1">
      <c r="A14" s="3015" t="s">
        <v>1645</v>
      </c>
      <c r="B14" s="3015"/>
      <c r="C14" s="3015"/>
      <c r="D14" s="3015"/>
      <c r="E14" s="3015"/>
      <c r="F14" s="3015"/>
      <c r="G14" s="3015"/>
      <c r="H14" s="3015"/>
      <c r="I14" s="301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0" t="s">
        <v>1662</v>
      </c>
      <c r="B1" s="3030"/>
      <c r="C1" s="3030"/>
      <c r="D1" s="3030"/>
    </row>
    <row r="2" spans="1:4" ht="18">
      <c r="A2" s="3031" t="s">
        <v>1646</v>
      </c>
      <c r="B2" s="3031"/>
      <c r="C2" s="3031"/>
      <c r="D2" s="3031"/>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31" t="s">
        <v>1652</v>
      </c>
      <c r="B6" s="3031"/>
      <c r="C6" s="3031"/>
      <c r="D6" s="303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2" t="s">
        <v>1655</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9"/>
      <c r="C12" s="3029"/>
      <c r="D12" s="3029"/>
    </row>
    <row r="13" spans="1:4" ht="30" customHeight="1">
      <c r="A13" s="3024" t="str">
        <f>IF(项目基本情况!B8="抵押","3.抵押双方在办理抵押登记手续时，应使用本公司出具的正式《房地产评估报告》，特提醒报告使用者注意。","——")</f>
        <v>——</v>
      </c>
      <c r="B13" s="3029"/>
      <c r="C13" s="3029"/>
      <c r="D13" s="3029"/>
    </row>
    <row r="14" spans="1:4" ht="15.75" customHeight="1">
      <c r="A14" s="3024" t="str">
        <f>IF(项目基本情况!B8="抵押","4.本次评估估价师所知悉的法定优先受偿款情况说明如下：","——")</f>
        <v>——</v>
      </c>
      <c r="B14" s="3029"/>
      <c r="C14" s="3029"/>
      <c r="D14" s="3029"/>
    </row>
    <row r="15" spans="1:4" ht="42" customHeight="1">
      <c r="A15" s="3024" t="str">
        <f>IF(项目基本情况!B8="抵押","（1）"&amp;CONCATENATE(项目基本情况!L20,项目基本情况!L21,项目基本情况!L22),"——")</f>
        <v>——</v>
      </c>
      <c r="B15" s="3024"/>
      <c r="C15" s="3024"/>
      <c r="D15" s="3024"/>
    </row>
    <row r="16" spans="1:4" ht="30" customHeight="1">
      <c r="A16" s="3026" t="s">
        <v>1656</v>
      </c>
      <c r="B16" s="3026"/>
      <c r="C16" s="3026"/>
      <c r="D16" s="3026"/>
    </row>
    <row r="17" spans="1:4" ht="144" customHeight="1">
      <c r="A17" s="3026" t="s">
        <v>1657</v>
      </c>
      <c r="B17" s="3026"/>
      <c r="C17" s="3026"/>
      <c r="D17" s="3026"/>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1658</v>
      </c>
      <c r="B22" s="3028"/>
      <c r="C22" s="3028"/>
      <c r="D22" s="302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8" t="s">
        <v>1669</v>
      </c>
      <c r="B15" s="3033" t="s">
        <v>136</v>
      </c>
      <c r="C15" s="3034"/>
    </row>
    <row r="16" spans="1:7" ht="13.5">
      <c r="A16" s="3039"/>
      <c r="B16" s="3033" t="s">
        <v>69</v>
      </c>
      <c r="C16" s="3034"/>
    </row>
    <row r="17" spans="1:3" ht="13.5">
      <c r="A17" s="3039"/>
      <c r="B17" s="3036" t="s">
        <v>1670</v>
      </c>
      <c r="C17" s="2003" t="s">
        <v>1669</v>
      </c>
    </row>
    <row r="18" spans="1:3" ht="13.5">
      <c r="A18" s="3039"/>
      <c r="B18" s="3036"/>
      <c r="C18" s="2003" t="s">
        <v>1671</v>
      </c>
    </row>
    <row r="19" spans="1:3" ht="13.5">
      <c r="A19" s="3039"/>
      <c r="B19" s="3036"/>
      <c r="C19" s="2003" t="s">
        <v>1672</v>
      </c>
    </row>
    <row r="20" spans="1:3" ht="13.5">
      <c r="A20" s="3040"/>
      <c r="B20" s="3035" t="s">
        <v>1673</v>
      </c>
      <c r="C20" s="3034"/>
    </row>
    <row r="21" spans="1:3" ht="13.5">
      <c r="A21" s="2004" t="s">
        <v>1674</v>
      </c>
      <c r="B21" s="2005"/>
      <c r="C21" s="2006"/>
    </row>
    <row r="22" spans="1:3" ht="13.5">
      <c r="A22" s="3037" t="s">
        <v>1675</v>
      </c>
      <c r="B22" s="3035" t="s">
        <v>1676</v>
      </c>
      <c r="C22" s="3034"/>
    </row>
    <row r="23" spans="1:3" ht="13.5">
      <c r="A23" s="3037"/>
      <c r="B23" s="3035" t="s">
        <v>1677</v>
      </c>
      <c r="C23" s="3034"/>
    </row>
    <row r="24" spans="1:3" ht="13.5">
      <c r="A24" s="3037"/>
      <c r="B24" s="3035" t="s">
        <v>1678</v>
      </c>
      <c r="C24" s="3034"/>
    </row>
    <row r="25" spans="1:3" ht="13.5">
      <c r="A25" s="3037"/>
      <c r="B25" s="3036" t="s">
        <v>1679</v>
      </c>
      <c r="C25" s="2003" t="s">
        <v>1680</v>
      </c>
    </row>
    <row r="26" spans="1:3" ht="13.5">
      <c r="A26" s="3037"/>
      <c r="B26" s="3036"/>
      <c r="C26" s="2003" t="s">
        <v>1681</v>
      </c>
    </row>
    <row r="27" spans="1:3" ht="13.5">
      <c r="A27" s="3037"/>
      <c r="B27" s="3036"/>
      <c r="C27" s="2003" t="s">
        <v>1682</v>
      </c>
    </row>
    <row r="28" spans="1:3" ht="13.5">
      <c r="A28" s="3037"/>
      <c r="B28" s="3036"/>
      <c r="C28" s="2003" t="s">
        <v>1683</v>
      </c>
    </row>
    <row r="29" spans="1:3" ht="13.5">
      <c r="A29" s="3037"/>
      <c r="B29" s="3036"/>
      <c r="C29" s="2003" t="s">
        <v>1684</v>
      </c>
    </row>
    <row r="30" spans="1:3" ht="13.5">
      <c r="A30" s="3037"/>
      <c r="B30" s="3036"/>
      <c r="C30" s="2003" t="s">
        <v>1685</v>
      </c>
    </row>
    <row r="31" spans="1:3" ht="13.5">
      <c r="A31" s="3037"/>
      <c r="B31" s="3036"/>
      <c r="C31" s="2003" t="s">
        <v>1686</v>
      </c>
    </row>
    <row r="32" spans="1:3" ht="13.5">
      <c r="A32" s="3037"/>
      <c r="B32" s="3036"/>
      <c r="C32" s="2003" t="s">
        <v>1687</v>
      </c>
    </row>
    <row r="33" spans="1:3" ht="13.5">
      <c r="A33" s="3037"/>
      <c r="B33" s="303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43241</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41" t="s">
        <v>846</v>
      </c>
      <c r="B25" s="3041"/>
      <c r="C25" s="3041"/>
      <c r="D25" s="3041"/>
      <c r="E25" s="3041"/>
      <c r="F25" s="3041"/>
      <c r="G25" s="3041"/>
    </row>
    <row r="26" spans="1:7" s="1028" customFormat="1" ht="24" customHeight="1">
      <c r="A26" s="3042" t="s">
        <v>847</v>
      </c>
      <c r="B26" s="3042"/>
      <c r="C26" s="3043"/>
      <c r="D26" s="3044" t="s">
        <v>848</v>
      </c>
      <c r="E26" s="3042"/>
      <c r="F26" s="3042"/>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结果表-办公</vt:lpstr>
      <vt:lpstr>比较法-商业</vt:lpstr>
      <vt:lpstr>收益法 (元)</vt:lpstr>
      <vt:lpstr>收益法（汇总）</vt:lpstr>
      <vt:lpstr>酒店收入计算</vt:lpstr>
      <vt:lpstr>比较法-住宅</vt:lpstr>
      <vt:lpstr>比较法-办公</vt:lpstr>
      <vt:lpstr>收益法 (元) 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'收益法 (元) 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2018-04-28T06:08:39Z</cp:lastPrinted>
  <dcterms:created xsi:type="dcterms:W3CDTF">2015-07-13T07:17:23Z</dcterms:created>
  <dcterms:modified xsi:type="dcterms:W3CDTF">2018-05-21T12:32:21Z</dcterms:modified>
</cp:coreProperties>
</file>