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r:id="rId41"/>
    <sheet name="收益法车" sheetId="80"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 i="31" l="1"/>
  <c r="F4" i="31"/>
  <c r="G4" i="31"/>
  <c r="D4" i="31"/>
  <c r="D121" i="21"/>
  <c r="N61" i="77"/>
  <c r="N60" i="77"/>
  <c r="N59" i="77"/>
  <c r="N58" i="77"/>
  <c r="N57" i="77"/>
  <c r="N56" i="77"/>
  <c r="N55" i="77"/>
  <c r="N54" i="77"/>
  <c r="N53" i="77"/>
  <c r="D3" i="4"/>
  <c r="AN15" i="1"/>
  <c r="E104" i="21"/>
  <c r="F104" i="21"/>
  <c r="G104" i="21"/>
  <c r="H104" i="21"/>
  <c r="I104" i="21"/>
  <c r="D104" i="21"/>
  <c r="D118" i="39"/>
  <c r="E118" i="39"/>
  <c r="F118" i="39"/>
  <c r="G118" i="39"/>
  <c r="F15" i="80"/>
  <c r="F17" i="80"/>
  <c r="F18" i="80"/>
  <c r="F20" i="80"/>
  <c r="F23" i="80"/>
  <c r="F21" i="80"/>
  <c r="F33" i="80"/>
  <c r="F61" i="80"/>
  <c r="M47" i="80"/>
  <c r="J50" i="80"/>
  <c r="J51" i="80"/>
  <c r="K59" i="80"/>
  <c r="P74" i="80"/>
  <c r="Q72" i="80"/>
  <c r="Q59" i="80"/>
  <c r="F59" i="80"/>
  <c r="Q58" i="80"/>
  <c r="Q51" i="80"/>
  <c r="D46" i="80"/>
  <c r="F31" i="80"/>
  <c r="M19" i="80"/>
  <c r="D24" i="80"/>
  <c r="D23" i="80"/>
  <c r="D22" i="80"/>
  <c r="M17" i="80"/>
  <c r="F15" i="79"/>
  <c r="F17" i="79"/>
  <c r="F18" i="79"/>
  <c r="F20" i="79"/>
  <c r="F23" i="79"/>
  <c r="F21" i="79"/>
  <c r="F33" i="79"/>
  <c r="F61" i="79"/>
  <c r="M47" i="79"/>
  <c r="J50" i="79"/>
  <c r="J51" i="79"/>
  <c r="K59" i="79"/>
  <c r="P61" i="79"/>
  <c r="P74" i="79"/>
  <c r="Q72" i="79"/>
  <c r="Q59" i="79"/>
  <c r="F59" i="79"/>
  <c r="Q58" i="79"/>
  <c r="Q51" i="79"/>
  <c r="D46" i="79"/>
  <c r="F31" i="79"/>
  <c r="M19" i="79"/>
  <c r="D24" i="79"/>
  <c r="D23" i="79"/>
  <c r="D22" i="79"/>
  <c r="M17" i="79"/>
  <c r="D101" i="21"/>
  <c r="F32" i="21"/>
  <c r="AA32" i="21"/>
  <c r="K23" i="21"/>
  <c r="D85" i="21"/>
  <c r="E85" i="21"/>
  <c r="F85" i="21"/>
  <c r="G85" i="21"/>
  <c r="H32" i="21"/>
  <c r="AB32" i="21"/>
  <c r="J32" i="21"/>
  <c r="AC32" i="21"/>
  <c r="D6" i="31"/>
  <c r="B5" i="31"/>
  <c r="K21" i="21"/>
  <c r="K19" i="21"/>
  <c r="K17" i="21"/>
  <c r="K15" i="21"/>
  <c r="K11" i="21"/>
  <c r="F9" i="39"/>
  <c r="AA9" i="39"/>
  <c r="D99" i="39"/>
  <c r="D107" i="39"/>
  <c r="E107" i="39"/>
  <c r="H9" i="39"/>
  <c r="AB9" i="39"/>
  <c r="J9" i="39"/>
  <c r="AC9" i="39"/>
  <c r="I46" i="39"/>
  <c r="G46" i="39"/>
  <c r="G53" i="39"/>
  <c r="H53" i="39"/>
  <c r="E46" i="39"/>
  <c r="I38" i="39"/>
  <c r="G38" i="39"/>
  <c r="E38" i="39"/>
  <c r="I11" i="39"/>
  <c r="E11" i="39"/>
  <c r="D71" i="39"/>
  <c r="E71" i="39"/>
  <c r="F71" i="39"/>
  <c r="G71" i="39"/>
  <c r="H71" i="39"/>
  <c r="I71" i="39"/>
  <c r="J71" i="39"/>
  <c r="K71" i="39"/>
  <c r="L71" i="39"/>
  <c r="I7" i="39"/>
  <c r="G7" i="39"/>
  <c r="E7" i="39"/>
  <c r="I5" i="39"/>
  <c r="G5" i="39"/>
  <c r="E5" i="39"/>
  <c r="L7" i="1"/>
  <c r="L8" i="1"/>
  <c r="L9" i="1"/>
  <c r="L10" i="1"/>
  <c r="L14" i="1"/>
  <c r="AN23" i="3"/>
  <c r="AN22" i="3"/>
  <c r="AT20" i="3"/>
  <c r="AN18" i="3"/>
  <c r="AN19" i="3"/>
  <c r="BR19" i="3"/>
  <c r="AN17" i="3"/>
  <c r="AL18" i="3"/>
  <c r="BQ18" i="3"/>
  <c r="AL19" i="3"/>
  <c r="AL17" i="3"/>
  <c r="AF23" i="3"/>
  <c r="AF22" i="3"/>
  <c r="AD18" i="3"/>
  <c r="AE18" i="3"/>
  <c r="AD19" i="3"/>
  <c r="AD17" i="3"/>
  <c r="AE17" i="3"/>
  <c r="Q20" i="3"/>
  <c r="BF20" i="3"/>
  <c r="BA20" i="3"/>
  <c r="O24" i="3"/>
  <c r="O14" i="3"/>
  <c r="O15" i="3"/>
  <c r="O16" i="3"/>
  <c r="O13" i="3"/>
  <c r="M14" i="3"/>
  <c r="M15" i="3"/>
  <c r="M16" i="3"/>
  <c r="BD16" i="3"/>
  <c r="M13" i="3"/>
  <c r="K24" i="3"/>
  <c r="I23" i="3"/>
  <c r="I22" i="3"/>
  <c r="C23" i="3"/>
  <c r="C24" i="3"/>
  <c r="C14" i="3"/>
  <c r="C15" i="3"/>
  <c r="C16" i="3"/>
  <c r="AX16" i="3"/>
  <c r="C17" i="3"/>
  <c r="C18" i="3"/>
  <c r="C19" i="3"/>
  <c r="C20" i="3"/>
  <c r="C22" i="3"/>
  <c r="C13" i="3"/>
  <c r="A3" i="3"/>
  <c r="C38" i="39"/>
  <c r="M63" i="77"/>
  <c r="L63" i="77"/>
  <c r="D63" i="77"/>
  <c r="M52" i="77"/>
  <c r="M53" i="77"/>
  <c r="M54" i="77"/>
  <c r="M55" i="77"/>
  <c r="M58" i="77"/>
  <c r="M59" i="77"/>
  <c r="M60" i="77"/>
  <c r="M61" i="77"/>
  <c r="L52" i="77"/>
  <c r="L53" i="77"/>
  <c r="K53" i="77"/>
  <c r="L54" i="77"/>
  <c r="L55" i="77"/>
  <c r="L56" i="77"/>
  <c r="K56" i="77"/>
  <c r="L57" i="77"/>
  <c r="K57" i="77"/>
  <c r="S38" i="77"/>
  <c r="AN20" i="3"/>
  <c r="BR20" i="3"/>
  <c r="L59" i="77"/>
  <c r="L60" i="77"/>
  <c r="L61" i="77"/>
  <c r="K60" i="77"/>
  <c r="K61" i="77"/>
  <c r="J52" i="77"/>
  <c r="J53" i="77"/>
  <c r="J54" i="77"/>
  <c r="J55" i="77"/>
  <c r="J56" i="77"/>
  <c r="J57" i="77"/>
  <c r="J58" i="77"/>
  <c r="J59" i="77"/>
  <c r="J60" i="77"/>
  <c r="J61" i="77"/>
  <c r="I52" i="77"/>
  <c r="I53" i="77"/>
  <c r="I54" i="77"/>
  <c r="I55" i="77"/>
  <c r="I56" i="77"/>
  <c r="E56" i="77"/>
  <c r="I57" i="77"/>
  <c r="I58" i="77"/>
  <c r="I59" i="77"/>
  <c r="I60" i="77"/>
  <c r="I61" i="77"/>
  <c r="H52" i="77"/>
  <c r="Q52" i="77"/>
  <c r="H53" i="77"/>
  <c r="Q53" i="77"/>
  <c r="H54" i="77"/>
  <c r="Q54" i="77"/>
  <c r="H55" i="77"/>
  <c r="Q55" i="77"/>
  <c r="H56" i="77"/>
  <c r="H57" i="77"/>
  <c r="H58" i="77"/>
  <c r="H59" i="77"/>
  <c r="H60" i="77"/>
  <c r="H61" i="77"/>
  <c r="E61" i="77"/>
  <c r="F52" i="77"/>
  <c r="G52" i="77"/>
  <c r="F53" i="77"/>
  <c r="G53" i="77"/>
  <c r="F54" i="77"/>
  <c r="F55" i="77"/>
  <c r="G55" i="77"/>
  <c r="F56" i="77"/>
  <c r="G56" i="77"/>
  <c r="F57" i="77"/>
  <c r="G57" i="77"/>
  <c r="F58" i="77"/>
  <c r="G58" i="77"/>
  <c r="E58" i="77"/>
  <c r="G61" i="77"/>
  <c r="F59" i="77"/>
  <c r="F60" i="77"/>
  <c r="F61" i="77"/>
  <c r="C61" i="77"/>
  <c r="C60" i="77"/>
  <c r="C59" i="77"/>
  <c r="C58" i="77"/>
  <c r="C57" i="77"/>
  <c r="C56" i="77"/>
  <c r="C55" i="77"/>
  <c r="P55" i="77"/>
  <c r="C54" i="77"/>
  <c r="P54" i="77"/>
  <c r="C53" i="77"/>
  <c r="P53" i="77"/>
  <c r="C52" i="77"/>
  <c r="P52" i="77"/>
  <c r="G40" i="77"/>
  <c r="N40" i="77"/>
  <c r="G41" i="77"/>
  <c r="N41" i="77"/>
  <c r="G42" i="77"/>
  <c r="F42" i="77"/>
  <c r="N42" i="77"/>
  <c r="G31" i="77"/>
  <c r="N31" i="77"/>
  <c r="G32" i="77"/>
  <c r="N32" i="77"/>
  <c r="G33" i="77"/>
  <c r="N33" i="77"/>
  <c r="G34" i="77"/>
  <c r="F34" i="77"/>
  <c r="N34" i="77"/>
  <c r="G35" i="77"/>
  <c r="F35" i="77"/>
  <c r="N35" i="77"/>
  <c r="G36" i="77"/>
  <c r="N36" i="77"/>
  <c r="F36" i="77"/>
  <c r="G37" i="77"/>
  <c r="N37" i="77"/>
  <c r="G38" i="77"/>
  <c r="K43" i="77"/>
  <c r="K44" i="77"/>
  <c r="K39" i="77"/>
  <c r="V43" i="77"/>
  <c r="V39" i="77"/>
  <c r="V44" i="77"/>
  <c r="T43" i="77"/>
  <c r="T39" i="77"/>
  <c r="S43" i="77"/>
  <c r="R43" i="77"/>
  <c r="R44" i="77"/>
  <c r="R39" i="77"/>
  <c r="Q43" i="77"/>
  <c r="Q44" i="77"/>
  <c r="Q39" i="77"/>
  <c r="P43" i="77"/>
  <c r="P39" i="77"/>
  <c r="P44" i="77"/>
  <c r="O43" i="77"/>
  <c r="O39" i="77"/>
  <c r="O44" i="77"/>
  <c r="M43" i="77"/>
  <c r="M44" i="77"/>
  <c r="M39" i="77"/>
  <c r="L43" i="77"/>
  <c r="L39" i="77"/>
  <c r="J43" i="77"/>
  <c r="J44" i="77"/>
  <c r="J39" i="77"/>
  <c r="I43" i="77"/>
  <c r="I39" i="77"/>
  <c r="H43" i="77"/>
  <c r="H44" i="77"/>
  <c r="H39" i="77"/>
  <c r="V25" i="77"/>
  <c r="V26" i="77"/>
  <c r="V20" i="77"/>
  <c r="T25" i="77"/>
  <c r="T20" i="77"/>
  <c r="S25" i="77"/>
  <c r="S26" i="77"/>
  <c r="S20" i="77"/>
  <c r="R25" i="77"/>
  <c r="R20" i="77"/>
  <c r="Q25" i="77"/>
  <c r="Q26" i="77"/>
  <c r="Q20" i="77"/>
  <c r="P25" i="77"/>
  <c r="P20" i="77"/>
  <c r="O25" i="77"/>
  <c r="O26" i="77"/>
  <c r="O20" i="77"/>
  <c r="N21" i="77"/>
  <c r="N22" i="77"/>
  <c r="N23" i="77"/>
  <c r="N24" i="77"/>
  <c r="N5" i="77"/>
  <c r="N6" i="77"/>
  <c r="N7" i="77"/>
  <c r="N8" i="77"/>
  <c r="N9" i="77"/>
  <c r="N10" i="77"/>
  <c r="F10" i="77"/>
  <c r="N11" i="77"/>
  <c r="F11" i="77"/>
  <c r="N12" i="77"/>
  <c r="N13" i="77"/>
  <c r="N14" i="77"/>
  <c r="N15" i="77"/>
  <c r="N16" i="77"/>
  <c r="N17" i="77"/>
  <c r="N18" i="77"/>
  <c r="F18" i="77"/>
  <c r="N19" i="77"/>
  <c r="M25" i="77"/>
  <c r="M20" i="77"/>
  <c r="L25" i="77"/>
  <c r="L26" i="77"/>
  <c r="L19" i="77"/>
  <c r="L20" i="77"/>
  <c r="K25" i="77"/>
  <c r="K20" i="77"/>
  <c r="J25" i="77"/>
  <c r="J20" i="77"/>
  <c r="I25" i="77"/>
  <c r="I20" i="77"/>
  <c r="H25" i="77"/>
  <c r="H26" i="77"/>
  <c r="H20" i="77"/>
  <c r="G21" i="77"/>
  <c r="G22" i="77"/>
  <c r="G23" i="77"/>
  <c r="G24" i="77"/>
  <c r="G25" i="77"/>
  <c r="G5" i="77"/>
  <c r="F5" i="77"/>
  <c r="G6" i="77"/>
  <c r="F6" i="77"/>
  <c r="G7" i="77"/>
  <c r="F7" i="77"/>
  <c r="G8" i="77"/>
  <c r="G9" i="77"/>
  <c r="F9" i="77"/>
  <c r="G10" i="77"/>
  <c r="G11" i="77"/>
  <c r="G12" i="77"/>
  <c r="G13" i="77"/>
  <c r="F13" i="77"/>
  <c r="G14" i="77"/>
  <c r="G15" i="77"/>
  <c r="G16" i="77"/>
  <c r="G17" i="77"/>
  <c r="F17" i="77"/>
  <c r="G18" i="77"/>
  <c r="F21" i="77"/>
  <c r="F22" i="77"/>
  <c r="F24" i="77"/>
  <c r="F8" i="77"/>
  <c r="F14" i="77"/>
  <c r="F15" i="77"/>
  <c r="F16" i="77"/>
  <c r="V4" i="77"/>
  <c r="B7" i="4"/>
  <c r="Q6" i="71"/>
  <c r="Q7" i="71"/>
  <c r="Q8" i="71"/>
  <c r="Q9" i="71"/>
  <c r="Q10" i="71"/>
  <c r="AB10" i="7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c r="N14" i="71"/>
  <c r="N15" i="71"/>
  <c r="N16" i="71"/>
  <c r="N17" i="71"/>
  <c r="N18" i="71"/>
  <c r="N19" i="71"/>
  <c r="N20" i="71"/>
  <c r="N21" i="71"/>
  <c r="N22" i="71"/>
  <c r="N23" i="71"/>
  <c r="N24" i="71"/>
  <c r="N25" i="71"/>
  <c r="N26" i="71"/>
  <c r="N27" i="71"/>
  <c r="N28" i="71"/>
  <c r="AH5" i="71"/>
  <c r="AG5" i="71"/>
  <c r="AE5" i="71"/>
  <c r="AF5" i="71"/>
  <c r="AD5" i="71"/>
  <c r="F13" i="71"/>
  <c r="E13" i="71"/>
  <c r="E12" i="71"/>
  <c r="E11" i="71"/>
  <c r="C13" i="71"/>
  <c r="C12" i="71"/>
  <c r="AH6" i="71"/>
  <c r="AG6" i="71"/>
  <c r="AE6" i="71"/>
  <c r="AF6" i="71"/>
  <c r="A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L3" i="71"/>
  <c r="AH3" i="71"/>
  <c r="K3" i="71"/>
  <c r="AG3" i="71"/>
  <c r="J3" i="71"/>
  <c r="AE3" i="71"/>
  <c r="I3" i="71"/>
  <c r="AH10" i="71"/>
  <c r="AG10" i="71"/>
  <c r="AE10" i="71"/>
  <c r="AF10" i="71"/>
  <c r="AD10" i="71"/>
  <c r="AH11" i="71"/>
  <c r="AG11" i="71"/>
  <c r="AE11" i="71"/>
  <c r="AF11" i="71"/>
  <c r="AD11" i="71"/>
  <c r="M19" i="43"/>
  <c r="D14" i="71"/>
  <c r="AH12" i="71"/>
  <c r="AG12" i="71"/>
  <c r="AE12" i="71"/>
  <c r="AF12" i="71"/>
  <c r="AD12" i="71"/>
  <c r="BB13" i="3"/>
  <c r="BC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R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L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L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L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L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L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L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L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L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L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L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A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L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A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c r="BO141" i="3"/>
  <c r="BP141" i="3"/>
  <c r="BQ141" i="3"/>
  <c r="BR141" i="3"/>
  <c r="BS141" i="3"/>
  <c r="BT141" i="3"/>
  <c r="BB142" i="3"/>
  <c r="BC142" i="3"/>
  <c r="BD142" i="3"/>
  <c r="BE142" i="3"/>
  <c r="BF142" i="3"/>
  <c r="BG142" i="3"/>
  <c r="BH142" i="3"/>
  <c r="BI142" i="3"/>
  <c r="BJ142" i="3"/>
  <c r="BK142" i="3"/>
  <c r="BM142" i="3"/>
  <c r="BN142" i="3"/>
  <c r="BL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A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L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L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L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c r="BF181" i="3"/>
  <c r="BG181" i="3"/>
  <c r="BH181" i="3"/>
  <c r="BI181" i="3"/>
  <c r="BJ181" i="3"/>
  <c r="BK181" i="3"/>
  <c r="BM181" i="3"/>
  <c r="BN181" i="3"/>
  <c r="BO181" i="3"/>
  <c r="BP181" i="3"/>
  <c r="BQ181" i="3"/>
  <c r="BR181" i="3"/>
  <c r="BS181" i="3"/>
  <c r="BT181" i="3"/>
  <c r="BB182" i="3"/>
  <c r="BC182" i="3"/>
  <c r="BA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A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L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L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c r="AZ212" i="3"/>
  <c r="BC212" i="3"/>
  <c r="BD212" i="3"/>
  <c r="BE212" i="3"/>
  <c r="BF212" i="3"/>
  <c r="BG212" i="3"/>
  <c r="BH212" i="3"/>
  <c r="BI212" i="3"/>
  <c r="BJ212" i="3"/>
  <c r="BK212" i="3"/>
  <c r="BM212" i="3"/>
  <c r="BN212" i="3"/>
  <c r="BL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A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L239" i="3"/>
  <c r="BS239" i="3"/>
  <c r="BT239" i="3"/>
  <c r="BB240" i="3"/>
  <c r="BC240" i="3"/>
  <c r="BD240" i="3"/>
  <c r="BE240" i="3"/>
  <c r="BF240" i="3"/>
  <c r="BG240" i="3"/>
  <c r="BH240" i="3"/>
  <c r="BI240" i="3"/>
  <c r="BJ240" i="3"/>
  <c r="BK240" i="3"/>
  <c r="BM240" i="3"/>
  <c r="BN240" i="3"/>
  <c r="BO240" i="3"/>
  <c r="BP240" i="3"/>
  <c r="BL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A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L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L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A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L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A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L366" i="3"/>
  <c r="BT366" i="3"/>
  <c r="BB367" i="3"/>
  <c r="BC367" i="3"/>
  <c r="BD367" i="3"/>
  <c r="BE367" i="3"/>
  <c r="BF367" i="3"/>
  <c r="BG367" i="3"/>
  <c r="BH367" i="3"/>
  <c r="BI367" i="3"/>
  <c r="BJ367" i="3"/>
  <c r="BK367" i="3"/>
  <c r="BM367" i="3"/>
  <c r="BN367" i="3"/>
  <c r="BL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A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L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A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L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L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c r="BG441" i="3"/>
  <c r="BH441" i="3"/>
  <c r="BI441" i="3"/>
  <c r="BJ441" i="3"/>
  <c r="BK441" i="3"/>
  <c r="BM441" i="3"/>
  <c r="BN441" i="3"/>
  <c r="BL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A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L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A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A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c r="BO513" i="3"/>
  <c r="BP513" i="3"/>
  <c r="BQ513" i="3"/>
  <c r="BR513" i="3"/>
  <c r="BS513" i="3"/>
  <c r="BT513" i="3"/>
  <c r="BB514" i="3"/>
  <c r="BC514" i="3"/>
  <c r="BD514" i="3"/>
  <c r="BE514" i="3"/>
  <c r="BF514" i="3"/>
  <c r="BG514" i="3"/>
  <c r="BH514" i="3"/>
  <c r="BI514" i="3"/>
  <c r="BJ514" i="3"/>
  <c r="BK514" i="3"/>
  <c r="BM514" i="3"/>
  <c r="BN514" i="3"/>
  <c r="BO514" i="3"/>
  <c r="BP514" i="3"/>
  <c r="BQ514" i="3"/>
  <c r="BL514" i="3"/>
  <c r="BR514" i="3"/>
  <c r="BS514" i="3"/>
  <c r="BT514" i="3"/>
  <c r="BB515" i="3"/>
  <c r="BC515" i="3"/>
  <c r="BD515" i="3"/>
  <c r="BE515" i="3"/>
  <c r="BF515" i="3"/>
  <c r="BA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L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L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A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L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c r="BO545" i="3"/>
  <c r="BP545" i="3"/>
  <c r="BQ545" i="3"/>
  <c r="BR545" i="3"/>
  <c r="BS545" i="3"/>
  <c r="BT545" i="3"/>
  <c r="BB546" i="3"/>
  <c r="BC546" i="3"/>
  <c r="BD546" i="3"/>
  <c r="BE546" i="3"/>
  <c r="BF546" i="3"/>
  <c r="BG546" i="3"/>
  <c r="BH546" i="3"/>
  <c r="BI546" i="3"/>
  <c r="BJ546" i="3"/>
  <c r="BK546" i="3"/>
  <c r="BM546" i="3"/>
  <c r="BN546" i="3"/>
  <c r="BL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L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A565" i="3"/>
  <c r="BF565" i="3"/>
  <c r="BG565" i="3"/>
  <c r="BH565" i="3"/>
  <c r="BI565" i="3"/>
  <c r="BJ565" i="3"/>
  <c r="BK565" i="3"/>
  <c r="BM565" i="3"/>
  <c r="BN565" i="3"/>
  <c r="BO565" i="3"/>
  <c r="BP565" i="3"/>
  <c r="BQ565" i="3"/>
  <c r="BR565" i="3"/>
  <c r="BS565" i="3"/>
  <c r="BT565" i="3"/>
  <c r="BB566" i="3"/>
  <c r="BA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L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H14" i="3"/>
  <c r="G14" i="3"/>
  <c r="AC14" i="3"/>
  <c r="H15" i="3"/>
  <c r="AC15" i="3"/>
  <c r="H16" i="3"/>
  <c r="G16" i="3"/>
  <c r="AC16" i="3"/>
  <c r="H17" i="3"/>
  <c r="AC17" i="3"/>
  <c r="H18" i="3"/>
  <c r="AC18" i="3"/>
  <c r="H19" i="3"/>
  <c r="H20" i="3"/>
  <c r="G20" i="3"/>
  <c r="AC20" i="3"/>
  <c r="H21" i="3"/>
  <c r="AC21" i="3"/>
  <c r="H22" i="3"/>
  <c r="AC22" i="3"/>
  <c r="H23" i="3"/>
  <c r="G23" i="3"/>
  <c r="AC23" i="3"/>
  <c r="AC24" i="3"/>
  <c r="H25" i="3"/>
  <c r="AC25" i="3"/>
  <c r="H26" i="3"/>
  <c r="AC26" i="3"/>
  <c r="H27" i="3"/>
  <c r="G27" i="3"/>
  <c r="AC27" i="3"/>
  <c r="H28" i="3"/>
  <c r="AC28" i="3"/>
  <c r="G28" i="3"/>
  <c r="H29" i="3"/>
  <c r="AC29" i="3"/>
  <c r="H30" i="3"/>
  <c r="AC30" i="3"/>
  <c r="H31" i="3"/>
  <c r="AC31" i="3"/>
  <c r="H32" i="3"/>
  <c r="AC32" i="3"/>
  <c r="G32" i="3"/>
  <c r="H33" i="3"/>
  <c r="G33" i="3"/>
  <c r="AC33" i="3"/>
  <c r="H34" i="3"/>
  <c r="G34" i="3"/>
  <c r="AC34" i="3"/>
  <c r="H35" i="3"/>
  <c r="AC35" i="3"/>
  <c r="G35" i="3"/>
  <c r="H36" i="3"/>
  <c r="AC36" i="3"/>
  <c r="H37" i="3"/>
  <c r="G37" i="3"/>
  <c r="AC37" i="3"/>
  <c r="H38" i="3"/>
  <c r="AC38" i="3"/>
  <c r="H39" i="3"/>
  <c r="G39" i="3"/>
  <c r="AC39" i="3"/>
  <c r="H40" i="3"/>
  <c r="G40" i="3"/>
  <c r="AC40" i="3"/>
  <c r="H41" i="3"/>
  <c r="AC41" i="3"/>
  <c r="H42" i="3"/>
  <c r="AC42" i="3"/>
  <c r="H43" i="3"/>
  <c r="G43" i="3"/>
  <c r="AC43" i="3"/>
  <c r="H44" i="3"/>
  <c r="G44" i="3"/>
  <c r="AC44" i="3"/>
  <c r="H45" i="3"/>
  <c r="AC45" i="3"/>
  <c r="H46" i="3"/>
  <c r="AC46" i="3"/>
  <c r="H47" i="3"/>
  <c r="AC47" i="3"/>
  <c r="H48" i="3"/>
  <c r="AC48" i="3"/>
  <c r="G48" i="3"/>
  <c r="H49" i="3"/>
  <c r="G49" i="3"/>
  <c r="AC49" i="3"/>
  <c r="H50" i="3"/>
  <c r="G50" i="3"/>
  <c r="AC50" i="3"/>
  <c r="H51" i="3"/>
  <c r="G51" i="3"/>
  <c r="AC51" i="3"/>
  <c r="H52" i="3"/>
  <c r="AC52" i="3"/>
  <c r="G52" i="3"/>
  <c r="H53" i="3"/>
  <c r="G53" i="3"/>
  <c r="AC53" i="3"/>
  <c r="H54" i="3"/>
  <c r="G54" i="3"/>
  <c r="AC54" i="3"/>
  <c r="H55" i="3"/>
  <c r="AC55" i="3"/>
  <c r="H56" i="3"/>
  <c r="AC56" i="3"/>
  <c r="G56" i="3"/>
  <c r="H57" i="3"/>
  <c r="AC57" i="3"/>
  <c r="H58" i="3"/>
  <c r="G58" i="3"/>
  <c r="AC58" i="3"/>
  <c r="H59" i="3"/>
  <c r="AC59" i="3"/>
  <c r="G59" i="3"/>
  <c r="H60" i="3"/>
  <c r="G60" i="3"/>
  <c r="AC60" i="3"/>
  <c r="H61" i="3"/>
  <c r="G61" i="3"/>
  <c r="AC61" i="3"/>
  <c r="H62" i="3"/>
  <c r="AC62" i="3"/>
  <c r="H63" i="3"/>
  <c r="AC63" i="3"/>
  <c r="H64" i="3"/>
  <c r="AC64" i="3"/>
  <c r="G64" i="3"/>
  <c r="H65" i="3"/>
  <c r="AC65" i="3"/>
  <c r="H66" i="3"/>
  <c r="AC66" i="3"/>
  <c r="H67" i="3"/>
  <c r="G67" i="3"/>
  <c r="AC67" i="3"/>
  <c r="H68" i="3"/>
  <c r="AC68" i="3"/>
  <c r="G68" i="3"/>
  <c r="H69" i="3"/>
  <c r="AC69" i="3"/>
  <c r="H70" i="3"/>
  <c r="AC70" i="3"/>
  <c r="H71" i="3"/>
  <c r="G71" i="3"/>
  <c r="AC71" i="3"/>
  <c r="H72" i="3"/>
  <c r="AC72" i="3"/>
  <c r="G72" i="3"/>
  <c r="H73" i="3"/>
  <c r="AC73" i="3"/>
  <c r="H74" i="3"/>
  <c r="AC74" i="3"/>
  <c r="H75" i="3"/>
  <c r="G75" i="3"/>
  <c r="AC75" i="3"/>
  <c r="H76" i="3"/>
  <c r="G76" i="3"/>
  <c r="AC76" i="3"/>
  <c r="H77" i="3"/>
  <c r="AC77" i="3"/>
  <c r="G77" i="3"/>
  <c r="H78" i="3"/>
  <c r="AC78" i="3"/>
  <c r="H79" i="3"/>
  <c r="AC79" i="3"/>
  <c r="H80" i="3"/>
  <c r="G80" i="3"/>
  <c r="AC80" i="3"/>
  <c r="H81" i="3"/>
  <c r="G81" i="3"/>
  <c r="AC81" i="3"/>
  <c r="H82" i="3"/>
  <c r="G82" i="3"/>
  <c r="AC82" i="3"/>
  <c r="H83" i="3"/>
  <c r="G83" i="3"/>
  <c r="AC83" i="3"/>
  <c r="H84" i="3"/>
  <c r="AC84" i="3"/>
  <c r="G84" i="3"/>
  <c r="H85" i="3"/>
  <c r="AC85" i="3"/>
  <c r="H86" i="3"/>
  <c r="AC86" i="3"/>
  <c r="H87" i="3"/>
  <c r="G87" i="3"/>
  <c r="AC87" i="3"/>
  <c r="H88" i="3"/>
  <c r="G88" i="3"/>
  <c r="AC88" i="3"/>
  <c r="H89" i="3"/>
  <c r="AC89" i="3"/>
  <c r="H90" i="3"/>
  <c r="AC90" i="3"/>
  <c r="H91" i="3"/>
  <c r="AC91" i="3"/>
  <c r="G91" i="3"/>
  <c r="H92" i="3"/>
  <c r="AC92" i="3"/>
  <c r="G92" i="3"/>
  <c r="H93" i="3"/>
  <c r="AC93" i="3"/>
  <c r="H94" i="3"/>
  <c r="AC94" i="3"/>
  <c r="H95" i="3"/>
  <c r="AC95" i="3"/>
  <c r="H96" i="3"/>
  <c r="AC96" i="3"/>
  <c r="G96" i="3"/>
  <c r="H97" i="3"/>
  <c r="G97" i="3"/>
  <c r="AC97" i="3"/>
  <c r="H98" i="3"/>
  <c r="G98" i="3"/>
  <c r="AC98" i="3"/>
  <c r="H99" i="3"/>
  <c r="AC99" i="3"/>
  <c r="G99" i="3"/>
  <c r="H100" i="3"/>
  <c r="G100" i="3"/>
  <c r="AC100" i="3"/>
  <c r="H101" i="3"/>
  <c r="AC101" i="3"/>
  <c r="H102" i="3"/>
  <c r="G102" i="3"/>
  <c r="AC102" i="3"/>
  <c r="H103" i="3"/>
  <c r="G103" i="3"/>
  <c r="AC103" i="3"/>
  <c r="H104" i="3"/>
  <c r="AC104" i="3"/>
  <c r="G104" i="3"/>
  <c r="H105" i="3"/>
  <c r="G105" i="3"/>
  <c r="AC105" i="3"/>
  <c r="H106" i="3"/>
  <c r="AC106" i="3"/>
  <c r="H107" i="3"/>
  <c r="AC107" i="3"/>
  <c r="H108" i="3"/>
  <c r="AC108" i="3"/>
  <c r="G108" i="3"/>
  <c r="H109" i="3"/>
  <c r="AC109" i="3"/>
  <c r="H110" i="3"/>
  <c r="AC110" i="3"/>
  <c r="H111" i="3"/>
  <c r="G111" i="3"/>
  <c r="AC111" i="3"/>
  <c r="H112" i="3"/>
  <c r="G112" i="3"/>
  <c r="AC112" i="3"/>
  <c r="H113" i="3"/>
  <c r="AC113" i="3"/>
  <c r="H114" i="3"/>
  <c r="AC114" i="3"/>
  <c r="H115" i="3"/>
  <c r="AC115" i="3"/>
  <c r="G115" i="3"/>
  <c r="H116" i="3"/>
  <c r="G116" i="3"/>
  <c r="AC116" i="3"/>
  <c r="H117" i="3"/>
  <c r="AC117" i="3"/>
  <c r="G117" i="3"/>
  <c r="H118" i="3"/>
  <c r="AC118" i="3"/>
  <c r="H119" i="3"/>
  <c r="G119" i="3"/>
  <c r="AC119" i="3"/>
  <c r="H120" i="3"/>
  <c r="G120" i="3"/>
  <c r="AC120" i="3"/>
  <c r="H121" i="3"/>
  <c r="G121" i="3"/>
  <c r="AC121" i="3"/>
  <c r="H122" i="3"/>
  <c r="G122" i="3"/>
  <c r="AC122" i="3"/>
  <c r="H123" i="3"/>
  <c r="G123" i="3"/>
  <c r="AC123" i="3"/>
  <c r="H124" i="3"/>
  <c r="AC124" i="3"/>
  <c r="G124" i="3"/>
  <c r="H125" i="3"/>
  <c r="AC125" i="3"/>
  <c r="H126" i="3"/>
  <c r="AC126" i="3"/>
  <c r="H127" i="3"/>
  <c r="G127" i="3"/>
  <c r="AC127" i="3"/>
  <c r="H128" i="3"/>
  <c r="AC128" i="3"/>
  <c r="G128" i="3"/>
  <c r="H129" i="3"/>
  <c r="AC129" i="3"/>
  <c r="H130" i="3"/>
  <c r="G130" i="3"/>
  <c r="AC130" i="3"/>
  <c r="H131" i="3"/>
  <c r="AC131" i="3"/>
  <c r="G131" i="3"/>
  <c r="H132" i="3"/>
  <c r="G132" i="3"/>
  <c r="AC132" i="3"/>
  <c r="H133" i="3"/>
  <c r="AC133" i="3"/>
  <c r="H134" i="3"/>
  <c r="AC134" i="3"/>
  <c r="H135" i="3"/>
  <c r="AC135" i="3"/>
  <c r="H136" i="3"/>
  <c r="G136" i="3"/>
  <c r="AC136" i="3"/>
  <c r="H137" i="3"/>
  <c r="G137" i="3"/>
  <c r="AC137" i="3"/>
  <c r="H138" i="3"/>
  <c r="G138" i="3"/>
  <c r="AC138" i="3"/>
  <c r="H139" i="3"/>
  <c r="AC139" i="3"/>
  <c r="H140" i="3"/>
  <c r="G140" i="3"/>
  <c r="AC140" i="3"/>
  <c r="H141" i="3"/>
  <c r="AC141" i="3"/>
  <c r="G141" i="3"/>
  <c r="H142" i="3"/>
  <c r="G142" i="3"/>
  <c r="AC142" i="3"/>
  <c r="H143" i="3"/>
  <c r="G143" i="3"/>
  <c r="AC143" i="3"/>
  <c r="H144" i="3"/>
  <c r="AC144" i="3"/>
  <c r="G144" i="3"/>
  <c r="H145" i="3"/>
  <c r="AC145" i="3"/>
  <c r="H146" i="3"/>
  <c r="AC146" i="3"/>
  <c r="H147" i="3"/>
  <c r="G147" i="3"/>
  <c r="AC147" i="3"/>
  <c r="H148" i="3"/>
  <c r="AC148" i="3"/>
  <c r="G148" i="3"/>
  <c r="H149" i="3"/>
  <c r="AC149" i="3"/>
  <c r="H150" i="3"/>
  <c r="AC150" i="3"/>
  <c r="H151" i="3"/>
  <c r="G151" i="3"/>
  <c r="AC151" i="3"/>
  <c r="H152" i="3"/>
  <c r="AC152" i="3"/>
  <c r="G152" i="3"/>
  <c r="H153" i="3"/>
  <c r="G153" i="3"/>
  <c r="AC153" i="3"/>
  <c r="H154" i="3"/>
  <c r="AC154" i="3"/>
  <c r="H155" i="3"/>
  <c r="AC155" i="3"/>
  <c r="G155" i="3"/>
  <c r="H156" i="3"/>
  <c r="G156" i="3"/>
  <c r="AC156" i="3"/>
  <c r="H157" i="3"/>
  <c r="AC157" i="3"/>
  <c r="G157" i="3"/>
  <c r="H158" i="3"/>
  <c r="AC158" i="3"/>
  <c r="H159" i="3"/>
  <c r="AC159" i="3"/>
  <c r="H160" i="3"/>
  <c r="G160" i="3"/>
  <c r="AC160" i="3"/>
  <c r="H161" i="3"/>
  <c r="G161" i="3"/>
  <c r="AC161" i="3"/>
  <c r="H162" i="3"/>
  <c r="G162" i="3"/>
  <c r="AC162" i="3"/>
  <c r="H163" i="3"/>
  <c r="G163" i="3"/>
  <c r="AC163" i="3"/>
  <c r="H164" i="3"/>
  <c r="AC164" i="3"/>
  <c r="G164" i="3"/>
  <c r="H165" i="3"/>
  <c r="AC165" i="3"/>
  <c r="G165" i="3"/>
  <c r="H166" i="3"/>
  <c r="AC166" i="3"/>
  <c r="H167" i="3"/>
  <c r="AC167" i="3"/>
  <c r="H168" i="3"/>
  <c r="AC168" i="3"/>
  <c r="H169" i="3"/>
  <c r="G169" i="3"/>
  <c r="AC169" i="3"/>
  <c r="H170" i="3"/>
  <c r="AC170" i="3"/>
  <c r="G170" i="3"/>
  <c r="H171" i="3"/>
  <c r="AC171" i="3"/>
  <c r="H172" i="3"/>
  <c r="AC172" i="3"/>
  <c r="H173" i="3"/>
  <c r="AC173" i="3"/>
  <c r="H174" i="3"/>
  <c r="G174" i="3"/>
  <c r="AC174" i="3"/>
  <c r="H175" i="3"/>
  <c r="AC175" i="3"/>
  <c r="H176" i="3"/>
  <c r="G176" i="3"/>
  <c r="AC176" i="3"/>
  <c r="H177" i="3"/>
  <c r="AC177" i="3"/>
  <c r="H178" i="3"/>
  <c r="AC178" i="3"/>
  <c r="G178" i="3"/>
  <c r="H179" i="3"/>
  <c r="AC179" i="3"/>
  <c r="H180" i="3"/>
  <c r="AC180" i="3"/>
  <c r="G180" i="3"/>
  <c r="H181" i="3"/>
  <c r="AC181" i="3"/>
  <c r="G181" i="3"/>
  <c r="H182" i="3"/>
  <c r="AC182" i="3"/>
  <c r="H183" i="3"/>
  <c r="G183" i="3"/>
  <c r="AC183" i="3"/>
  <c r="H184" i="3"/>
  <c r="AC184" i="3"/>
  <c r="G184" i="3"/>
  <c r="H185" i="3"/>
  <c r="AC185" i="3"/>
  <c r="G185" i="3"/>
  <c r="H186" i="3"/>
  <c r="G186" i="3"/>
  <c r="AC186" i="3"/>
  <c r="H187" i="3"/>
  <c r="AC187" i="3"/>
  <c r="H188" i="3"/>
  <c r="AC188" i="3"/>
  <c r="G188" i="3"/>
  <c r="H189" i="3"/>
  <c r="AC189" i="3"/>
  <c r="H190" i="3"/>
  <c r="AC190" i="3"/>
  <c r="H191" i="3"/>
  <c r="G191" i="3"/>
  <c r="AC191" i="3"/>
  <c r="H192" i="3"/>
  <c r="G192" i="3"/>
  <c r="AC192" i="3"/>
  <c r="H193" i="3"/>
  <c r="G193" i="3"/>
  <c r="AC193" i="3"/>
  <c r="H194" i="3"/>
  <c r="AC194" i="3"/>
  <c r="H195" i="3"/>
  <c r="AC195" i="3"/>
  <c r="G195" i="3"/>
  <c r="H196" i="3"/>
  <c r="AC196" i="3"/>
  <c r="H197" i="3"/>
  <c r="AC197" i="3"/>
  <c r="G197" i="3"/>
  <c r="H198" i="3"/>
  <c r="AC198" i="3"/>
  <c r="H199" i="3"/>
  <c r="G199" i="3"/>
  <c r="AC199" i="3"/>
  <c r="H200" i="3"/>
  <c r="G200" i="3"/>
  <c r="AC200" i="3"/>
  <c r="H201" i="3"/>
  <c r="AC201" i="3"/>
  <c r="G201" i="3"/>
  <c r="H202" i="3"/>
  <c r="AC202" i="3"/>
  <c r="G202" i="3"/>
  <c r="H203" i="3"/>
  <c r="G203" i="3"/>
  <c r="AC203" i="3"/>
  <c r="H204" i="3"/>
  <c r="AC204" i="3"/>
  <c r="G204" i="3"/>
  <c r="H205" i="3"/>
  <c r="AC205" i="3"/>
  <c r="G205" i="3"/>
  <c r="H206" i="3"/>
  <c r="AC206" i="3"/>
  <c r="H207" i="3"/>
  <c r="G207" i="3"/>
  <c r="AC207" i="3"/>
  <c r="H208" i="3"/>
  <c r="AC208" i="3"/>
  <c r="H209" i="3"/>
  <c r="G209" i="3"/>
  <c r="AC209" i="3"/>
  <c r="H210" i="3"/>
  <c r="G210" i="3"/>
  <c r="AC210" i="3"/>
  <c r="H211" i="3"/>
  <c r="G211" i="3"/>
  <c r="AC211" i="3"/>
  <c r="H212" i="3"/>
  <c r="AC212" i="3"/>
  <c r="G212" i="3"/>
  <c r="H213" i="3"/>
  <c r="AC213" i="3"/>
  <c r="H214" i="3"/>
  <c r="G214" i="3"/>
  <c r="AC214" i="3"/>
  <c r="H215" i="3"/>
  <c r="AC215" i="3"/>
  <c r="G215" i="3"/>
  <c r="H216" i="3"/>
  <c r="AC216" i="3"/>
  <c r="G216" i="3"/>
  <c r="H217" i="3"/>
  <c r="G217" i="3"/>
  <c r="AC217" i="3"/>
  <c r="H218" i="3"/>
  <c r="AC218" i="3"/>
  <c r="H219" i="3"/>
  <c r="AC219" i="3"/>
  <c r="H220" i="3"/>
  <c r="AC220" i="3"/>
  <c r="H221" i="3"/>
  <c r="AC221" i="3"/>
  <c r="G221" i="3"/>
  <c r="H222" i="3"/>
  <c r="AC222" i="3"/>
  <c r="H223" i="3"/>
  <c r="G223" i="3"/>
  <c r="AC223" i="3"/>
  <c r="H224" i="3"/>
  <c r="AC224" i="3"/>
  <c r="G224" i="3"/>
  <c r="H225" i="3"/>
  <c r="G225" i="3"/>
  <c r="AC225" i="3"/>
  <c r="H226" i="3"/>
  <c r="G226" i="3"/>
  <c r="AC226" i="3"/>
  <c r="H227" i="3"/>
  <c r="G227" i="3"/>
  <c r="AC227" i="3"/>
  <c r="H228" i="3"/>
  <c r="AC228" i="3"/>
  <c r="G228" i="3"/>
  <c r="H229" i="3"/>
  <c r="AC229" i="3"/>
  <c r="G229" i="3"/>
  <c r="H230" i="3"/>
  <c r="G230" i="3"/>
  <c r="AC230" i="3"/>
  <c r="H231" i="3"/>
  <c r="AC231" i="3"/>
  <c r="G231" i="3"/>
  <c r="H232" i="3"/>
  <c r="AC232" i="3"/>
  <c r="G232" i="3"/>
  <c r="H233" i="3"/>
  <c r="AC233" i="3"/>
  <c r="H234" i="3"/>
  <c r="G234" i="3"/>
  <c r="AC234" i="3"/>
  <c r="H235" i="3"/>
  <c r="AC235" i="3"/>
  <c r="H236" i="3"/>
  <c r="AC236" i="3"/>
  <c r="G236" i="3"/>
  <c r="H237" i="3"/>
  <c r="G237" i="3"/>
  <c r="AC237" i="3"/>
  <c r="H238" i="3"/>
  <c r="AC238" i="3"/>
  <c r="H239" i="3"/>
  <c r="AC239" i="3"/>
  <c r="G239" i="3"/>
  <c r="H240" i="3"/>
  <c r="AC240" i="3"/>
  <c r="H241" i="3"/>
  <c r="AC241" i="3"/>
  <c r="H242" i="3"/>
  <c r="G242" i="3"/>
  <c r="AC242" i="3"/>
  <c r="H243" i="3"/>
  <c r="G243" i="3"/>
  <c r="AC243" i="3"/>
  <c r="H244" i="3"/>
  <c r="G244" i="3"/>
  <c r="AC244" i="3"/>
  <c r="H245" i="3"/>
  <c r="G245" i="3"/>
  <c r="AC245" i="3"/>
  <c r="H246" i="3"/>
  <c r="G246" i="3"/>
  <c r="AC246" i="3"/>
  <c r="H247" i="3"/>
  <c r="G247" i="3"/>
  <c r="AC247" i="3"/>
  <c r="H248" i="3"/>
  <c r="AC248" i="3"/>
  <c r="G248" i="3"/>
  <c r="H249" i="3"/>
  <c r="AC249" i="3"/>
  <c r="H250" i="3"/>
  <c r="AC250" i="3"/>
  <c r="H251" i="3"/>
  <c r="G251" i="3"/>
  <c r="AC251" i="3"/>
  <c r="H252" i="3"/>
  <c r="G252" i="3"/>
  <c r="AC252" i="3"/>
  <c r="H253" i="3"/>
  <c r="G253" i="3"/>
  <c r="AC253" i="3"/>
  <c r="H254" i="3"/>
  <c r="G254" i="3"/>
  <c r="AC254" i="3"/>
  <c r="H255" i="3"/>
  <c r="G255" i="3"/>
  <c r="AC255" i="3"/>
  <c r="H256" i="3"/>
  <c r="AC256" i="3"/>
  <c r="H257" i="3"/>
  <c r="G257" i="3"/>
  <c r="AC257" i="3"/>
  <c r="H258" i="3"/>
  <c r="AC258" i="3"/>
  <c r="H259" i="3"/>
  <c r="G259" i="3"/>
  <c r="AC259" i="3"/>
  <c r="H260" i="3"/>
  <c r="AC260" i="3"/>
  <c r="G260" i="3"/>
  <c r="H261" i="3"/>
  <c r="G261" i="3"/>
  <c r="AC261" i="3"/>
  <c r="H262" i="3"/>
  <c r="G262" i="3"/>
  <c r="AC262" i="3"/>
  <c r="H263" i="3"/>
  <c r="G263" i="3"/>
  <c r="AC263" i="3"/>
  <c r="H264" i="3"/>
  <c r="AC264" i="3"/>
  <c r="H265" i="3"/>
  <c r="AC265" i="3"/>
  <c r="H266" i="3"/>
  <c r="AC266" i="3"/>
  <c r="H267" i="3"/>
  <c r="AC267" i="3"/>
  <c r="H268" i="3"/>
  <c r="G268" i="3"/>
  <c r="AC268" i="3"/>
  <c r="H269" i="3"/>
  <c r="AC269" i="3"/>
  <c r="G269" i="3"/>
  <c r="H270" i="3"/>
  <c r="AC270" i="3"/>
  <c r="H271" i="3"/>
  <c r="G271" i="3"/>
  <c r="AC271" i="3"/>
  <c r="H272" i="3"/>
  <c r="AC272" i="3"/>
  <c r="H273" i="3"/>
  <c r="G273" i="3"/>
  <c r="AC273" i="3"/>
  <c r="H274" i="3"/>
  <c r="G274" i="3"/>
  <c r="AC274" i="3"/>
  <c r="H275" i="3"/>
  <c r="AC275" i="3"/>
  <c r="H276" i="3"/>
  <c r="AC276" i="3"/>
  <c r="G276" i="3"/>
  <c r="H277" i="3"/>
  <c r="G277" i="3"/>
  <c r="AC277" i="3"/>
  <c r="H278" i="3"/>
  <c r="AC278" i="3"/>
  <c r="H279" i="3"/>
  <c r="AC279" i="3"/>
  <c r="G279" i="3"/>
  <c r="H280" i="3"/>
  <c r="AC280" i="3"/>
  <c r="G280" i="3"/>
  <c r="H281" i="3"/>
  <c r="G281" i="3"/>
  <c r="AC281" i="3"/>
  <c r="H282" i="3"/>
  <c r="AC282" i="3"/>
  <c r="H283" i="3"/>
  <c r="AC283" i="3"/>
  <c r="H284" i="3"/>
  <c r="AC284" i="3"/>
  <c r="H285" i="3"/>
  <c r="AC285" i="3"/>
  <c r="G285" i="3"/>
  <c r="H286" i="3"/>
  <c r="AC286" i="3"/>
  <c r="H287" i="3"/>
  <c r="AC287" i="3"/>
  <c r="H288" i="3"/>
  <c r="AC288" i="3"/>
  <c r="H289" i="3"/>
  <c r="G289" i="3"/>
  <c r="AC289" i="3"/>
  <c r="H290" i="3"/>
  <c r="G290" i="3"/>
  <c r="AC290" i="3"/>
  <c r="H291" i="3"/>
  <c r="G291" i="3"/>
  <c r="AC291" i="3"/>
  <c r="H292" i="3"/>
  <c r="AC292" i="3"/>
  <c r="G292" i="3"/>
  <c r="H293" i="3"/>
  <c r="AC293" i="3"/>
  <c r="G293" i="3"/>
  <c r="H294" i="3"/>
  <c r="G294" i="3"/>
  <c r="AC294" i="3"/>
  <c r="H295" i="3"/>
  <c r="AC295" i="3"/>
  <c r="G295" i="3"/>
  <c r="H296" i="3"/>
  <c r="AC296" i="3"/>
  <c r="G296" i="3"/>
  <c r="H297" i="3"/>
  <c r="AC297" i="3"/>
  <c r="H298" i="3"/>
  <c r="G298" i="3"/>
  <c r="AC298" i="3"/>
  <c r="H299" i="3"/>
  <c r="AC299" i="3"/>
  <c r="H300" i="3"/>
  <c r="AC300" i="3"/>
  <c r="G300" i="3"/>
  <c r="H301" i="3"/>
  <c r="G301" i="3"/>
  <c r="AC301" i="3"/>
  <c r="H302" i="3"/>
  <c r="AC302" i="3"/>
  <c r="H303" i="3"/>
  <c r="AC303" i="3"/>
  <c r="G303" i="3"/>
  <c r="H304" i="3"/>
  <c r="AC304" i="3"/>
  <c r="H305" i="3"/>
  <c r="AC305" i="3"/>
  <c r="H306" i="3"/>
  <c r="G306" i="3"/>
  <c r="AC306" i="3"/>
  <c r="H307" i="3"/>
  <c r="G307" i="3"/>
  <c r="AC307" i="3"/>
  <c r="H308" i="3"/>
  <c r="G308" i="3"/>
  <c r="AC308" i="3"/>
  <c r="H309" i="3"/>
  <c r="G309" i="3"/>
  <c r="AC309" i="3"/>
  <c r="H310" i="3"/>
  <c r="G310" i="3"/>
  <c r="AC310" i="3"/>
  <c r="H311" i="3"/>
  <c r="G311" i="3"/>
  <c r="AC311" i="3"/>
  <c r="H312" i="3"/>
  <c r="AC312" i="3"/>
  <c r="G312" i="3"/>
  <c r="H313" i="3"/>
  <c r="AC313" i="3"/>
  <c r="H314" i="3"/>
  <c r="AC314" i="3"/>
  <c r="H315" i="3"/>
  <c r="G315" i="3"/>
  <c r="AC315" i="3"/>
  <c r="H316" i="3"/>
  <c r="G316" i="3"/>
  <c r="AC316" i="3"/>
  <c r="H317" i="3"/>
  <c r="G317" i="3"/>
  <c r="AC317" i="3"/>
  <c r="H318" i="3"/>
  <c r="G318" i="3"/>
  <c r="AC318" i="3"/>
  <c r="H319" i="3"/>
  <c r="G319" i="3"/>
  <c r="AC319" i="3"/>
  <c r="H320" i="3"/>
  <c r="AC320" i="3"/>
  <c r="H321" i="3"/>
  <c r="G321" i="3"/>
  <c r="AC321" i="3"/>
  <c r="H322" i="3"/>
  <c r="AC322" i="3"/>
  <c r="H323" i="3"/>
  <c r="G323" i="3"/>
  <c r="AC323" i="3"/>
  <c r="H324" i="3"/>
  <c r="G324" i="3"/>
  <c r="AC324" i="3"/>
  <c r="H325" i="3"/>
  <c r="G325" i="3"/>
  <c r="AC325" i="3"/>
  <c r="H326" i="3"/>
  <c r="G326" i="3"/>
  <c r="AC326" i="3"/>
  <c r="H327" i="3"/>
  <c r="AC327" i="3"/>
  <c r="G327" i="3"/>
  <c r="H328" i="3"/>
  <c r="AC328" i="3"/>
  <c r="H329" i="3"/>
  <c r="AC329" i="3"/>
  <c r="H330" i="3"/>
  <c r="AC330" i="3"/>
  <c r="H331" i="3"/>
  <c r="AC331" i="3"/>
  <c r="H332" i="3"/>
  <c r="G332" i="3"/>
  <c r="AC332" i="3"/>
  <c r="H333" i="3"/>
  <c r="AC333" i="3"/>
  <c r="G333" i="3"/>
  <c r="H334" i="3"/>
  <c r="AC334" i="3"/>
  <c r="H335" i="3"/>
  <c r="G335" i="3"/>
  <c r="AC335" i="3"/>
  <c r="H336" i="3"/>
  <c r="AC336" i="3"/>
  <c r="H337" i="3"/>
  <c r="G337" i="3"/>
  <c r="AC337" i="3"/>
  <c r="H338" i="3"/>
  <c r="G338" i="3"/>
  <c r="AC338" i="3"/>
  <c r="H339" i="3"/>
  <c r="G339" i="3"/>
  <c r="AC339" i="3"/>
  <c r="H340" i="3"/>
  <c r="AC340" i="3"/>
  <c r="G340" i="3"/>
  <c r="H341" i="3"/>
  <c r="G341" i="3"/>
  <c r="AC341" i="3"/>
  <c r="H342" i="3"/>
  <c r="G342" i="3"/>
  <c r="AC342" i="3"/>
  <c r="H343" i="3"/>
  <c r="AC343" i="3"/>
  <c r="H344" i="3"/>
  <c r="AC344" i="3"/>
  <c r="H345" i="3"/>
  <c r="G345" i="3"/>
  <c r="AC345" i="3"/>
  <c r="H346" i="3"/>
  <c r="G346" i="3"/>
  <c r="AC346" i="3"/>
  <c r="H347" i="3"/>
  <c r="G347" i="3"/>
  <c r="AC347" i="3"/>
  <c r="H348" i="3"/>
  <c r="AC348" i="3"/>
  <c r="G348" i="3"/>
  <c r="H349" i="3"/>
  <c r="G349" i="3"/>
  <c r="AC349" i="3"/>
  <c r="H350" i="3"/>
  <c r="G350" i="3"/>
  <c r="AC350" i="3"/>
  <c r="H351" i="3"/>
  <c r="AC351" i="3"/>
  <c r="H352" i="3"/>
  <c r="AC352" i="3"/>
  <c r="H353" i="3"/>
  <c r="G353" i="3"/>
  <c r="AC353" i="3"/>
  <c r="H354" i="3"/>
  <c r="G354" i="3"/>
  <c r="AC354" i="3"/>
  <c r="H355" i="3"/>
  <c r="G355" i="3"/>
  <c r="AC355" i="3"/>
  <c r="H356" i="3"/>
  <c r="G356" i="3"/>
  <c r="AC356" i="3"/>
  <c r="H357" i="3"/>
  <c r="G357" i="3"/>
  <c r="AC357" i="3"/>
  <c r="H358" i="3"/>
  <c r="G358" i="3"/>
  <c r="AC358" i="3"/>
  <c r="H359" i="3"/>
  <c r="AC359" i="3"/>
  <c r="H360" i="3"/>
  <c r="AC360" i="3"/>
  <c r="G360" i="3"/>
  <c r="H361" i="3"/>
  <c r="G361" i="3"/>
  <c r="AC361" i="3"/>
  <c r="H362" i="3"/>
  <c r="G362" i="3"/>
  <c r="AC362" i="3"/>
  <c r="H363" i="3"/>
  <c r="G363" i="3"/>
  <c r="AC363" i="3"/>
  <c r="H364" i="3"/>
  <c r="AC364" i="3"/>
  <c r="G364" i="3"/>
  <c r="H365" i="3"/>
  <c r="AC365" i="3"/>
  <c r="G365" i="3"/>
  <c r="H366" i="3"/>
  <c r="G366" i="3"/>
  <c r="AC366" i="3"/>
  <c r="H367" i="3"/>
  <c r="AC367" i="3"/>
  <c r="H368" i="3"/>
  <c r="AC368" i="3"/>
  <c r="H369" i="3"/>
  <c r="G369" i="3"/>
  <c r="AC369" i="3"/>
  <c r="H370" i="3"/>
  <c r="G370" i="3"/>
  <c r="AC370" i="3"/>
  <c r="H371" i="3"/>
  <c r="G371" i="3"/>
  <c r="AC371" i="3"/>
  <c r="H372" i="3"/>
  <c r="AC372" i="3"/>
  <c r="G372" i="3"/>
  <c r="H373" i="3"/>
  <c r="G373" i="3"/>
  <c r="AC373" i="3"/>
  <c r="H374" i="3"/>
  <c r="AC374" i="3"/>
  <c r="H375" i="3"/>
  <c r="AC375" i="3"/>
  <c r="H376" i="3"/>
  <c r="AC376" i="3"/>
  <c r="H377" i="3"/>
  <c r="G377" i="3"/>
  <c r="AC377" i="3"/>
  <c r="H378" i="3"/>
  <c r="G378" i="3"/>
  <c r="AC378" i="3"/>
  <c r="H379" i="3"/>
  <c r="G379" i="3"/>
  <c r="AC379" i="3"/>
  <c r="H380" i="3"/>
  <c r="AC380" i="3"/>
  <c r="G380" i="3"/>
  <c r="H381" i="3"/>
  <c r="G381" i="3"/>
  <c r="AC381" i="3"/>
  <c r="H382" i="3"/>
  <c r="G382" i="3"/>
  <c r="AC382" i="3"/>
  <c r="H383" i="3"/>
  <c r="AC383" i="3"/>
  <c r="H384" i="3"/>
  <c r="AC384" i="3"/>
  <c r="H385" i="3"/>
  <c r="G385" i="3"/>
  <c r="AC385" i="3"/>
  <c r="H386" i="3"/>
  <c r="G386" i="3"/>
  <c r="AC386" i="3"/>
  <c r="H387" i="3"/>
  <c r="G387" i="3"/>
  <c r="AC387" i="3"/>
  <c r="H388" i="3"/>
  <c r="G388" i="3"/>
  <c r="AC388" i="3"/>
  <c r="H389" i="3"/>
  <c r="G389" i="3"/>
  <c r="AC389" i="3"/>
  <c r="H390" i="3"/>
  <c r="G390" i="3"/>
  <c r="AC390" i="3"/>
  <c r="H391" i="3"/>
  <c r="AC391" i="3"/>
  <c r="H392" i="3"/>
  <c r="AC392" i="3"/>
  <c r="H393" i="3"/>
  <c r="G393" i="3"/>
  <c r="AC393" i="3"/>
  <c r="H394" i="3"/>
  <c r="G394" i="3"/>
  <c r="AC394" i="3"/>
  <c r="H395" i="3"/>
  <c r="G395" i="3"/>
  <c r="AC395" i="3"/>
  <c r="H396" i="3"/>
  <c r="AC396" i="3"/>
  <c r="G396" i="3"/>
  <c r="H397" i="3"/>
  <c r="AC397" i="3"/>
  <c r="G397" i="3"/>
  <c r="H398" i="3"/>
  <c r="G398" i="3"/>
  <c r="AC398" i="3"/>
  <c r="H399" i="3"/>
  <c r="AC399" i="3"/>
  <c r="H400" i="3"/>
  <c r="AC400" i="3"/>
  <c r="H401" i="3"/>
  <c r="G401" i="3"/>
  <c r="AC401" i="3"/>
  <c r="H402" i="3"/>
  <c r="G402" i="3"/>
  <c r="AC402" i="3"/>
  <c r="H403" i="3"/>
  <c r="G403" i="3"/>
  <c r="AC403" i="3"/>
  <c r="H404" i="3"/>
  <c r="AC404" i="3"/>
  <c r="G404" i="3"/>
  <c r="H405" i="3"/>
  <c r="AC405" i="3"/>
  <c r="H406" i="3"/>
  <c r="G406" i="3"/>
  <c r="AC406" i="3"/>
  <c r="H407" i="3"/>
  <c r="AC407" i="3"/>
  <c r="H408" i="3"/>
  <c r="AC408" i="3"/>
  <c r="H409" i="3"/>
  <c r="G409" i="3"/>
  <c r="AC409" i="3"/>
  <c r="H410" i="3"/>
  <c r="G410" i="3"/>
  <c r="AC410" i="3"/>
  <c r="H411" i="3"/>
  <c r="G411" i="3"/>
  <c r="AC411" i="3"/>
  <c r="H412" i="3"/>
  <c r="AC412" i="3"/>
  <c r="G412" i="3"/>
  <c r="H413" i="3"/>
  <c r="G413" i="3"/>
  <c r="AC413" i="3"/>
  <c r="H414" i="3"/>
  <c r="G414" i="3"/>
  <c r="AC414" i="3"/>
  <c r="H415" i="3"/>
  <c r="AC415" i="3"/>
  <c r="H416" i="3"/>
  <c r="AC416" i="3"/>
  <c r="H417" i="3"/>
  <c r="G417" i="3"/>
  <c r="AC417" i="3"/>
  <c r="H418" i="3"/>
  <c r="G418" i="3"/>
  <c r="AC418" i="3"/>
  <c r="H419" i="3"/>
  <c r="G419" i="3"/>
  <c r="AC419" i="3"/>
  <c r="H420" i="3"/>
  <c r="G420" i="3"/>
  <c r="AC420" i="3"/>
  <c r="H421" i="3"/>
  <c r="AC421" i="3"/>
  <c r="G421" i="3"/>
  <c r="H422" i="3"/>
  <c r="G422" i="3"/>
  <c r="AC422" i="3"/>
  <c r="H423" i="3"/>
  <c r="AC423" i="3"/>
  <c r="H424" i="3"/>
  <c r="AC424" i="3"/>
  <c r="H425" i="3"/>
  <c r="G425" i="3"/>
  <c r="AC425" i="3"/>
  <c r="H426" i="3"/>
  <c r="G426" i="3"/>
  <c r="AC426" i="3"/>
  <c r="H427" i="3"/>
  <c r="G427" i="3"/>
  <c r="AC427" i="3"/>
  <c r="H428" i="3"/>
  <c r="AC428" i="3"/>
  <c r="G428" i="3"/>
  <c r="H429" i="3"/>
  <c r="AC429" i="3"/>
  <c r="G429" i="3"/>
  <c r="H430" i="3"/>
  <c r="G430" i="3"/>
  <c r="AC430" i="3"/>
  <c r="H431" i="3"/>
  <c r="AC431" i="3"/>
  <c r="H432" i="3"/>
  <c r="AC432" i="3"/>
  <c r="H433" i="3"/>
  <c r="G433" i="3"/>
  <c r="AC433" i="3"/>
  <c r="H434" i="3"/>
  <c r="G434" i="3"/>
  <c r="AC434" i="3"/>
  <c r="H435" i="3"/>
  <c r="G435" i="3"/>
  <c r="AC435" i="3"/>
  <c r="H436" i="3"/>
  <c r="AC436" i="3"/>
  <c r="G436" i="3"/>
  <c r="H437" i="3"/>
  <c r="AC437" i="3"/>
  <c r="H438" i="3"/>
  <c r="G438" i="3"/>
  <c r="AC438" i="3"/>
  <c r="H439" i="3"/>
  <c r="AC439" i="3"/>
  <c r="H440" i="3"/>
  <c r="AC440" i="3"/>
  <c r="H441" i="3"/>
  <c r="G441" i="3"/>
  <c r="AC441" i="3"/>
  <c r="H442" i="3"/>
  <c r="G442" i="3"/>
  <c r="AC442" i="3"/>
  <c r="H443" i="3"/>
  <c r="G443" i="3"/>
  <c r="AC443" i="3"/>
  <c r="H444" i="3"/>
  <c r="G444" i="3"/>
  <c r="AC444" i="3"/>
  <c r="H445" i="3"/>
  <c r="G445" i="3"/>
  <c r="AC445" i="3"/>
  <c r="H446" i="3"/>
  <c r="G446" i="3"/>
  <c r="AC446" i="3"/>
  <c r="H447" i="3"/>
  <c r="AC447" i="3"/>
  <c r="H448" i="3"/>
  <c r="AC448" i="3"/>
  <c r="H449" i="3"/>
  <c r="G449" i="3"/>
  <c r="AC449" i="3"/>
  <c r="H450" i="3"/>
  <c r="G450" i="3"/>
  <c r="AC450" i="3"/>
  <c r="H451" i="3"/>
  <c r="G451" i="3"/>
  <c r="AC451" i="3"/>
  <c r="H452" i="3"/>
  <c r="G452" i="3"/>
  <c r="AC452" i="3"/>
  <c r="H453" i="3"/>
  <c r="AC453" i="3"/>
  <c r="G453" i="3"/>
  <c r="H454" i="3"/>
  <c r="G454" i="3"/>
  <c r="AC454" i="3"/>
  <c r="H455" i="3"/>
  <c r="AC455" i="3"/>
  <c r="H456" i="3"/>
  <c r="AC456" i="3"/>
  <c r="H457" i="3"/>
  <c r="G457" i="3"/>
  <c r="AC457" i="3"/>
  <c r="H458" i="3"/>
  <c r="G458" i="3"/>
  <c r="AC458" i="3"/>
  <c r="H459" i="3"/>
  <c r="G459" i="3"/>
  <c r="AC459" i="3"/>
  <c r="H460" i="3"/>
  <c r="AC460" i="3"/>
  <c r="G460" i="3"/>
  <c r="H461" i="3"/>
  <c r="AC461" i="3"/>
  <c r="G461" i="3"/>
  <c r="H462" i="3"/>
  <c r="G462" i="3"/>
  <c r="AC462" i="3"/>
  <c r="H463" i="3"/>
  <c r="AC463" i="3"/>
  <c r="H464" i="3"/>
  <c r="AC464" i="3"/>
  <c r="H465" i="3"/>
  <c r="G465" i="3"/>
  <c r="AC465" i="3"/>
  <c r="H466" i="3"/>
  <c r="G466" i="3"/>
  <c r="AC466" i="3"/>
  <c r="H467" i="3"/>
  <c r="G467" i="3"/>
  <c r="AC467" i="3"/>
  <c r="H468" i="3"/>
  <c r="AC468" i="3"/>
  <c r="G468" i="3"/>
  <c r="H469" i="3"/>
  <c r="AC469" i="3"/>
  <c r="H470" i="3"/>
  <c r="G470" i="3"/>
  <c r="AC470" i="3"/>
  <c r="H471" i="3"/>
  <c r="AC471" i="3"/>
  <c r="H472" i="3"/>
  <c r="AC472" i="3"/>
  <c r="G472" i="3"/>
  <c r="H473" i="3"/>
  <c r="G473" i="3"/>
  <c r="AC473" i="3"/>
  <c r="H474" i="3"/>
  <c r="G474" i="3"/>
  <c r="AC474" i="3"/>
  <c r="H475" i="3"/>
  <c r="G475" i="3"/>
  <c r="AC475" i="3"/>
  <c r="H476" i="3"/>
  <c r="AC476" i="3"/>
  <c r="H477" i="3"/>
  <c r="G477" i="3"/>
  <c r="AC477" i="3"/>
  <c r="H478" i="3"/>
  <c r="G478" i="3"/>
  <c r="AC478" i="3"/>
  <c r="H479" i="3"/>
  <c r="AC479" i="3"/>
  <c r="G479" i="3"/>
  <c r="H480" i="3"/>
  <c r="AC480" i="3"/>
  <c r="H481" i="3"/>
  <c r="G481" i="3"/>
  <c r="AC481" i="3"/>
  <c r="H482" i="3"/>
  <c r="G482" i="3"/>
  <c r="AC482" i="3"/>
  <c r="H483" i="3"/>
  <c r="AC483" i="3"/>
  <c r="H484" i="3"/>
  <c r="G484" i="3"/>
  <c r="AC484" i="3"/>
  <c r="H485" i="3"/>
  <c r="AC485" i="3"/>
  <c r="G485" i="3"/>
  <c r="H486" i="3"/>
  <c r="G486" i="3"/>
  <c r="AC486" i="3"/>
  <c r="H487" i="3"/>
  <c r="AC487" i="3"/>
  <c r="H488" i="3"/>
  <c r="AC488" i="3"/>
  <c r="H489" i="3"/>
  <c r="G489" i="3"/>
  <c r="AC489" i="3"/>
  <c r="H490" i="3"/>
  <c r="G490" i="3"/>
  <c r="AC490" i="3"/>
  <c r="H491" i="3"/>
  <c r="G491" i="3"/>
  <c r="AC491" i="3"/>
  <c r="H492" i="3"/>
  <c r="AC492" i="3"/>
  <c r="G492" i="3"/>
  <c r="H493" i="3"/>
  <c r="AC493" i="3"/>
  <c r="G493" i="3"/>
  <c r="H494" i="3"/>
  <c r="G494" i="3"/>
  <c r="AC494" i="3"/>
  <c r="H495" i="3"/>
  <c r="AC495" i="3"/>
  <c r="H496" i="3"/>
  <c r="AC496" i="3"/>
  <c r="G496" i="3"/>
  <c r="H497" i="3"/>
  <c r="G497" i="3"/>
  <c r="AC497" i="3"/>
  <c r="H498" i="3"/>
  <c r="G498" i="3"/>
  <c r="AC498" i="3"/>
  <c r="H499" i="3"/>
  <c r="AC499" i="3"/>
  <c r="H500" i="3"/>
  <c r="AC500" i="3"/>
  <c r="G500" i="3"/>
  <c r="H501" i="3"/>
  <c r="G501" i="3"/>
  <c r="AC501" i="3"/>
  <c r="H502" i="3"/>
  <c r="AC502" i="3"/>
  <c r="H503" i="3"/>
  <c r="AC503" i="3"/>
  <c r="G503" i="3"/>
  <c r="H504" i="3"/>
  <c r="G504" i="3"/>
  <c r="AC504" i="3"/>
  <c r="H505" i="3"/>
  <c r="G505" i="3"/>
  <c r="AC505" i="3"/>
  <c r="H506" i="3"/>
  <c r="G506" i="3"/>
  <c r="AC506" i="3"/>
  <c r="H507" i="3"/>
  <c r="G507" i="3"/>
  <c r="AC507" i="3"/>
  <c r="H508" i="3"/>
  <c r="G508" i="3"/>
  <c r="AC508" i="3"/>
  <c r="H509" i="3"/>
  <c r="G509" i="3"/>
  <c r="AC509" i="3"/>
  <c r="H510" i="3"/>
  <c r="G510" i="3"/>
  <c r="AC510" i="3"/>
  <c r="H511" i="3"/>
  <c r="AC511" i="3"/>
  <c r="H512" i="3"/>
  <c r="AC512" i="3"/>
  <c r="G512" i="3"/>
  <c r="H513" i="3"/>
  <c r="AC513" i="3"/>
  <c r="H514" i="3"/>
  <c r="AC514" i="3"/>
  <c r="H515" i="3"/>
  <c r="AC515" i="3"/>
  <c r="H516" i="3"/>
  <c r="G516" i="3"/>
  <c r="AC516" i="3"/>
  <c r="H517" i="3"/>
  <c r="G517" i="3"/>
  <c r="AC517" i="3"/>
  <c r="H518" i="3"/>
  <c r="G518" i="3"/>
  <c r="AC518" i="3"/>
  <c r="H519" i="3"/>
  <c r="AC519" i="3"/>
  <c r="G519" i="3"/>
  <c r="H520" i="3"/>
  <c r="AC520" i="3"/>
  <c r="G520" i="3"/>
  <c r="H521" i="3"/>
  <c r="G521" i="3"/>
  <c r="AC521" i="3"/>
  <c r="H522" i="3"/>
  <c r="G522" i="3"/>
  <c r="AC522" i="3"/>
  <c r="H523" i="3"/>
  <c r="AC523" i="3"/>
  <c r="H524" i="3"/>
  <c r="AC524" i="3"/>
  <c r="H525" i="3"/>
  <c r="G525" i="3"/>
  <c r="AC525" i="3"/>
  <c r="H526" i="3"/>
  <c r="G526" i="3"/>
  <c r="AC526" i="3"/>
  <c r="H527" i="3"/>
  <c r="AC527" i="3"/>
  <c r="G527" i="3"/>
  <c r="H528" i="3"/>
  <c r="G528" i="3"/>
  <c r="AC528" i="3"/>
  <c r="H529" i="3"/>
  <c r="AC529" i="3"/>
  <c r="H530" i="3"/>
  <c r="AC530" i="3"/>
  <c r="H531" i="3"/>
  <c r="AC531" i="3"/>
  <c r="G531" i="3"/>
  <c r="H532" i="3"/>
  <c r="G532" i="3"/>
  <c r="AC532" i="3"/>
  <c r="H533" i="3"/>
  <c r="AC533" i="3"/>
  <c r="G533" i="3"/>
  <c r="H534" i="3"/>
  <c r="G534" i="3"/>
  <c r="AC534" i="3"/>
  <c r="H535" i="3"/>
  <c r="AC535" i="3"/>
  <c r="H536" i="3"/>
  <c r="AC536" i="3"/>
  <c r="G536" i="3"/>
  <c r="H537" i="3"/>
  <c r="AC537" i="3"/>
  <c r="H538" i="3"/>
  <c r="G538" i="3"/>
  <c r="AC538" i="3"/>
  <c r="H539" i="3"/>
  <c r="AC539" i="3"/>
  <c r="H540" i="3"/>
  <c r="AC540" i="3"/>
  <c r="G540" i="3"/>
  <c r="H541" i="3"/>
  <c r="G541" i="3"/>
  <c r="AC541" i="3"/>
  <c r="H542" i="3"/>
  <c r="G542" i="3"/>
  <c r="AC542" i="3"/>
  <c r="H543" i="3"/>
  <c r="AC543" i="3"/>
  <c r="H544" i="3"/>
  <c r="AC544" i="3"/>
  <c r="G544" i="3"/>
  <c r="H545" i="3"/>
  <c r="G545" i="3"/>
  <c r="AC545" i="3"/>
  <c r="H546" i="3"/>
  <c r="AC546" i="3"/>
  <c r="H547" i="3"/>
  <c r="AC547" i="3"/>
  <c r="G547" i="3"/>
  <c r="H548" i="3"/>
  <c r="AC548" i="3"/>
  <c r="H549" i="3"/>
  <c r="AC549" i="3"/>
  <c r="G549" i="3"/>
  <c r="H550" i="3"/>
  <c r="AC550" i="3"/>
  <c r="H551" i="3"/>
  <c r="AC551" i="3"/>
  <c r="H552" i="3"/>
  <c r="G552" i="3"/>
  <c r="AC552" i="3"/>
  <c r="H553" i="3"/>
  <c r="G553" i="3"/>
  <c r="AC553" i="3"/>
  <c r="H554" i="3"/>
  <c r="G554" i="3"/>
  <c r="AC554" i="3"/>
  <c r="H555" i="3"/>
  <c r="AC555" i="3"/>
  <c r="H556" i="3"/>
  <c r="AC556" i="3"/>
  <c r="G556" i="3"/>
  <c r="H557" i="3"/>
  <c r="AC557" i="3"/>
  <c r="G557" i="3"/>
  <c r="H558" i="3"/>
  <c r="G558" i="3"/>
  <c r="AC558" i="3"/>
  <c r="H559" i="3"/>
  <c r="AC559" i="3"/>
  <c r="H560" i="3"/>
  <c r="AC560" i="3"/>
  <c r="G560" i="3"/>
  <c r="H561" i="3"/>
  <c r="AC561" i="3"/>
  <c r="H562" i="3"/>
  <c r="G562" i="3"/>
  <c r="AC562" i="3"/>
  <c r="H563" i="3"/>
  <c r="AC563" i="3"/>
  <c r="G563" i="3"/>
  <c r="H564" i="3"/>
  <c r="AC564" i="3"/>
  <c r="G564" i="3"/>
  <c r="H565" i="3"/>
  <c r="G565" i="3"/>
  <c r="AC565" i="3"/>
  <c r="H566" i="3"/>
  <c r="AC566" i="3"/>
  <c r="H567" i="3"/>
  <c r="AC567" i="3"/>
  <c r="G567" i="3"/>
  <c r="H568" i="3"/>
  <c r="G568" i="3"/>
  <c r="AC568" i="3"/>
  <c r="H569" i="3"/>
  <c r="G569" i="3"/>
  <c r="AC569" i="3"/>
  <c r="H570" i="3"/>
  <c r="G570" i="3"/>
  <c r="AC570" i="3"/>
  <c r="H571" i="3"/>
  <c r="AC571" i="3"/>
  <c r="H572" i="3"/>
  <c r="G572" i="3"/>
  <c r="AC572" i="3"/>
  <c r="H573" i="3"/>
  <c r="AC573" i="3"/>
  <c r="G573" i="3"/>
  <c r="H574" i="3"/>
  <c r="G574" i="3"/>
  <c r="AC574" i="3"/>
  <c r="H575" i="3"/>
  <c r="AC575" i="3"/>
  <c r="H576" i="3"/>
  <c r="AC576" i="3"/>
  <c r="G576" i="3"/>
  <c r="H577" i="3"/>
  <c r="AC577" i="3"/>
  <c r="H578" i="3"/>
  <c r="G578" i="3"/>
  <c r="AC578" i="3"/>
  <c r="H579" i="3"/>
  <c r="AC579" i="3"/>
  <c r="H580" i="3"/>
  <c r="AC580" i="3"/>
  <c r="G580" i="3"/>
  <c r="H581" i="3"/>
  <c r="AC581" i="3"/>
  <c r="G581" i="3"/>
  <c r="H582" i="3"/>
  <c r="G582" i="3"/>
  <c r="AC582" i="3"/>
  <c r="H583" i="3"/>
  <c r="AC583" i="3"/>
  <c r="G583" i="3"/>
  <c r="H584" i="3"/>
  <c r="AC584" i="3"/>
  <c r="G584" i="3"/>
  <c r="H585" i="3"/>
  <c r="G585" i="3"/>
  <c r="AC585" i="3"/>
  <c r="H586" i="3"/>
  <c r="G586" i="3"/>
  <c r="AC586" i="3"/>
  <c r="H587" i="3"/>
  <c r="AC587" i="3"/>
  <c r="AT5" i="3"/>
  <c r="AD13" i="71"/>
  <c r="AG13" i="71"/>
  <c r="AH13" i="71"/>
  <c r="AE13" i="71"/>
  <c r="AF13" i="71"/>
  <c r="X11" i="71"/>
  <c r="AB12" i="71"/>
  <c r="AA12" i="71"/>
  <c r="Y11" i="71"/>
  <c r="Z11" i="71"/>
  <c r="Y12" i="71"/>
  <c r="Z12" i="71"/>
  <c r="V13" i="71"/>
  <c r="AB13" i="71"/>
  <c r="Y13" i="71"/>
  <c r="Z13" i="71"/>
  <c r="X13" i="71"/>
  <c r="AA13" i="71"/>
  <c r="A2" i="53"/>
  <c r="B19" i="72"/>
  <c r="K59" i="67"/>
  <c r="P74" i="67"/>
  <c r="K59" i="15"/>
  <c r="D116" i="39"/>
  <c r="E116" i="39"/>
  <c r="F116" i="39"/>
  <c r="G116" i="39"/>
  <c r="H116" i="39"/>
  <c r="I116" i="39"/>
  <c r="J116" i="39"/>
  <c r="K116" i="39"/>
  <c r="L116" i="39"/>
  <c r="M116" i="39"/>
  <c r="C116" i="39"/>
  <c r="A21" i="62"/>
  <c r="A20" i="62"/>
  <c r="A22" i="51"/>
  <c r="A21" i="51"/>
  <c r="B16" i="72"/>
  <c r="A20" i="51"/>
  <c r="A14" i="62"/>
  <c r="B60" i="72"/>
  <c r="A13" i="62"/>
  <c r="B59" i="72"/>
  <c r="A19" i="62"/>
  <c r="A12" i="62"/>
  <c r="B58" i="72"/>
  <c r="A120" i="9"/>
  <c r="H2" i="52"/>
  <c r="A1" i="52"/>
  <c r="A3" i="53"/>
  <c r="A15" i="51"/>
  <c r="B12" i="72"/>
  <c r="C76" i="9"/>
  <c r="I107" i="40"/>
  <c r="K6" i="4"/>
  <c r="B22" i="31"/>
  <c r="N56" i="9"/>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0" i="43"/>
  <c r="Z9" i="43"/>
  <c r="Z10" i="43"/>
  <c r="AI10" i="43"/>
  <c r="AB10" i="43"/>
  <c r="AJ10" i="43"/>
  <c r="K49" i="9"/>
  <c r="E107" i="9"/>
  <c r="A122" i="9"/>
  <c r="A8" i="52"/>
  <c r="E111" i="9"/>
  <c r="A126" i="9"/>
  <c r="E109" i="9"/>
  <c r="A124" i="9"/>
  <c r="B44" i="72"/>
  <c r="B42" i="72"/>
  <c r="B69" i="72"/>
  <c r="B68" i="72"/>
  <c r="B63" i="72"/>
  <c r="B62" i="72"/>
  <c r="B65" i="72"/>
  <c r="B67" i="72"/>
  <c r="B66" i="72"/>
  <c r="B10" i="72"/>
  <c r="C53" i="10"/>
  <c r="B51" i="10"/>
  <c r="A18" i="51"/>
  <c r="B13" i="72"/>
  <c r="B49" i="48"/>
  <c r="B5" i="72"/>
  <c r="I19" i="43"/>
  <c r="D78" i="71"/>
  <c r="F77" i="71"/>
  <c r="E77" i="71"/>
  <c r="E76" i="71"/>
  <c r="E75" i="71"/>
  <c r="C77" i="71"/>
  <c r="D77" i="71"/>
  <c r="B77" i="71"/>
  <c r="B76" i="71"/>
  <c r="B75" i="71"/>
  <c r="F76" i="71"/>
  <c r="F75" i="71"/>
  <c r="D74" i="71"/>
  <c r="F73" i="71"/>
  <c r="F72" i="71"/>
  <c r="F71" i="71"/>
  <c r="E73" i="71"/>
  <c r="E72" i="71"/>
  <c r="E71" i="71"/>
  <c r="C73" i="71"/>
  <c r="D73" i="71"/>
  <c r="B73" i="71"/>
  <c r="B72" i="71"/>
  <c r="B71" i="71"/>
  <c r="D70" i="71"/>
  <c r="Q69" i="71"/>
  <c r="P69" i="71"/>
  <c r="O69" i="71"/>
  <c r="N69" i="71"/>
  <c r="F69" i="71"/>
  <c r="F68" i="71"/>
  <c r="F67" i="71"/>
  <c r="V69" i="71"/>
  <c r="E69" i="71"/>
  <c r="U69" i="71"/>
  <c r="C69" i="71"/>
  <c r="T69" i="71"/>
  <c r="B69" i="71"/>
  <c r="Q68" i="71"/>
  <c r="P68" i="71"/>
  <c r="O68" i="71"/>
  <c r="N68" i="71"/>
  <c r="Q67" i="71"/>
  <c r="P67" i="71"/>
  <c r="O67" i="71"/>
  <c r="N67" i="71"/>
  <c r="Q66" i="71"/>
  <c r="P66" i="71"/>
  <c r="O66" i="71"/>
  <c r="N66" i="71"/>
  <c r="D66" i="71"/>
  <c r="Q65" i="71"/>
  <c r="P65" i="71"/>
  <c r="O65" i="71"/>
  <c r="N65" i="71"/>
  <c r="F65" i="71"/>
  <c r="V65" i="71"/>
  <c r="E65" i="71"/>
  <c r="U65" i="71"/>
  <c r="C65" i="71"/>
  <c r="C64" i="71"/>
  <c r="B65" i="71"/>
  <c r="Q64" i="71"/>
  <c r="P64" i="71"/>
  <c r="O64" i="71"/>
  <c r="N64" i="71"/>
  <c r="F64" i="71"/>
  <c r="F63" i="71"/>
  <c r="Q63" i="71"/>
  <c r="P63" i="71"/>
  <c r="O63" i="71"/>
  <c r="N63" i="71"/>
  <c r="Q62" i="71"/>
  <c r="P62" i="71"/>
  <c r="O62" i="71"/>
  <c r="N62" i="71"/>
  <c r="D62" i="71"/>
  <c r="Q61" i="71"/>
  <c r="P61" i="71"/>
  <c r="O61" i="71"/>
  <c r="N61" i="71"/>
  <c r="F61" i="71"/>
  <c r="F60" i="71"/>
  <c r="F59" i="71"/>
  <c r="E61" i="71"/>
  <c r="U61" i="71"/>
  <c r="C61" i="71"/>
  <c r="B61" i="71"/>
  <c r="B60" i="71"/>
  <c r="Q60" i="71"/>
  <c r="P60" i="71"/>
  <c r="O60" i="71"/>
  <c r="N60" i="71"/>
  <c r="B59" i="71"/>
  <c r="Q59" i="71"/>
  <c r="P59" i="71"/>
  <c r="O59" i="71"/>
  <c r="N59" i="71"/>
  <c r="Q58" i="71"/>
  <c r="P58" i="71"/>
  <c r="O58" i="71"/>
  <c r="N58" i="71"/>
  <c r="D58" i="71"/>
  <c r="F57" i="71"/>
  <c r="E57" i="71"/>
  <c r="P57" i="71"/>
  <c r="C57" i="71"/>
  <c r="B57" i="71"/>
  <c r="B56" i="71"/>
  <c r="S57" i="71"/>
  <c r="D54" i="71"/>
  <c r="Q53" i="71"/>
  <c r="P53" i="71"/>
  <c r="O53" i="71"/>
  <c r="N53" i="71"/>
  <c r="Q52" i="71"/>
  <c r="P52" i="71"/>
  <c r="O52" i="71"/>
  <c r="N52" i="71"/>
  <c r="Q51" i="71"/>
  <c r="P51" i="71"/>
  <c r="O51" i="71"/>
  <c r="N51" i="71"/>
  <c r="Q50" i="71"/>
  <c r="F51"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E48" i="71"/>
  <c r="E49" i="71"/>
  <c r="U49"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P42" i="71"/>
  <c r="E43" i="71"/>
  <c r="N42" i="71"/>
  <c r="B43" i="71"/>
  <c r="D42" i="71"/>
  <c r="Q41" i="71"/>
  <c r="P41" i="71"/>
  <c r="O41" i="71"/>
  <c r="N41" i="71"/>
  <c r="Q40" i="71"/>
  <c r="P40" i="71"/>
  <c r="O40" i="71"/>
  <c r="N40" i="71"/>
  <c r="Q39" i="71"/>
  <c r="P39" i="71"/>
  <c r="O39" i="71"/>
  <c r="N39" i="71"/>
  <c r="Q38" i="71"/>
  <c r="F39" i="71"/>
  <c r="P38" i="71"/>
  <c r="E39" i="71"/>
  <c r="O38" i="71"/>
  <c r="C39" i="71"/>
  <c r="N38" i="71"/>
  <c r="B39" i="71"/>
  <c r="B40"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D34" i="71"/>
  <c r="Q33" i="71"/>
  <c r="P33" i="71"/>
  <c r="O33" i="71"/>
  <c r="N33" i="71"/>
  <c r="Q32" i="71"/>
  <c r="P32" i="71"/>
  <c r="O32" i="71"/>
  <c r="N32" i="71"/>
  <c r="Q31" i="71"/>
  <c r="P31" i="71"/>
  <c r="O31" i="71"/>
  <c r="C32" i="71"/>
  <c r="N31" i="71"/>
  <c r="Q30" i="71"/>
  <c r="F31" i="71"/>
  <c r="F32" i="71"/>
  <c r="F33" i="71"/>
  <c r="V33" i="71"/>
  <c r="P30" i="71"/>
  <c r="E31" i="71"/>
  <c r="E32" i="71"/>
  <c r="E33" i="71"/>
  <c r="U33" i="71"/>
  <c r="O30" i="71"/>
  <c r="C31" i="71"/>
  <c r="D31" i="71"/>
  <c r="N30" i="71"/>
  <c r="B31"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E23" i="71"/>
  <c r="E24" i="71"/>
  <c r="E25" i="71"/>
  <c r="U25" i="71"/>
  <c r="AA22" i="71"/>
  <c r="C19" i="71"/>
  <c r="D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C17" i="71"/>
  <c r="T17" i="71"/>
  <c r="Y3" i="71"/>
  <c r="Z3" i="71"/>
  <c r="Y14" i="71"/>
  <c r="Z14" i="71"/>
  <c r="Y15" i="71"/>
  <c r="Z15" i="71"/>
  <c r="Y16" i="71"/>
  <c r="Z16" i="71"/>
  <c r="Y17" i="71"/>
  <c r="Z17" i="71"/>
  <c r="B17" i="71"/>
  <c r="B16" i="71"/>
  <c r="B15" i="71"/>
  <c r="X14" i="71"/>
  <c r="X15" i="71"/>
  <c r="X16" i="71"/>
  <c r="X17" i="71"/>
  <c r="C20" i="71"/>
  <c r="D23" i="71"/>
  <c r="E44" i="71"/>
  <c r="E45" i="71"/>
  <c r="U45" i="71"/>
  <c r="T57" i="71"/>
  <c r="O57" i="71"/>
  <c r="D57" i="71"/>
  <c r="C56" i="71"/>
  <c r="Q57" i="71"/>
  <c r="E64" i="71"/>
  <c r="E63" i="71"/>
  <c r="D65" i="71"/>
  <c r="C68" i="71"/>
  <c r="D68" i="71"/>
  <c r="D69" i="71"/>
  <c r="C72" i="71"/>
  <c r="C76" i="71"/>
  <c r="C75" i="71"/>
  <c r="D75" i="71"/>
  <c r="C16" i="71"/>
  <c r="F17" i="71"/>
  <c r="F16" i="71"/>
  <c r="F15" i="71"/>
  <c r="AB14" i="71"/>
  <c r="AB15" i="71"/>
  <c r="AB16" i="71"/>
  <c r="AB17" i="71"/>
  <c r="E17" i="71"/>
  <c r="E16" i="71"/>
  <c r="E15" i="71"/>
  <c r="AA3" i="71"/>
  <c r="AA14" i="71"/>
  <c r="AA15" i="71"/>
  <c r="AA16" i="71"/>
  <c r="AA17" i="71"/>
  <c r="D17" i="71"/>
  <c r="U17" i="71"/>
  <c r="D76" i="71"/>
  <c r="C67" i="71"/>
  <c r="D67" i="71"/>
  <c r="C21" i="71"/>
  <c r="D20" i="71"/>
  <c r="V17" i="71"/>
  <c r="O27" i="6"/>
  <c r="N27" i="6"/>
  <c r="P20" i="6"/>
  <c r="P21" i="6"/>
  <c r="P27" i="6"/>
  <c r="P22" i="6"/>
  <c r="P23" i="6"/>
  <c r="P24" i="6"/>
  <c r="P25" i="6"/>
  <c r="P26" i="6"/>
  <c r="P19" i="6"/>
  <c r="AP8" i="1"/>
  <c r="AP9" i="1"/>
  <c r="AP10" i="1"/>
  <c r="AP11" i="1"/>
  <c r="AP12" i="1"/>
  <c r="AP13" i="1"/>
  <c r="L21" i="6"/>
  <c r="L22" i="6"/>
  <c r="L23" i="6"/>
  <c r="L24" i="6"/>
  <c r="L25" i="6"/>
  <c r="L26" i="6"/>
  <c r="A7" i="70"/>
  <c r="A8" i="70"/>
  <c r="A9" i="70"/>
  <c r="A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F18" i="36"/>
  <c r="AA18" i="36"/>
  <c r="C18" i="36"/>
  <c r="Q18" i="35"/>
  <c r="Z18" i="35"/>
  <c r="D68" i="35"/>
  <c r="E68" i="35"/>
  <c r="F68" i="35"/>
  <c r="G68" i="35"/>
  <c r="F18" i="35"/>
  <c r="AA18" i="35"/>
  <c r="C18" i="35"/>
  <c r="Q21" i="37"/>
  <c r="Z21" i="37"/>
  <c r="D77" i="37"/>
  <c r="E77" i="37"/>
  <c r="F77" i="37"/>
  <c r="G77" i="37"/>
  <c r="C21" i="37"/>
  <c r="Q21" i="34"/>
  <c r="Z21" i="34"/>
  <c r="D84" i="34"/>
  <c r="E84" i="34"/>
  <c r="F84" i="34"/>
  <c r="F21" i="34"/>
  <c r="AA21" i="34"/>
  <c r="C21" i="34"/>
  <c r="Q21" i="33"/>
  <c r="Z21" i="33"/>
  <c r="D83" i="33"/>
  <c r="E83" i="33"/>
  <c r="F83" i="33"/>
  <c r="G83" i="33"/>
  <c r="C21" i="33"/>
  <c r="C21" i="21"/>
  <c r="Q21" i="21"/>
  <c r="Z21" i="21"/>
  <c r="D81" i="21"/>
  <c r="E81" i="21"/>
  <c r="F81" i="21"/>
  <c r="H19" i="21"/>
  <c r="D83" i="21"/>
  <c r="F21" i="21"/>
  <c r="AA21" i="21"/>
  <c r="G20" i="20"/>
  <c r="C22" i="20"/>
  <c r="B75" i="43"/>
  <c r="B55" i="43"/>
  <c r="B66" i="43"/>
  <c r="C29" i="39"/>
  <c r="S25" i="40"/>
  <c r="S21" i="34"/>
  <c r="H25" i="40"/>
  <c r="U25" i="40"/>
  <c r="J25" i="40"/>
  <c r="AC25" i="40"/>
  <c r="F103" i="39"/>
  <c r="G103" i="39"/>
  <c r="H29" i="39"/>
  <c r="AB29" i="39"/>
  <c r="J29" i="39"/>
  <c r="AC29" i="39"/>
  <c r="J18" i="36"/>
  <c r="H18" i="35"/>
  <c r="S18" i="35"/>
  <c r="J18" i="35"/>
  <c r="H21" i="37"/>
  <c r="U21" i="37"/>
  <c r="F21" i="37"/>
  <c r="S21" i="37"/>
  <c r="H21" i="34"/>
  <c r="H21" i="33"/>
  <c r="F21" i="33"/>
  <c r="S21" i="33"/>
  <c r="E83" i="21"/>
  <c r="F83" i="21"/>
  <c r="G83" i="21"/>
  <c r="S21" i="21"/>
  <c r="H1" i="69"/>
  <c r="W25" i="40"/>
  <c r="AB25" i="40"/>
  <c r="AC18" i="36"/>
  <c r="W18" i="36"/>
  <c r="AB21" i="37"/>
  <c r="U21" i="33"/>
  <c r="AB21" i="33"/>
  <c r="AA21" i="33"/>
  <c r="AC18" i="35"/>
  <c r="W18" i="35"/>
  <c r="J21" i="37"/>
  <c r="W21" i="37"/>
  <c r="G84" i="34"/>
  <c r="J21" i="34"/>
  <c r="AC21" i="34"/>
  <c r="J21" i="33"/>
  <c r="AC21" i="33"/>
  <c r="H21" i="21"/>
  <c r="AB21" i="21"/>
  <c r="F38" i="69"/>
  <c r="E37" i="69"/>
  <c r="F36" i="69"/>
  <c r="F35" i="69"/>
  <c r="F21" i="69"/>
  <c r="C21" i="69"/>
  <c r="F20" i="69"/>
  <c r="E10" i="69"/>
  <c r="E9" i="69"/>
  <c r="C7" i="69"/>
  <c r="W21" i="34"/>
  <c r="J21" i="21"/>
  <c r="W21" i="21"/>
  <c r="C40" i="69"/>
  <c r="F38" i="68"/>
  <c r="E37" i="68"/>
  <c r="F36" i="68"/>
  <c r="F35" i="68"/>
  <c r="F21" i="68"/>
  <c r="C21" i="68"/>
  <c r="F20" i="68"/>
  <c r="E10" i="68"/>
  <c r="E9" i="68"/>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5" i="66"/>
  <c r="I12" i="66"/>
  <c r="I9" i="66"/>
  <c r="I8" i="66"/>
  <c r="I7" i="66"/>
  <c r="I6" i="66"/>
  <c r="I5" i="66"/>
  <c r="I4" i="66"/>
  <c r="I3" i="66"/>
  <c r="D1" i="43"/>
  <c r="F113" i="43"/>
  <c r="G2" i="43"/>
  <c r="H113" i="43"/>
  <c r="N99" i="43"/>
  <c r="N108" i="43"/>
  <c r="D99" i="43"/>
  <c r="E99" i="43"/>
  <c r="E108" i="43"/>
  <c r="F99" i="43"/>
  <c r="F108" i="43"/>
  <c r="G99" i="43"/>
  <c r="G100" i="43"/>
  <c r="H99" i="43"/>
  <c r="H108" i="43"/>
  <c r="I99" i="43"/>
  <c r="I108" i="43"/>
  <c r="J99" i="43"/>
  <c r="J108" i="43"/>
  <c r="K99" i="43"/>
  <c r="K108" i="43"/>
  <c r="L99" i="43"/>
  <c r="L100" i="43"/>
  <c r="L108" i="43"/>
  <c r="M99" i="43"/>
  <c r="M100" i="43"/>
  <c r="C99" i="43"/>
  <c r="C108"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B2" i="1"/>
  <c r="F15" i="4"/>
  <c r="E15" i="4"/>
  <c r="F8" i="1"/>
  <c r="H15" i="4"/>
  <c r="F9" i="1"/>
  <c r="G15" i="4"/>
  <c r="F10" i="1"/>
  <c r="F11" i="1"/>
  <c r="F12" i="1"/>
  <c r="F13" i="1"/>
  <c r="D6" i="1"/>
  <c r="D9" i="1"/>
  <c r="D10" i="1"/>
  <c r="D11" i="1"/>
  <c r="D12" i="1"/>
  <c r="D13" i="1"/>
  <c r="D7" i="1"/>
  <c r="D8" i="1"/>
  <c r="A7" i="1"/>
  <c r="A8" i="1"/>
  <c r="B8" i="1"/>
  <c r="E8" i="1"/>
  <c r="A9" i="1"/>
  <c r="A10" i="1"/>
  <c r="A11" i="1"/>
  <c r="B11" i="1"/>
  <c r="E11" i="1"/>
  <c r="A12" i="1"/>
  <c r="A13" i="1"/>
  <c r="B13" i="1"/>
  <c r="E13" i="1"/>
  <c r="A6" i="1"/>
  <c r="B7" i="1"/>
  <c r="E7"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S26" i="31"/>
  <c r="R27" i="31"/>
  <c r="R28" i="31"/>
  <c r="R29" i="31"/>
  <c r="S29" i="31"/>
  <c r="R30" i="31"/>
  <c r="S30" i="31"/>
  <c r="R31" i="31"/>
  <c r="R32" i="31"/>
  <c r="S32" i="31"/>
  <c r="R33" i="31"/>
  <c r="R34" i="31"/>
  <c r="S34" i="31"/>
  <c r="R35" i="31"/>
  <c r="S35" i="31"/>
  <c r="R36" i="31"/>
  <c r="S36" i="31"/>
  <c r="R37" i="31"/>
  <c r="S37" i="31"/>
  <c r="R38" i="31"/>
  <c r="S38" i="31"/>
  <c r="R39" i="31"/>
  <c r="R40" i="31"/>
  <c r="S40" i="31"/>
  <c r="R41" i="31"/>
  <c r="R42" i="31"/>
  <c r="S42" i="31"/>
  <c r="R43" i="31"/>
  <c r="S43" i="31"/>
  <c r="R44" i="31"/>
  <c r="S44" i="31"/>
  <c r="R45" i="31"/>
  <c r="S45" i="31"/>
  <c r="R46" i="31"/>
  <c r="S46" i="31"/>
  <c r="R47" i="31"/>
  <c r="R48" i="31"/>
  <c r="S48" i="31"/>
  <c r="R49" i="31"/>
  <c r="R50" i="31"/>
  <c r="S50" i="31"/>
  <c r="R51" i="31"/>
  <c r="R52" i="31"/>
  <c r="S52" i="31"/>
  <c r="R53" i="31"/>
  <c r="S53" i="31"/>
  <c r="R54" i="31"/>
  <c r="S54" i="31"/>
  <c r="R55" i="31"/>
  <c r="R56" i="31"/>
  <c r="S56" i="31"/>
  <c r="R57" i="31"/>
  <c r="R58" i="31"/>
  <c r="S58" i="31"/>
  <c r="R59" i="31"/>
  <c r="R60" i="31"/>
  <c r="S60" i="31"/>
  <c r="R61" i="31"/>
  <c r="S61" i="31"/>
  <c r="R62" i="31"/>
  <c r="S62" i="31"/>
  <c r="R63" i="31"/>
  <c r="R64" i="31"/>
  <c r="S64" i="31"/>
  <c r="R65" i="31"/>
  <c r="R66" i="31"/>
  <c r="S66" i="31"/>
  <c r="R67" i="31"/>
  <c r="S67" i="31"/>
  <c r="R68" i="31"/>
  <c r="S68" i="31"/>
  <c r="R69" i="31"/>
  <c r="S69" i="31"/>
  <c r="R70" i="31"/>
  <c r="S70" i="31"/>
  <c r="R71" i="31"/>
  <c r="R72" i="31"/>
  <c r="S72" i="31"/>
  <c r="R73" i="31"/>
  <c r="R74" i="31"/>
  <c r="S74" i="31"/>
  <c r="R75" i="31"/>
  <c r="R76" i="31"/>
  <c r="S76" i="31"/>
  <c r="R77" i="31"/>
  <c r="R78" i="31"/>
  <c r="S78" i="31"/>
  <c r="R79" i="31"/>
  <c r="R80" i="31"/>
  <c r="S80" i="31"/>
  <c r="R81" i="31"/>
  <c r="R82" i="31"/>
  <c r="S82" i="31"/>
  <c r="R83" i="31"/>
  <c r="R84" i="31"/>
  <c r="S84" i="31"/>
  <c r="R85" i="31"/>
  <c r="S85" i="31"/>
  <c r="R86" i="31"/>
  <c r="S86" i="31"/>
  <c r="R87" i="31"/>
  <c r="R88" i="31"/>
  <c r="S88" i="31"/>
  <c r="R89" i="31"/>
  <c r="R90" i="31"/>
  <c r="S90" i="31"/>
  <c r="R91" i="31"/>
  <c r="S91" i="31"/>
  <c r="R92" i="31"/>
  <c r="R93" i="31"/>
  <c r="S93" i="31"/>
  <c r="R94" i="31"/>
  <c r="S94" i="31"/>
  <c r="R95" i="31"/>
  <c r="R96" i="31"/>
  <c r="S96" i="31"/>
  <c r="R97" i="31"/>
  <c r="R98" i="31"/>
  <c r="S98" i="31"/>
  <c r="R99" i="31"/>
  <c r="S99" i="31"/>
  <c r="R100" i="31"/>
  <c r="S100" i="31"/>
  <c r="R101" i="31"/>
  <c r="S101" i="31"/>
  <c r="R102" i="31"/>
  <c r="S102" i="31"/>
  <c r="R103" i="31"/>
  <c r="R104" i="31"/>
  <c r="S104" i="31"/>
  <c r="R105" i="31"/>
  <c r="R106" i="31"/>
  <c r="S106" i="31"/>
  <c r="R107" i="31"/>
  <c r="S107" i="31"/>
  <c r="R108" i="31"/>
  <c r="S108" i="31"/>
  <c r="R109" i="31"/>
  <c r="S109" i="31"/>
  <c r="R110" i="31"/>
  <c r="S110" i="31"/>
  <c r="R111" i="31"/>
  <c r="R112" i="31"/>
  <c r="R113" i="31"/>
  <c r="R114" i="31"/>
  <c r="S114" i="31"/>
  <c r="R115" i="31"/>
  <c r="R116" i="31"/>
  <c r="S116" i="31"/>
  <c r="R117" i="31"/>
  <c r="S117" i="31"/>
  <c r="R118" i="31"/>
  <c r="S118" i="31"/>
  <c r="R119" i="31"/>
  <c r="R120" i="31"/>
  <c r="S120" i="31"/>
  <c r="R121" i="31"/>
  <c r="R122" i="31"/>
  <c r="S122" i="31"/>
  <c r="R123" i="31"/>
  <c r="R124" i="31"/>
  <c r="S124" i="31"/>
  <c r="R125" i="31"/>
  <c r="S125" i="31"/>
  <c r="R126" i="31"/>
  <c r="S126" i="31"/>
  <c r="R127" i="31"/>
  <c r="R128" i="31"/>
  <c r="S128" i="31"/>
  <c r="R129" i="31"/>
  <c r="R130" i="31"/>
  <c r="S130" i="31"/>
  <c r="R131" i="31"/>
  <c r="S131" i="31"/>
  <c r="R132" i="31"/>
  <c r="S132" i="31"/>
  <c r="R133" i="31"/>
  <c r="S133" i="31"/>
  <c r="R134" i="31"/>
  <c r="S134" i="31"/>
  <c r="R135" i="31"/>
  <c r="R136" i="31"/>
  <c r="S136" i="31"/>
  <c r="R137" i="31"/>
  <c r="R138" i="31"/>
  <c r="S138" i="31"/>
  <c r="R139" i="31"/>
  <c r="R140" i="31"/>
  <c r="S140" i="31"/>
  <c r="R141" i="31"/>
  <c r="S141" i="31"/>
  <c r="R142" i="31"/>
  <c r="S142" i="31"/>
  <c r="R143" i="31"/>
  <c r="R144" i="31"/>
  <c r="S144" i="31"/>
  <c r="R145" i="31"/>
  <c r="R146" i="31"/>
  <c r="S146" i="31"/>
  <c r="R147" i="31"/>
  <c r="S147" i="31"/>
  <c r="R148" i="31"/>
  <c r="S148" i="31"/>
  <c r="R149" i="31"/>
  <c r="R150" i="31"/>
  <c r="S150" i="31"/>
  <c r="R151" i="31"/>
  <c r="R152" i="31"/>
  <c r="S152" i="31"/>
  <c r="R153" i="31"/>
  <c r="R154" i="31"/>
  <c r="S154" i="31"/>
  <c r="R155" i="31"/>
  <c r="S155" i="31"/>
  <c r="R156" i="31"/>
  <c r="S156" i="31"/>
  <c r="R157" i="31"/>
  <c r="S157" i="31"/>
  <c r="R158" i="31"/>
  <c r="S158" i="31"/>
  <c r="R159" i="31"/>
  <c r="R160" i="31"/>
  <c r="S160" i="31"/>
  <c r="R161" i="31"/>
  <c r="R162" i="31"/>
  <c r="S162" i="31"/>
  <c r="R163" i="31"/>
  <c r="S163" i="31"/>
  <c r="R164" i="31"/>
  <c r="S164" i="31"/>
  <c r="R165" i="31"/>
  <c r="S165" i="31"/>
  <c r="R166" i="31"/>
  <c r="S166" i="31"/>
  <c r="R167" i="31"/>
  <c r="R168" i="31"/>
  <c r="S168" i="31"/>
  <c r="R169" i="31"/>
  <c r="R170" i="31"/>
  <c r="S170" i="31"/>
  <c r="R171" i="31"/>
  <c r="S171" i="31"/>
  <c r="R172" i="31"/>
  <c r="S172" i="31"/>
  <c r="R173" i="31"/>
  <c r="S173" i="31"/>
  <c r="R174" i="31"/>
  <c r="S174" i="31"/>
  <c r="R175" i="31"/>
  <c r="R176" i="31"/>
  <c r="S176" i="31"/>
  <c r="R177" i="31"/>
  <c r="R178" i="31"/>
  <c r="S178" i="31"/>
  <c r="R179" i="31"/>
  <c r="S179" i="31"/>
  <c r="R180" i="31"/>
  <c r="S180" i="31"/>
  <c r="R181" i="31"/>
  <c r="S181" i="31"/>
  <c r="R182" i="31"/>
  <c r="S182" i="31"/>
  <c r="R183" i="31"/>
  <c r="R184" i="31"/>
  <c r="R185" i="31"/>
  <c r="R186" i="31"/>
  <c r="S186" i="31"/>
  <c r="R187" i="31"/>
  <c r="S187" i="31"/>
  <c r="R188" i="31"/>
  <c r="S188" i="31"/>
  <c r="R189" i="31"/>
  <c r="R190" i="31"/>
  <c r="S190" i="31"/>
  <c r="R191" i="31"/>
  <c r="R192" i="31"/>
  <c r="S192" i="31"/>
  <c r="R193" i="31"/>
  <c r="R194" i="31"/>
  <c r="S194" i="31"/>
  <c r="R195" i="31"/>
  <c r="S195" i="31"/>
  <c r="R196" i="31"/>
  <c r="S196" i="31"/>
  <c r="R197" i="31"/>
  <c r="S197" i="31"/>
  <c r="R198" i="31"/>
  <c r="S198" i="31"/>
  <c r="R199" i="31"/>
  <c r="R200" i="31"/>
  <c r="S200" i="31"/>
  <c r="R201" i="31"/>
  <c r="R202" i="31"/>
  <c r="S202" i="31"/>
  <c r="R203" i="31"/>
  <c r="R204" i="31"/>
  <c r="S204" i="31"/>
  <c r="R205" i="31"/>
  <c r="S205" i="31"/>
  <c r="R206" i="31"/>
  <c r="S206" i="31"/>
  <c r="R207" i="31"/>
  <c r="R208" i="31"/>
  <c r="S208" i="31"/>
  <c r="R209" i="31"/>
  <c r="R210" i="31"/>
  <c r="S210" i="31"/>
  <c r="R211" i="31"/>
  <c r="R212" i="31"/>
  <c r="S212" i="31"/>
  <c r="R213" i="31"/>
  <c r="S213" i="31"/>
  <c r="R214" i="31"/>
  <c r="S214" i="31"/>
  <c r="R215" i="31"/>
  <c r="S215" i="31"/>
  <c r="R216" i="31"/>
  <c r="S216" i="31"/>
  <c r="R217" i="31"/>
  <c r="R218" i="31"/>
  <c r="S218" i="31"/>
  <c r="R219" i="31"/>
  <c r="R220" i="31"/>
  <c r="S220" i="31"/>
  <c r="R221" i="31"/>
  <c r="R222" i="31"/>
  <c r="S222" i="31"/>
  <c r="R223" i="31"/>
  <c r="S223" i="31"/>
  <c r="R224" i="31"/>
  <c r="R225" i="31"/>
  <c r="R226" i="31"/>
  <c r="S226" i="31"/>
  <c r="R227" i="31"/>
  <c r="S227" i="31"/>
  <c r="R228" i="31"/>
  <c r="S228" i="31"/>
  <c r="R229" i="31"/>
  <c r="R230" i="31"/>
  <c r="S230" i="31"/>
  <c r="R231" i="31"/>
  <c r="R232" i="31"/>
  <c r="S232" i="31"/>
  <c r="R233" i="31"/>
  <c r="R234" i="31"/>
  <c r="S234" i="31"/>
  <c r="R235" i="31"/>
  <c r="S235" i="31"/>
  <c r="R236" i="31"/>
  <c r="S236" i="31"/>
  <c r="R237" i="31"/>
  <c r="S237" i="31"/>
  <c r="R238" i="31"/>
  <c r="S238" i="31"/>
  <c r="R239" i="31"/>
  <c r="R240" i="31"/>
  <c r="S240" i="31"/>
  <c r="R241" i="31"/>
  <c r="R242" i="31"/>
  <c r="S242" i="31"/>
  <c r="R243" i="31"/>
  <c r="R244" i="31"/>
  <c r="S244" i="31"/>
  <c r="R245" i="31"/>
  <c r="S245" i="31"/>
  <c r="R246" i="31"/>
  <c r="S246" i="31"/>
  <c r="R247" i="31"/>
  <c r="S247" i="31"/>
  <c r="R248" i="31"/>
  <c r="S248" i="31"/>
  <c r="R249" i="31"/>
  <c r="R250" i="31"/>
  <c r="S250" i="31"/>
  <c r="R251" i="31"/>
  <c r="R252" i="31"/>
  <c r="S252" i="31"/>
  <c r="R253" i="31"/>
  <c r="R254" i="31"/>
  <c r="S254" i="31"/>
  <c r="R255" i="31"/>
  <c r="S255" i="31"/>
  <c r="R256" i="31"/>
  <c r="S256" i="31"/>
  <c r="R257" i="31"/>
  <c r="S257" i="31"/>
  <c r="R258" i="31"/>
  <c r="S258" i="31"/>
  <c r="R259" i="31"/>
  <c r="S259" i="31"/>
  <c r="R260" i="31"/>
  <c r="S260" i="31"/>
  <c r="R261" i="31"/>
  <c r="S261" i="31"/>
  <c r="R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S427" i="31"/>
  <c r="R428" i="31"/>
  <c r="S428" i="31"/>
  <c r="R429" i="31"/>
  <c r="S429" i="31"/>
  <c r="R430" i="31"/>
  <c r="S430" i="31"/>
  <c r="R431" i="31"/>
  <c r="S431" i="31"/>
  <c r="R432" i="31"/>
  <c r="S432" i="31"/>
  <c r="R433" i="31"/>
  <c r="R434" i="31"/>
  <c r="S434" i="31"/>
  <c r="R435" i="31"/>
  <c r="S435" i="31"/>
  <c r="R436" i="31"/>
  <c r="S436" i="31"/>
  <c r="R437" i="31"/>
  <c r="S437" i="31"/>
  <c r="R438" i="31"/>
  <c r="S438" i="31"/>
  <c r="R439" i="31"/>
  <c r="S439" i="31"/>
  <c r="R440" i="31"/>
  <c r="S440" i="31"/>
  <c r="R441" i="31"/>
  <c r="R442" i="31"/>
  <c r="S442" i="31"/>
  <c r="R443" i="31"/>
  <c r="S443" i="31"/>
  <c r="R444" i="31"/>
  <c r="S444" i="31"/>
  <c r="R445" i="31"/>
  <c r="S445" i="31"/>
  <c r="R446" i="31"/>
  <c r="R447" i="31"/>
  <c r="S447" i="31"/>
  <c r="R448" i="31"/>
  <c r="S448" i="31"/>
  <c r="R449" i="31"/>
  <c r="R450" i="31"/>
  <c r="S450" i="31"/>
  <c r="R451" i="31"/>
  <c r="S451" i="31"/>
  <c r="R452" i="31"/>
  <c r="S452" i="31"/>
  <c r="R453" i="31"/>
  <c r="S453" i="31"/>
  <c r="R454" i="31"/>
  <c r="S454" i="31"/>
  <c r="R455" i="31"/>
  <c r="S455" i="31"/>
  <c r="R456" i="31"/>
  <c r="S456" i="31"/>
  <c r="R457" i="31"/>
  <c r="R458" i="31"/>
  <c r="S458" i="31"/>
  <c r="R459" i="31"/>
  <c r="S459" i="31"/>
  <c r="R460" i="31"/>
  <c r="S460" i="31"/>
  <c r="R461" i="31"/>
  <c r="S461" i="31"/>
  <c r="R462" i="31"/>
  <c r="S462" i="31"/>
  <c r="R463" i="31"/>
  <c r="S463" i="31"/>
  <c r="R464" i="31"/>
  <c r="S464" i="31"/>
  <c r="R465" i="31"/>
  <c r="R466" i="31"/>
  <c r="S466" i="31"/>
  <c r="R467" i="31"/>
  <c r="S467" i="31"/>
  <c r="R468" i="31"/>
  <c r="S468" i="31"/>
  <c r="R469" i="31"/>
  <c r="S469" i="31"/>
  <c r="R470" i="31"/>
  <c r="S470" i="31"/>
  <c r="R471" i="31"/>
  <c r="S471" i="31"/>
  <c r="R472" i="31"/>
  <c r="S472" i="31"/>
  <c r="R473" i="31"/>
  <c r="R474" i="31"/>
  <c r="S474" i="31"/>
  <c r="R475" i="31"/>
  <c r="S475" i="31"/>
  <c r="R476" i="31"/>
  <c r="R477" i="31"/>
  <c r="S477" i="31"/>
  <c r="R478" i="31"/>
  <c r="S478" i="31"/>
  <c r="R479" i="31"/>
  <c r="S479" i="31"/>
  <c r="R480" i="31"/>
  <c r="S480" i="31"/>
  <c r="R481" i="31"/>
  <c r="R482" i="31"/>
  <c r="S482" i="31"/>
  <c r="R483" i="31"/>
  <c r="S483" i="31"/>
  <c r="R484" i="31"/>
  <c r="S484" i="31"/>
  <c r="R485" i="31"/>
  <c r="S485" i="31"/>
  <c r="R486" i="31"/>
  <c r="S486" i="31"/>
  <c r="R487" i="31"/>
  <c r="S487" i="31"/>
  <c r="R488" i="31"/>
  <c r="S488" i="31"/>
  <c r="R489" i="31"/>
  <c r="R490" i="31"/>
  <c r="S490" i="31"/>
  <c r="R491" i="31"/>
  <c r="R492" i="31"/>
  <c r="S492" i="31"/>
  <c r="R493" i="31"/>
  <c r="S493" i="31"/>
  <c r="R494" i="31"/>
  <c r="S494" i="31"/>
  <c r="R495" i="31"/>
  <c r="S495" i="31"/>
  <c r="R496" i="31"/>
  <c r="S496" i="31"/>
  <c r="R497" i="31"/>
  <c r="R498" i="31"/>
  <c r="S498" i="31"/>
  <c r="R499" i="31"/>
  <c r="S499" i="31"/>
  <c r="R500" i="31"/>
  <c r="S500" i="31"/>
  <c r="R501" i="31"/>
  <c r="S501" i="31"/>
  <c r="R502" i="31"/>
  <c r="S502" i="31"/>
  <c r="R503" i="31"/>
  <c r="S503" i="31"/>
  <c r="R504" i="31"/>
  <c r="S504" i="31"/>
  <c r="R505" i="31"/>
  <c r="R506" i="31"/>
  <c r="S506" i="31"/>
  <c r="R507" i="31"/>
  <c r="S507" i="31"/>
  <c r="R508" i="31"/>
  <c r="S508" i="31"/>
  <c r="R509" i="31"/>
  <c r="S509" i="31"/>
  <c r="R510" i="31"/>
  <c r="S510" i="31"/>
  <c r="R511" i="31"/>
  <c r="S511" i="31"/>
  <c r="R512" i="31"/>
  <c r="S512" i="31"/>
  <c r="R513" i="31"/>
  <c r="R514" i="31"/>
  <c r="S514" i="31"/>
  <c r="R515" i="31"/>
  <c r="S515" i="31"/>
  <c r="R516" i="31"/>
  <c r="R517" i="31"/>
  <c r="S517" i="31"/>
  <c r="R518" i="31"/>
  <c r="S518" i="31"/>
  <c r="R519" i="31"/>
  <c r="S519" i="31"/>
  <c r="R520" i="31"/>
  <c r="S520" i="31"/>
  <c r="R521" i="31"/>
  <c r="R522" i="31"/>
  <c r="S522" i="31"/>
  <c r="R523" i="31"/>
  <c r="S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D15" i="4"/>
  <c r="F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F23" i="15"/>
  <c r="D24" i="15"/>
  <c r="E24" i="6"/>
  <c r="E25" i="6"/>
  <c r="E26" i="6"/>
  <c r="BC10" i="3"/>
  <c r="BD10" i="3"/>
  <c r="BB10" i="3"/>
  <c r="I5" i="3"/>
  <c r="F19" i="6"/>
  <c r="E19" i="6"/>
  <c r="AD5" i="3"/>
  <c r="AH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2" i="31"/>
  <c r="S388" i="31"/>
  <c r="S352" i="31"/>
  <c r="S300" i="31"/>
  <c r="S276" i="31"/>
  <c r="S262" i="31"/>
  <c r="S253" i="31"/>
  <c r="S251" i="31"/>
  <c r="S249" i="31"/>
  <c r="S243" i="31"/>
  <c r="S241" i="31"/>
  <c r="S239" i="31"/>
  <c r="S233" i="31"/>
  <c r="S231" i="31"/>
  <c r="S229" i="31"/>
  <c r="S225" i="31"/>
  <c r="S224" i="31"/>
  <c r="S425" i="31"/>
  <c r="S221" i="31"/>
  <c r="S219" i="31"/>
  <c r="S217" i="31"/>
  <c r="S211" i="31"/>
  <c r="S209" i="31"/>
  <c r="S207" i="31"/>
  <c r="S203" i="31"/>
  <c r="S201" i="31"/>
  <c r="S199" i="31"/>
  <c r="S193" i="31"/>
  <c r="S191" i="31"/>
  <c r="S189" i="31"/>
  <c r="S185" i="31"/>
  <c r="S184" i="31"/>
  <c r="S183" i="31"/>
  <c r="S177" i="31"/>
  <c r="S175" i="31"/>
  <c r="S169" i="31"/>
  <c r="S167" i="31"/>
  <c r="S161" i="31"/>
  <c r="S159" i="31"/>
  <c r="S153" i="31"/>
  <c r="S151" i="31"/>
  <c r="S149" i="31"/>
  <c r="S145" i="31"/>
  <c r="S143" i="31"/>
  <c r="S139" i="31"/>
  <c r="S137" i="31"/>
  <c r="S135" i="31"/>
  <c r="S129" i="31"/>
  <c r="S127" i="31"/>
  <c r="S123" i="31"/>
  <c r="S497" i="31"/>
  <c r="S491" i="31"/>
  <c r="S489" i="31"/>
  <c r="S481" i="31"/>
  <c r="S476" i="31"/>
  <c r="S473" i="31"/>
  <c r="S441" i="31"/>
  <c r="S433" i="31"/>
  <c r="S121" i="31"/>
  <c r="S119" i="31"/>
  <c r="S115" i="31"/>
  <c r="S113" i="31"/>
  <c r="S112" i="31"/>
  <c r="S465" i="31"/>
  <c r="S457" i="31"/>
  <c r="S51" i="31"/>
  <c r="S49" i="31"/>
  <c r="S47" i="31"/>
  <c r="S41" i="31"/>
  <c r="S39" i="31"/>
  <c r="S33" i="31"/>
  <c r="S77" i="31"/>
  <c r="S75" i="31"/>
  <c r="S73" i="31"/>
  <c r="S71" i="31"/>
  <c r="S65" i="31"/>
  <c r="S63" i="31"/>
  <c r="S59" i="31"/>
  <c r="S57" i="31"/>
  <c r="S55" i="31"/>
  <c r="S97" i="31"/>
  <c r="S95" i="31"/>
  <c r="S92" i="31"/>
  <c r="S89" i="31"/>
  <c r="S87" i="31"/>
  <c r="S83" i="31"/>
  <c r="S81" i="31"/>
  <c r="S79" i="31"/>
  <c r="S31" i="31"/>
  <c r="S103" i="31"/>
  <c r="S105" i="31"/>
  <c r="S111" i="31"/>
  <c r="S446" i="31"/>
  <c r="S449" i="31"/>
  <c r="S513" i="31"/>
  <c r="I48" i="37"/>
  <c r="J48" i="37"/>
  <c r="G48" i="37"/>
  <c r="H48" i="37"/>
  <c r="E48" i="37"/>
  <c r="F48" i="37"/>
  <c r="I55" i="34"/>
  <c r="J55" i="34"/>
  <c r="G55" i="34"/>
  <c r="H55" i="34"/>
  <c r="E55" i="34"/>
  <c r="F55" i="34"/>
  <c r="I48" i="40"/>
  <c r="J48" i="40"/>
  <c r="G48" i="40"/>
  <c r="H48" i="40"/>
  <c r="E48" i="40"/>
  <c r="F48" i="40"/>
  <c r="I53" i="39"/>
  <c r="J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H35" i="39"/>
  <c r="AB35" i="39"/>
  <c r="B112" i="39"/>
  <c r="H36" i="39"/>
  <c r="J30" i="36"/>
  <c r="AC30" i="36"/>
  <c r="H30" i="36"/>
  <c r="F30" i="36"/>
  <c r="AA30" i="36"/>
  <c r="C26" i="35"/>
  <c r="C79" i="35"/>
  <c r="J31" i="35"/>
  <c r="H31" i="35"/>
  <c r="F31" i="35"/>
  <c r="D87" i="35"/>
  <c r="E87" i="35"/>
  <c r="F87" i="35"/>
  <c r="G87" i="35"/>
  <c r="H87" i="35"/>
  <c r="I87" i="35"/>
  <c r="J87" i="35"/>
  <c r="K87" i="35"/>
  <c r="L87" i="35"/>
  <c r="M87" i="35"/>
  <c r="H34" i="37"/>
  <c r="U34" i="37"/>
  <c r="D101" i="37"/>
  <c r="E101" i="37"/>
  <c r="F101" i="37"/>
  <c r="G101" i="37"/>
  <c r="H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D113" i="33"/>
  <c r="F37" i="33"/>
  <c r="D111" i="33"/>
  <c r="E111" i="33"/>
  <c r="F111" i="33"/>
  <c r="S516" i="31"/>
  <c r="S521"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H38" i="40"/>
  <c r="U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W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Q39" i="40"/>
  <c r="Z39" i="40"/>
  <c r="Q38" i="40"/>
  <c r="Z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D105"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D122" i="39"/>
  <c r="J40" i="39"/>
  <c r="E122" i="39"/>
  <c r="F122" i="39"/>
  <c r="G122" i="39"/>
  <c r="H122" i="39"/>
  <c r="I122" i="39"/>
  <c r="J122" i="39"/>
  <c r="K122" i="39"/>
  <c r="L122" i="39"/>
  <c r="M122" i="39"/>
  <c r="B104" i="39"/>
  <c r="D97" i="39"/>
  <c r="J23" i="39"/>
  <c r="AC23" i="39"/>
  <c r="D95" i="39"/>
  <c r="E95" i="39"/>
  <c r="F95" i="39"/>
  <c r="D93" i="39"/>
  <c r="E93" i="39"/>
  <c r="F93" i="39"/>
  <c r="G93" i="39"/>
  <c r="D91" i="39"/>
  <c r="E91" i="39"/>
  <c r="F91" i="39"/>
  <c r="D89" i="39"/>
  <c r="E89" i="39"/>
  <c r="F89" i="39"/>
  <c r="B86" i="39"/>
  <c r="B84" i="39"/>
  <c r="H13" i="39"/>
  <c r="B82" i="39"/>
  <c r="J12" i="39"/>
  <c r="W12" i="39"/>
  <c r="M79" i="39"/>
  <c r="L79" i="39"/>
  <c r="K79" i="39"/>
  <c r="J79" i="39"/>
  <c r="I79" i="39"/>
  <c r="H79" i="39"/>
  <c r="G79" i="39"/>
  <c r="F79" i="39"/>
  <c r="E79" i="39"/>
  <c r="D79" i="39"/>
  <c r="C79" i="39"/>
  <c r="P48" i="39"/>
  <c r="P47" i="39"/>
  <c r="V46" i="39"/>
  <c r="R46" i="39"/>
  <c r="P46" i="39"/>
  <c r="F44" i="39"/>
  <c r="AA44"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B110" i="37"/>
  <c r="J39" i="37"/>
  <c r="AC39" i="37"/>
  <c r="B108" i="37"/>
  <c r="J38" i="37"/>
  <c r="AC38" i="37"/>
  <c r="C23" i="37"/>
  <c r="C19" i="37"/>
  <c r="C17" i="37"/>
  <c r="C15" i="37"/>
  <c r="B112" i="37"/>
  <c r="D107" i="37"/>
  <c r="E107" i="37"/>
  <c r="F107" i="37"/>
  <c r="G107" i="37"/>
  <c r="H107" i="37"/>
  <c r="I107" i="37"/>
  <c r="J107" i="37"/>
  <c r="K107" i="37"/>
  <c r="L107" i="37"/>
  <c r="M107" i="37"/>
  <c r="D105" i="37"/>
  <c r="E105" i="37"/>
  <c r="D103" i="37"/>
  <c r="E103" i="37"/>
  <c r="J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D71" i="37"/>
  <c r="H15" i="37"/>
  <c r="AB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H24" i="36"/>
  <c r="AB24" i="36"/>
  <c r="J24" i="36"/>
  <c r="AC24" i="36"/>
  <c r="B71" i="36"/>
  <c r="D70" i="36"/>
  <c r="H22" i="36"/>
  <c r="AB22" i="36"/>
  <c r="D68" i="36"/>
  <c r="E68" i="36"/>
  <c r="F68" i="36"/>
  <c r="G68" i="36"/>
  <c r="D64" i="36"/>
  <c r="E64" i="36"/>
  <c r="F64" i="36"/>
  <c r="G64" i="36"/>
  <c r="J16" i="36"/>
  <c r="W16" i="36"/>
  <c r="D62" i="36"/>
  <c r="E62" i="36"/>
  <c r="F62" i="36"/>
  <c r="G62" i="36"/>
  <c r="B59" i="36"/>
  <c r="B57" i="36"/>
  <c r="B55" i="36"/>
  <c r="F11" i="36"/>
  <c r="AA11" i="36"/>
  <c r="F54" i="36"/>
  <c r="G54" i="36"/>
  <c r="H54" i="36"/>
  <c r="I54"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c r="J8" i="36"/>
  <c r="AC8" i="36"/>
  <c r="H8" i="36"/>
  <c r="F8" i="36"/>
  <c r="S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H36" i="35"/>
  <c r="AB36" i="35"/>
  <c r="B99" i="35"/>
  <c r="B97" i="35"/>
  <c r="J34" i="35"/>
  <c r="B77" i="35"/>
  <c r="B75" i="35"/>
  <c r="J24" i="35"/>
  <c r="W24" i="35"/>
  <c r="B73" i="35"/>
  <c r="B57" i="35"/>
  <c r="B61" i="35"/>
  <c r="B59" i="35"/>
  <c r="B131" i="34"/>
  <c r="B129" i="34"/>
  <c r="B127" i="34"/>
  <c r="B99" i="34"/>
  <c r="B97" i="34"/>
  <c r="B95" i="34"/>
  <c r="B93" i="34"/>
  <c r="B75" i="34"/>
  <c r="B73" i="34"/>
  <c r="F13" i="34"/>
  <c r="AA13" i="34"/>
  <c r="B71" i="34"/>
  <c r="J12" i="34"/>
  <c r="B130" i="33"/>
  <c r="B128" i="33"/>
  <c r="F45" i="33"/>
  <c r="AA45" i="33"/>
  <c r="B126" i="33"/>
  <c r="B98" i="33"/>
  <c r="B96" i="33"/>
  <c r="F30"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F34" i="35"/>
  <c r="S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J9" i="34"/>
  <c r="AC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U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C17" i="20"/>
  <c r="B59" i="43"/>
  <c r="C16" i="20"/>
  <c r="C17" i="39"/>
  <c r="C15" i="20"/>
  <c r="B70" i="43"/>
  <c r="E54" i="21"/>
  <c r="F54" i="21"/>
  <c r="I54" i="21"/>
  <c r="J54" i="21"/>
  <c r="G54" i="21"/>
  <c r="H54" i="21"/>
  <c r="D125" i="21"/>
  <c r="E125" i="21"/>
  <c r="F125" i="21"/>
  <c r="G125" i="21"/>
  <c r="D123" i="21"/>
  <c r="E123" i="21"/>
  <c r="F123" i="21"/>
  <c r="D119" i="21"/>
  <c r="F40" i="21"/>
  <c r="AA40" i="21"/>
  <c r="D117" i="21"/>
  <c r="F39" i="21"/>
  <c r="AA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F19" i="21"/>
  <c r="G81" i="21"/>
  <c r="D77" i="21"/>
  <c r="E77" i="21"/>
  <c r="J15" i="21"/>
  <c r="W15" i="21"/>
  <c r="B130" i="21"/>
  <c r="J46" i="21"/>
  <c r="W46" i="21"/>
  <c r="B128" i="21"/>
  <c r="J45" i="21"/>
  <c r="W45" i="21"/>
  <c r="B126" i="21"/>
  <c r="B98" i="21"/>
  <c r="H31" i="21"/>
  <c r="B96" i="21"/>
  <c r="B94" i="21"/>
  <c r="J29" i="21"/>
  <c r="AC29" i="21"/>
  <c r="B92" i="21"/>
  <c r="B90" i="21"/>
  <c r="J27" i="21"/>
  <c r="W27" i="21"/>
  <c r="B74" i="21"/>
  <c r="F14" i="21"/>
  <c r="S14" i="21"/>
  <c r="B72" i="21"/>
  <c r="H13" i="21"/>
  <c r="U13" i="21"/>
  <c r="B70" i="21"/>
  <c r="J12" i="21"/>
  <c r="AC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Q39" i="21"/>
  <c r="Z39" i="21"/>
  <c r="H40" i="21"/>
  <c r="AB40" i="21"/>
  <c r="Q40" i="21"/>
  <c r="Z40" i="21"/>
  <c r="Q41" i="21"/>
  <c r="Z41" i="21"/>
  <c r="Q42" i="21"/>
  <c r="Z42" i="21"/>
  <c r="J43" i="21"/>
  <c r="Q43" i="21"/>
  <c r="Z43" i="21"/>
  <c r="Q44" i="21"/>
  <c r="Z44" i="21"/>
  <c r="Q45" i="21"/>
  <c r="Z45" i="21"/>
  <c r="Q46" i="21"/>
  <c r="Z46" i="21"/>
  <c r="P47" i="21"/>
  <c r="R47" i="21"/>
  <c r="T47" i="21"/>
  <c r="V47" i="21"/>
  <c r="P48" i="21"/>
  <c r="P49" i="21"/>
  <c r="F8" i="21"/>
  <c r="AA8" i="21"/>
  <c r="E10" i="11"/>
  <c r="E9" i="11"/>
  <c r="C7" i="12"/>
  <c r="BB12" i="3"/>
  <c r="K5" i="3"/>
  <c r="F20" i="6"/>
  <c r="E20" i="6"/>
  <c r="D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O5" i="3"/>
  <c r="AQ5" i="3"/>
  <c r="AR5" i="3"/>
  <c r="AS5" i="3"/>
  <c r="L5" i="3"/>
  <c r="N5" i="3"/>
  <c r="P5" i="3"/>
  <c r="Q5" i="3"/>
  <c r="G23" i="6"/>
  <c r="E23" i="6"/>
  <c r="K10" i="1"/>
  <c r="R5" i="3"/>
  <c r="S5" i="3"/>
  <c r="T5" i="3"/>
  <c r="U5" i="3"/>
  <c r="V5" i="3"/>
  <c r="W5" i="3"/>
  <c r="X5" i="3"/>
  <c r="Y5" i="3"/>
  <c r="Z5" i="3"/>
  <c r="AA5" i="3"/>
  <c r="AB5" i="3"/>
  <c r="F5" i="3"/>
  <c r="F43" i="21"/>
  <c r="H38" i="21"/>
  <c r="U38" i="21"/>
  <c r="H43" i="21"/>
  <c r="AB43" i="21"/>
  <c r="F38" i="21"/>
  <c r="S38" i="21"/>
  <c r="F36" i="21"/>
  <c r="S36" i="21"/>
  <c r="J40" i="21"/>
  <c r="W40" i="21"/>
  <c r="H35" i="21"/>
  <c r="AB35" i="21"/>
  <c r="J8" i="21"/>
  <c r="AC8" i="21"/>
  <c r="H8" i="21"/>
  <c r="U8" i="21"/>
  <c r="H10" i="21"/>
  <c r="AB10" i="21"/>
  <c r="H36" i="21"/>
  <c r="U36" i="21"/>
  <c r="F35" i="21"/>
  <c r="AA35" i="21"/>
  <c r="J10" i="21"/>
  <c r="AC10" i="21"/>
  <c r="H26" i="21"/>
  <c r="AB26" i="21"/>
  <c r="AB19" i="21"/>
  <c r="J19" i="21"/>
  <c r="W19" i="21"/>
  <c r="J26" i="21"/>
  <c r="W26" i="21"/>
  <c r="F26" i="21"/>
  <c r="S26" i="21"/>
  <c r="AB41" i="21"/>
  <c r="J44" i="39"/>
  <c r="AC44" i="39"/>
  <c r="F36" i="39"/>
  <c r="S36" i="39"/>
  <c r="J35" i="39"/>
  <c r="AC35" i="39"/>
  <c r="F35" i="39"/>
  <c r="J36" i="39"/>
  <c r="AC36" i="39"/>
  <c r="U9" i="39"/>
  <c r="U30" i="37"/>
  <c r="F103" i="37"/>
  <c r="G103" i="37"/>
  <c r="H103" i="37"/>
  <c r="I103" i="37"/>
  <c r="J103" i="37"/>
  <c r="K103" i="37"/>
  <c r="L103" i="37"/>
  <c r="M103" i="37"/>
  <c r="F39" i="37"/>
  <c r="S39" i="37"/>
  <c r="F29" i="36"/>
  <c r="AA29" i="36"/>
  <c r="W8" i="36"/>
  <c r="F16" i="36"/>
  <c r="AA16" i="36"/>
  <c r="S30" i="36"/>
  <c r="AA31" i="36"/>
  <c r="AC31" i="36"/>
  <c r="W31" i="36"/>
  <c r="U31" i="36"/>
  <c r="H22" i="35"/>
  <c r="AB22" i="35"/>
  <c r="U31" i="35"/>
  <c r="W36" i="35"/>
  <c r="W22" i="35"/>
  <c r="S31" i="35"/>
  <c r="F36" i="34"/>
  <c r="J35" i="34"/>
  <c r="U34" i="34"/>
  <c r="H39" i="33"/>
  <c r="AB39" i="33"/>
  <c r="F26" i="33"/>
  <c r="S26" i="33"/>
  <c r="S40" i="33"/>
  <c r="W39" i="33"/>
  <c r="H39" i="37"/>
  <c r="AB39" i="37"/>
  <c r="F11" i="40"/>
  <c r="AA11" i="40"/>
  <c r="H11" i="40"/>
  <c r="AB11" i="40"/>
  <c r="W8" i="40"/>
  <c r="AA9" i="40"/>
  <c r="AC9" i="40"/>
  <c r="S34" i="40"/>
  <c r="F41" i="39"/>
  <c r="S41" i="39"/>
  <c r="H40" i="39"/>
  <c r="H34" i="39"/>
  <c r="U34" i="39"/>
  <c r="E109" i="39"/>
  <c r="F109" i="39"/>
  <c r="G109" i="39"/>
  <c r="H109" i="39"/>
  <c r="I109" i="39"/>
  <c r="J109" i="39"/>
  <c r="K109" i="39"/>
  <c r="L109" i="39"/>
  <c r="M109" i="39"/>
  <c r="H31" i="39"/>
  <c r="AB31" i="39"/>
  <c r="F31" i="39"/>
  <c r="AA31" i="39"/>
  <c r="E101" i="39"/>
  <c r="F101" i="39"/>
  <c r="H19" i="39"/>
  <c r="AB19" i="39"/>
  <c r="F19" i="39"/>
  <c r="AA19" i="39"/>
  <c r="J23" i="40"/>
  <c r="AC23" i="40"/>
  <c r="F21" i="40"/>
  <c r="J21" i="40"/>
  <c r="W21" i="40"/>
  <c r="J34" i="39"/>
  <c r="AC34" i="39"/>
  <c r="J31" i="39"/>
  <c r="G101" i="39"/>
  <c r="J27" i="39"/>
  <c r="J19" i="39"/>
  <c r="AC19" i="39"/>
  <c r="S40" i="21"/>
  <c r="S40" i="39"/>
  <c r="C15" i="39"/>
  <c r="H32" i="33"/>
  <c r="AB32" i="33"/>
  <c r="H37" i="40"/>
  <c r="U37" i="40"/>
  <c r="H36" i="40"/>
  <c r="AB36" i="40"/>
  <c r="F35" i="40"/>
  <c r="AA35" i="40"/>
  <c r="H23" i="40"/>
  <c r="AB23" i="40"/>
  <c r="H17" i="40"/>
  <c r="U17" i="40"/>
  <c r="J15" i="40"/>
  <c r="W15" i="40"/>
  <c r="J11" i="40"/>
  <c r="AB8" i="39"/>
  <c r="W32" i="40"/>
  <c r="S44" i="39"/>
  <c r="F37" i="39"/>
  <c r="AA37" i="39"/>
  <c r="J34" i="36"/>
  <c r="W34" i="36"/>
  <c r="U30" i="36"/>
  <c r="J30" i="35"/>
  <c r="H30" i="35"/>
  <c r="AB30" i="35"/>
  <c r="F22" i="35"/>
  <c r="AA22" i="35"/>
  <c r="H10" i="35"/>
  <c r="U10" i="35"/>
  <c r="AC16" i="36"/>
  <c r="W30" i="36"/>
  <c r="H16" i="36"/>
  <c r="AB16" i="36"/>
  <c r="E85" i="36"/>
  <c r="F85" i="36"/>
  <c r="G85" i="36"/>
  <c r="H85" i="36"/>
  <c r="I85" i="36"/>
  <c r="J85" i="36"/>
  <c r="K85" i="36"/>
  <c r="L85" i="36"/>
  <c r="M85" i="36"/>
  <c r="J29" i="36"/>
  <c r="AC29" i="36"/>
  <c r="F12" i="36"/>
  <c r="AA12" i="36"/>
  <c r="F24" i="36"/>
  <c r="AA24" i="36"/>
  <c r="F34" i="36"/>
  <c r="S10" i="36"/>
  <c r="U8" i="35"/>
  <c r="F14" i="35"/>
  <c r="AA14" i="35"/>
  <c r="F23" i="35"/>
  <c r="AA23" i="35"/>
  <c r="J32" i="35"/>
  <c r="AC32" i="35"/>
  <c r="J16" i="35"/>
  <c r="AC16" i="35"/>
  <c r="H16" i="35"/>
  <c r="F16" i="35"/>
  <c r="S16" i="35"/>
  <c r="H14" i="35"/>
  <c r="AB14" i="35"/>
  <c r="J29" i="35"/>
  <c r="H33" i="35"/>
  <c r="J20" i="35"/>
  <c r="W20" i="35"/>
  <c r="F35" i="37"/>
  <c r="S35" i="37"/>
  <c r="I101" i="37"/>
  <c r="J101" i="37"/>
  <c r="K101" i="37"/>
  <c r="L101" i="37"/>
  <c r="M101" i="37"/>
  <c r="J34" i="37"/>
  <c r="W34" i="37"/>
  <c r="AA39" i="37"/>
  <c r="AB34" i="37"/>
  <c r="J33" i="37"/>
  <c r="AC33" i="37"/>
  <c r="H40" i="34"/>
  <c r="U40" i="34"/>
  <c r="E114" i="34"/>
  <c r="H36" i="34"/>
  <c r="U36" i="34"/>
  <c r="F37" i="34"/>
  <c r="AA37" i="34"/>
  <c r="S35" i="34"/>
  <c r="F28" i="34"/>
  <c r="AA28" i="34"/>
  <c r="F27" i="34"/>
  <c r="F25" i="34"/>
  <c r="S25" i="34"/>
  <c r="H23" i="34"/>
  <c r="J23" i="34"/>
  <c r="F19" i="34"/>
  <c r="H17" i="34"/>
  <c r="F15" i="34"/>
  <c r="J15" i="34"/>
  <c r="W15" i="34"/>
  <c r="H15" i="34"/>
  <c r="AB15" i="34"/>
  <c r="S9" i="34"/>
  <c r="W8" i="34"/>
  <c r="J28" i="34"/>
  <c r="F41" i="33"/>
  <c r="S41" i="33"/>
  <c r="AA41" i="33"/>
  <c r="S38" i="33"/>
  <c r="E113" i="33"/>
  <c r="F32" i="33"/>
  <c r="AA32" i="33"/>
  <c r="J19" i="33"/>
  <c r="AC19" i="33"/>
  <c r="J15" i="33"/>
  <c r="AC15" i="33"/>
  <c r="F11" i="33"/>
  <c r="AA11" i="33"/>
  <c r="U40" i="33"/>
  <c r="U8" i="33"/>
  <c r="F37" i="40"/>
  <c r="AA37" i="40"/>
  <c r="F36" i="40"/>
  <c r="AA36" i="40"/>
  <c r="H28" i="40"/>
  <c r="U28" i="40"/>
  <c r="F23" i="40"/>
  <c r="AA23" i="40"/>
  <c r="F17" i="40"/>
  <c r="AA17" i="40"/>
  <c r="J17" i="40"/>
  <c r="W17" i="40"/>
  <c r="F15" i="40"/>
  <c r="S15" i="40"/>
  <c r="H15" i="40"/>
  <c r="AB15" i="40"/>
  <c r="S12" i="36"/>
  <c r="AB30" i="36"/>
  <c r="F29" i="35"/>
  <c r="AA29" i="35"/>
  <c r="S29" i="35"/>
  <c r="H29" i="35"/>
  <c r="AB29" i="35"/>
  <c r="H33" i="37"/>
  <c r="AB33" i="37"/>
  <c r="F33" i="37"/>
  <c r="AA33" i="37"/>
  <c r="W33" i="37"/>
  <c r="S34" i="37"/>
  <c r="AA34" i="37"/>
  <c r="J43" i="34"/>
  <c r="J40" i="34"/>
  <c r="F114" i="34"/>
  <c r="G114" i="34"/>
  <c r="H114" i="34"/>
  <c r="I114" i="34"/>
  <c r="J114" i="34"/>
  <c r="K114" i="34"/>
  <c r="L114" i="34"/>
  <c r="M114" i="34"/>
  <c r="H38" i="34"/>
  <c r="AB38" i="34"/>
  <c r="J36" i="34"/>
  <c r="H37" i="34"/>
  <c r="U37" i="34"/>
  <c r="H25" i="34"/>
  <c r="AB25" i="34"/>
  <c r="J25" i="34"/>
  <c r="AC25" i="34"/>
  <c r="F23" i="34"/>
  <c r="AA23" i="34"/>
  <c r="J19" i="34"/>
  <c r="AC19" i="34"/>
  <c r="F17" i="34"/>
  <c r="AA17" i="34"/>
  <c r="J17" i="34"/>
  <c r="W17"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J44" i="34"/>
  <c r="W44" i="34"/>
  <c r="F44" i="34"/>
  <c r="J10" i="35"/>
  <c r="W10" i="35"/>
  <c r="J14" i="21"/>
  <c r="W14" i="21"/>
  <c r="H14" i="21"/>
  <c r="U14" i="21"/>
  <c r="H28" i="21"/>
  <c r="AB28" i="21"/>
  <c r="F28" i="21"/>
  <c r="AA28" i="21"/>
  <c r="J28" i="21"/>
  <c r="W28" i="21"/>
  <c r="J30" i="21"/>
  <c r="AC30" i="21"/>
  <c r="J44" i="21"/>
  <c r="AC44" i="21"/>
  <c r="H44" i="21"/>
  <c r="F44" i="21"/>
  <c r="AA44" i="21"/>
  <c r="H46" i="21"/>
  <c r="U46" i="21"/>
  <c r="E119" i="21"/>
  <c r="F119" i="21"/>
  <c r="G119" i="21"/>
  <c r="H119" i="21"/>
  <c r="I119" i="21"/>
  <c r="J119" i="21"/>
  <c r="K119" i="21"/>
  <c r="L119" i="21"/>
  <c r="M119" i="21"/>
  <c r="H26" i="33"/>
  <c r="U26" i="33"/>
  <c r="F33" i="35"/>
  <c r="S33" i="35"/>
  <c r="J33" i="35"/>
  <c r="AC33" i="35"/>
  <c r="F30" i="35"/>
  <c r="S30" i="35"/>
  <c r="H10" i="36"/>
  <c r="AB10" i="36"/>
  <c r="J14" i="36"/>
  <c r="AC14" i="36"/>
  <c r="H14" i="36"/>
  <c r="U14" i="36"/>
  <c r="F28" i="36"/>
  <c r="AA28" i="36"/>
  <c r="J13" i="21"/>
  <c r="AC13" i="21"/>
  <c r="H27" i="21"/>
  <c r="AB27" i="21"/>
  <c r="H29" i="21"/>
  <c r="U29" i="21"/>
  <c r="J31" i="21"/>
  <c r="AC31" i="21"/>
  <c r="F31" i="21"/>
  <c r="F27" i="33"/>
  <c r="J13" i="33"/>
  <c r="H13" i="33"/>
  <c r="U13" i="33"/>
  <c r="F13" i="33"/>
  <c r="S13" i="33"/>
  <c r="J29" i="33"/>
  <c r="AC29" i="33"/>
  <c r="H29" i="33"/>
  <c r="U29" i="33"/>
  <c r="F29" i="33"/>
  <c r="S29" i="33"/>
  <c r="J31" i="33"/>
  <c r="W31" i="33"/>
  <c r="H31" i="33"/>
  <c r="F31" i="33"/>
  <c r="H45" i="33"/>
  <c r="J45" i="33"/>
  <c r="AC45" i="33"/>
  <c r="W45" i="33"/>
  <c r="J14" i="34"/>
  <c r="W14" i="34"/>
  <c r="F14" i="34"/>
  <c r="S14" i="34"/>
  <c r="H14" i="34"/>
  <c r="H30" i="34"/>
  <c r="F30" i="34"/>
  <c r="J30" i="34"/>
  <c r="AC30" i="34"/>
  <c r="W30" i="34"/>
  <c r="J32" i="34"/>
  <c r="W32" i="34"/>
  <c r="H46" i="34"/>
  <c r="F46" i="34"/>
  <c r="AA46" i="34"/>
  <c r="J46" i="34"/>
  <c r="H11" i="35"/>
  <c r="J11" i="35"/>
  <c r="AC11" i="35"/>
  <c r="F11" i="35"/>
  <c r="S11" i="35"/>
  <c r="J26" i="36"/>
  <c r="W26" i="36"/>
  <c r="H28" i="36"/>
  <c r="U28" i="36"/>
  <c r="H32" i="36"/>
  <c r="J32" i="36"/>
  <c r="W32" i="36"/>
  <c r="H13" i="36"/>
  <c r="AB13" i="36"/>
  <c r="J13" i="36"/>
  <c r="W13" i="36"/>
  <c r="F13" i="36"/>
  <c r="S13" i="36"/>
  <c r="E89" i="37"/>
  <c r="F89" i="37"/>
  <c r="G89" i="37"/>
  <c r="H89" i="37"/>
  <c r="I89" i="37"/>
  <c r="J89" i="37"/>
  <c r="K89" i="37"/>
  <c r="L89" i="37"/>
  <c r="M89" i="37"/>
  <c r="J29" i="37"/>
  <c r="F29" i="37"/>
  <c r="S29" i="37"/>
  <c r="F105" i="37"/>
  <c r="G105" i="37"/>
  <c r="H36" i="37"/>
  <c r="AB36" i="37"/>
  <c r="J37" i="37"/>
  <c r="AC37" i="37"/>
  <c r="H37" i="37"/>
  <c r="U37" i="37"/>
  <c r="H40" i="37"/>
  <c r="AB40" i="37"/>
  <c r="J40" i="37"/>
  <c r="AC40" i="37"/>
  <c r="F40" i="37"/>
  <c r="AA40" i="37"/>
  <c r="AC12" i="40"/>
  <c r="W12" i="40"/>
  <c r="U14" i="33"/>
  <c r="H30" i="33"/>
  <c r="AB30" i="33"/>
  <c r="J30" i="33"/>
  <c r="H44" i="33"/>
  <c r="AB44" i="33"/>
  <c r="J44" i="33"/>
  <c r="W44" i="33"/>
  <c r="AC44" i="33"/>
  <c r="F44" i="33"/>
  <c r="S44" i="33"/>
  <c r="J46" i="33"/>
  <c r="AC46" i="33"/>
  <c r="F46" i="33"/>
  <c r="AA46" i="33"/>
  <c r="H46" i="33"/>
  <c r="J29" i="34"/>
  <c r="F29" i="34"/>
  <c r="S29" i="34"/>
  <c r="H29" i="34"/>
  <c r="AB29" i="34"/>
  <c r="J31" i="34"/>
  <c r="AC31" i="34"/>
  <c r="H31" i="34"/>
  <c r="AB31" i="34"/>
  <c r="F31" i="34"/>
  <c r="S31" i="34"/>
  <c r="H45" i="34"/>
  <c r="U45" i="34"/>
  <c r="J45" i="34"/>
  <c r="W45" i="34"/>
  <c r="F45" i="34"/>
  <c r="S45" i="34"/>
  <c r="F13" i="35"/>
  <c r="J13" i="35"/>
  <c r="AC13" i="35"/>
  <c r="H13" i="35"/>
  <c r="U13" i="35"/>
  <c r="J25" i="35"/>
  <c r="W25" i="35"/>
  <c r="F25" i="35"/>
  <c r="S25" i="35"/>
  <c r="H25" i="35"/>
  <c r="AB25" i="35"/>
  <c r="J35" i="35"/>
  <c r="AC35" i="35"/>
  <c r="F35" i="35"/>
  <c r="AA35" i="35"/>
  <c r="H35" i="35"/>
  <c r="H25" i="36"/>
  <c r="H13" i="37"/>
  <c r="AB13" i="37"/>
  <c r="F13" i="37"/>
  <c r="S13" i="37"/>
  <c r="J13" i="37"/>
  <c r="W13" i="37"/>
  <c r="F28" i="37"/>
  <c r="AA28" i="37"/>
  <c r="J28" i="37"/>
  <c r="AC28" i="37"/>
  <c r="H28" i="37"/>
  <c r="AB28" i="37"/>
  <c r="H38" i="37"/>
  <c r="AB38" i="37"/>
  <c r="F38" i="37"/>
  <c r="S38" i="37"/>
  <c r="F43" i="39"/>
  <c r="AA43" i="39"/>
  <c r="H43" i="39"/>
  <c r="J14" i="39"/>
  <c r="AC14" i="39"/>
  <c r="F14" i="39"/>
  <c r="H14" i="39"/>
  <c r="F12" i="40"/>
  <c r="AA12" i="40"/>
  <c r="H12" i="40"/>
  <c r="AB12" i="40"/>
  <c r="H30" i="40"/>
  <c r="AB30" i="40"/>
  <c r="F33" i="40"/>
  <c r="H33" i="40"/>
  <c r="U33" i="40"/>
  <c r="J35" i="40"/>
  <c r="J37" i="40"/>
  <c r="AC37" i="40"/>
  <c r="H13" i="40"/>
  <c r="U13" i="40"/>
  <c r="J13" i="40"/>
  <c r="AC13" i="40"/>
  <c r="F13" i="40"/>
  <c r="AA13" i="40"/>
  <c r="F14" i="37"/>
  <c r="S14" i="37"/>
  <c r="F27" i="37"/>
  <c r="AA27" i="37"/>
  <c r="F13" i="39"/>
  <c r="J13" i="39"/>
  <c r="W13" i="39"/>
  <c r="H14" i="40"/>
  <c r="AB14" i="40"/>
  <c r="J14" i="40"/>
  <c r="W14" i="40"/>
  <c r="F14" i="40"/>
  <c r="S14" i="40"/>
  <c r="J14" i="37"/>
  <c r="AC14" i="37"/>
  <c r="J27" i="37"/>
  <c r="AC27" i="37"/>
  <c r="J36" i="37"/>
  <c r="AC36" i="37"/>
  <c r="J10" i="36"/>
  <c r="AC10" i="36"/>
  <c r="W31" i="34"/>
  <c r="AA14" i="34"/>
  <c r="S45" i="33"/>
  <c r="AB31" i="33"/>
  <c r="U31" i="33"/>
  <c r="W29" i="33"/>
  <c r="F17" i="21"/>
  <c r="AA17" i="21"/>
  <c r="H17" i="21"/>
  <c r="AB17" i="21"/>
  <c r="F77" i="21"/>
  <c r="J41" i="39"/>
  <c r="W41" i="39"/>
  <c r="W44" i="39"/>
  <c r="W36" i="39"/>
  <c r="W35" i="39"/>
  <c r="S505" i="31"/>
  <c r="O27" i="31"/>
  <c r="O28" i="31"/>
  <c r="O26" i="31"/>
  <c r="M27" i="31"/>
  <c r="M28" i="31"/>
  <c r="M26" i="31"/>
  <c r="I26" i="31"/>
  <c r="I25" i="31"/>
  <c r="Q26" i="31"/>
  <c r="K26" i="31"/>
  <c r="I27" i="31"/>
  <c r="Q27" i="31"/>
  <c r="K27" i="31"/>
  <c r="I28" i="31"/>
  <c r="Q28" i="31"/>
  <c r="K28" i="31"/>
  <c r="H25" i="21"/>
  <c r="U25" i="21"/>
  <c r="F25" i="21"/>
  <c r="J25" i="21"/>
  <c r="AC25" i="21"/>
  <c r="E125" i="33"/>
  <c r="F125" i="33"/>
  <c r="H43" i="33"/>
  <c r="H17" i="37"/>
  <c r="U17" i="37"/>
  <c r="AB27" i="37"/>
  <c r="U32" i="33"/>
  <c r="F39" i="33"/>
  <c r="S39" i="33"/>
  <c r="AA39" i="33"/>
  <c r="E123" i="33"/>
  <c r="F123" i="33"/>
  <c r="F42" i="33"/>
  <c r="AA42" i="33"/>
  <c r="H28" i="34"/>
  <c r="AB28" i="34"/>
  <c r="F14" i="36"/>
  <c r="AA14" i="36"/>
  <c r="F22" i="36"/>
  <c r="S22" i="36"/>
  <c r="F26" i="36"/>
  <c r="S26" i="36"/>
  <c r="H27" i="34"/>
  <c r="H35" i="34"/>
  <c r="U35" i="34"/>
  <c r="F41" i="34"/>
  <c r="H41" i="34"/>
  <c r="U41" i="34"/>
  <c r="J41" i="34"/>
  <c r="AC41" i="34"/>
  <c r="F10" i="35"/>
  <c r="S10" i="35"/>
  <c r="F24" i="35"/>
  <c r="AA24" i="35"/>
  <c r="H24" i="35"/>
  <c r="AB24" i="35"/>
  <c r="H23" i="37"/>
  <c r="AB23" i="37"/>
  <c r="J32" i="37"/>
  <c r="AC32" i="37"/>
  <c r="F36" i="37"/>
  <c r="AA36" i="37"/>
  <c r="F37" i="37"/>
  <c r="F31" i="40"/>
  <c r="H31" i="40"/>
  <c r="U31" i="40"/>
  <c r="F32" i="40"/>
  <c r="H32" i="40"/>
  <c r="AB32" i="40"/>
  <c r="J36" i="40"/>
  <c r="W36" i="40"/>
  <c r="H19" i="37"/>
  <c r="U19" i="37"/>
  <c r="G123" i="33"/>
  <c r="H123" i="33"/>
  <c r="I123" i="33"/>
  <c r="J123" i="33"/>
  <c r="K123" i="33"/>
  <c r="L123" i="33"/>
  <c r="M123" i="33"/>
  <c r="H42" i="33"/>
  <c r="G125" i="33"/>
  <c r="J43" i="33"/>
  <c r="AC43" i="33"/>
  <c r="S28" i="31"/>
  <c r="S27" i="31"/>
  <c r="U14" i="40"/>
  <c r="AC32" i="36"/>
  <c r="U33" i="37"/>
  <c r="U39" i="37"/>
  <c r="AC8" i="37"/>
  <c r="W37" i="34"/>
  <c r="AB37" i="34"/>
  <c r="AA13" i="33"/>
  <c r="U11" i="33"/>
  <c r="U19" i="21"/>
  <c r="U26" i="21"/>
  <c r="AC46" i="21"/>
  <c r="AB38" i="21"/>
  <c r="F43" i="33"/>
  <c r="AA43" i="33"/>
  <c r="AC15" i="34"/>
  <c r="W16" i="35"/>
  <c r="W40" i="37"/>
  <c r="H19" i="34"/>
  <c r="AB19" i="34"/>
  <c r="F36" i="35"/>
  <c r="S36" i="35"/>
  <c r="J9" i="37"/>
  <c r="W9" i="37"/>
  <c r="H9" i="37"/>
  <c r="F9" i="37"/>
  <c r="J12" i="37"/>
  <c r="W12" i="37"/>
  <c r="H12" i="37"/>
  <c r="U12" i="37"/>
  <c r="AB12" i="37"/>
  <c r="F12" i="37"/>
  <c r="S12" i="37"/>
  <c r="E71" i="37"/>
  <c r="F71" i="37"/>
  <c r="G71" i="37"/>
  <c r="F15" i="37"/>
  <c r="E94" i="37"/>
  <c r="F31" i="37"/>
  <c r="S31" i="37"/>
  <c r="F12" i="39"/>
  <c r="S12" i="39"/>
  <c r="J42" i="39"/>
  <c r="AC42" i="39"/>
  <c r="H21" i="40"/>
  <c r="AC12" i="37"/>
  <c r="F94" i="37"/>
  <c r="G94" i="37"/>
  <c r="H94" i="37"/>
  <c r="I94" i="37"/>
  <c r="J94" i="37"/>
  <c r="K94" i="37"/>
  <c r="L94" i="37"/>
  <c r="M94" i="37"/>
  <c r="H31" i="37"/>
  <c r="U31" i="37"/>
  <c r="J15" i="37"/>
  <c r="W15" i="37"/>
  <c r="C12" i="43"/>
  <c r="H19" i="40"/>
  <c r="AB19" i="40"/>
  <c r="G88" i="40"/>
  <c r="F19" i="40"/>
  <c r="AB33" i="40"/>
  <c r="W23" i="39"/>
  <c r="AC43" i="39"/>
  <c r="W43" i="39"/>
  <c r="U45" i="39"/>
  <c r="AB45" i="39"/>
  <c r="AB44" i="39"/>
  <c r="U44" i="39"/>
  <c r="H37" i="39"/>
  <c r="AB37" i="39"/>
  <c r="AC37" i="39"/>
  <c r="W37" i="39"/>
  <c r="H41" i="39"/>
  <c r="U41" i="39"/>
  <c r="AB34" i="39"/>
  <c r="AA41" i="39"/>
  <c r="W8" i="39"/>
  <c r="J19" i="40"/>
  <c r="AC19" i="40"/>
  <c r="J50" i="40"/>
  <c r="B54" i="72"/>
  <c r="H103" i="9"/>
  <c r="D120" i="9"/>
  <c r="D6" i="52"/>
  <c r="D8" i="53"/>
  <c r="B24" i="72"/>
  <c r="B16" i="53"/>
  <c r="B33" i="72"/>
  <c r="C7" i="37"/>
  <c r="C7" i="34"/>
  <c r="C7" i="36"/>
  <c r="A118" i="9"/>
  <c r="A4" i="52"/>
  <c r="B41" i="72"/>
  <c r="A12" i="52"/>
  <c r="B56" i="72"/>
  <c r="G4" i="4"/>
  <c r="I4" i="4"/>
  <c r="K5" i="4"/>
  <c r="B47" i="48"/>
  <c r="A2" i="9"/>
  <c r="F59" i="43"/>
  <c r="BO5" i="3"/>
  <c r="BJ5" i="3"/>
  <c r="BH5" i="3"/>
  <c r="BF5" i="3"/>
  <c r="BS5" i="3"/>
  <c r="BP5" i="3"/>
  <c r="BN5" i="3"/>
  <c r="G29" i="6"/>
  <c r="BK5" i="3"/>
  <c r="BI5" i="3"/>
  <c r="BG5" i="3"/>
  <c r="BC5" i="3"/>
  <c r="BT5" i="3"/>
  <c r="BB5" i="3"/>
  <c r="E5" i="6"/>
  <c r="BR5" i="3"/>
  <c r="G28" i="6"/>
  <c r="U36" i="40"/>
  <c r="F36" i="43"/>
  <c r="F81" i="43"/>
  <c r="F48" i="43"/>
  <c r="F70" i="43"/>
  <c r="H73" i="43"/>
  <c r="M11" i="43"/>
  <c r="D17" i="43"/>
  <c r="F39" i="43"/>
  <c r="I17" i="43"/>
  <c r="F35" i="43"/>
  <c r="J17" i="43"/>
  <c r="F6" i="1"/>
  <c r="S14" i="35"/>
  <c r="U43" i="21"/>
  <c r="U35" i="21"/>
  <c r="AC35" i="21"/>
  <c r="U10" i="21"/>
  <c r="G8" i="1"/>
  <c r="F48" i="9"/>
  <c r="O52" i="9"/>
  <c r="U12" i="40"/>
  <c r="J37" i="33"/>
  <c r="W37" i="33"/>
  <c r="AC17" i="34"/>
  <c r="H106" i="33"/>
  <c r="I106" i="33"/>
  <c r="J106" i="33"/>
  <c r="K106" i="33"/>
  <c r="L106" i="33"/>
  <c r="M106" i="33"/>
  <c r="J34" i="33"/>
  <c r="W34" i="33"/>
  <c r="F33" i="34"/>
  <c r="H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AA40" i="34"/>
  <c r="S40" i="34"/>
  <c r="F43" i="34"/>
  <c r="AA43" i="34"/>
  <c r="H44" i="34"/>
  <c r="AB44" i="34"/>
  <c r="F39" i="39"/>
  <c r="S39" i="39"/>
  <c r="J39" i="39"/>
  <c r="E97" i="39"/>
  <c r="F97" i="39"/>
  <c r="G97" i="39"/>
  <c r="C40" i="11"/>
  <c r="H75" i="43"/>
  <c r="I20" i="43"/>
  <c r="F23" i="39"/>
  <c r="H27" i="36"/>
  <c r="AB27" i="36"/>
  <c r="F27" i="36"/>
  <c r="AA27" i="36"/>
  <c r="H33" i="34"/>
  <c r="AB33" i="34"/>
  <c r="U33" i="34"/>
  <c r="F32" i="37"/>
  <c r="F20" i="36"/>
  <c r="AA20" i="36"/>
  <c r="J33" i="34"/>
  <c r="W33" i="34"/>
  <c r="H23" i="39"/>
  <c r="D48" i="9"/>
  <c r="M52" i="9"/>
  <c r="H86" i="43"/>
  <c r="H82" i="43"/>
  <c r="D93" i="9"/>
  <c r="K6" i="1"/>
  <c r="AP6" i="1"/>
  <c r="W26" i="33"/>
  <c r="W27" i="34"/>
  <c r="AC27" i="34"/>
  <c r="AB34" i="36"/>
  <c r="U34" i="36"/>
  <c r="AC39" i="40"/>
  <c r="W39" i="40"/>
  <c r="AA32" i="36"/>
  <c r="W28" i="37"/>
  <c r="S19" i="39"/>
  <c r="F12" i="33"/>
  <c r="S12" i="33"/>
  <c r="H12" i="39"/>
  <c r="AB12" i="39"/>
  <c r="F39" i="40"/>
  <c r="S12" i="1"/>
  <c r="T12" i="1"/>
  <c r="R12" i="1"/>
  <c r="B12" i="1"/>
  <c r="E12" i="1"/>
  <c r="B10" i="1"/>
  <c r="E10" i="1"/>
  <c r="K12" i="1"/>
  <c r="M12" i="1"/>
  <c r="S13" i="1"/>
  <c r="R13" i="1"/>
  <c r="S11" i="1"/>
  <c r="T11" i="1"/>
  <c r="R11" i="1"/>
  <c r="J51" i="67"/>
  <c r="C42" i="1"/>
  <c r="C30" i="69"/>
  <c r="B41" i="1"/>
  <c r="H100" i="43"/>
  <c r="C30" i="66"/>
  <c r="E26" i="66"/>
  <c r="AC34" i="33"/>
  <c r="F53" i="9"/>
  <c r="J100" i="43"/>
  <c r="AB37" i="40"/>
  <c r="S35" i="40"/>
  <c r="U35" i="40"/>
  <c r="AC36" i="40"/>
  <c r="S17" i="40"/>
  <c r="S23" i="40"/>
  <c r="AC17" i="40"/>
  <c r="AC15" i="40"/>
  <c r="U37" i="39"/>
  <c r="S37" i="39"/>
  <c r="U35" i="39"/>
  <c r="U31" i="39"/>
  <c r="J21" i="39"/>
  <c r="AC21" i="39"/>
  <c r="F21" i="39"/>
  <c r="G95" i="39"/>
  <c r="H21" i="39"/>
  <c r="U21" i="39"/>
  <c r="W19" i="39"/>
  <c r="U19" i="39"/>
  <c r="S9" i="39"/>
  <c r="AC13" i="39"/>
  <c r="U13" i="36"/>
  <c r="AC27" i="36"/>
  <c r="U26" i="36"/>
  <c r="AA26" i="36"/>
  <c r="S29" i="36"/>
  <c r="AC26" i="36"/>
  <c r="AB14" i="36"/>
  <c r="U22" i="36"/>
  <c r="S16" i="36"/>
  <c r="S24" i="36"/>
  <c r="U24" i="36"/>
  <c r="U16" i="36"/>
  <c r="S14" i="36"/>
  <c r="U10" i="36"/>
  <c r="W10" i="36"/>
  <c r="S23" i="35"/>
  <c r="AB13" i="35"/>
  <c r="U29" i="35"/>
  <c r="U28" i="35"/>
  <c r="AB27" i="35"/>
  <c r="U36" i="35"/>
  <c r="AA33" i="35"/>
  <c r="S32" i="35"/>
  <c r="W32" i="35"/>
  <c r="S28" i="35"/>
  <c r="U22" i="35"/>
  <c r="S20" i="35"/>
  <c r="AC20" i="35"/>
  <c r="S22" i="35"/>
  <c r="U14" i="35"/>
  <c r="AC10" i="35"/>
  <c r="AA10" i="35"/>
  <c r="AB10" i="35"/>
  <c r="AA11" i="35"/>
  <c r="S8" i="35"/>
  <c r="AC9" i="35"/>
  <c r="W9" i="35"/>
  <c r="W13" i="35"/>
  <c r="F9" i="35"/>
  <c r="H9" i="35"/>
  <c r="U9" i="35"/>
  <c r="F26" i="35"/>
  <c r="AA26" i="35"/>
  <c r="J26" i="35"/>
  <c r="W26" i="35"/>
  <c r="H26" i="35"/>
  <c r="AB26" i="35"/>
  <c r="W27" i="37"/>
  <c r="AC9" i="37"/>
  <c r="U29" i="37"/>
  <c r="AB31" i="37"/>
  <c r="S36" i="37"/>
  <c r="AA38" i="37"/>
  <c r="W38" i="37"/>
  <c r="W39" i="37"/>
  <c r="S30" i="37"/>
  <c r="AC15" i="37"/>
  <c r="J17" i="37"/>
  <c r="G73" i="37"/>
  <c r="F17" i="37"/>
  <c r="AA17" i="37"/>
  <c r="AB17" i="37"/>
  <c r="F19" i="37"/>
  <c r="F79" i="37"/>
  <c r="G79" i="37"/>
  <c r="F23" i="37"/>
  <c r="S23" i="37"/>
  <c r="U15" i="37"/>
  <c r="AC13" i="37"/>
  <c r="AA13" i="37"/>
  <c r="AA12" i="37"/>
  <c r="H10" i="37"/>
  <c r="AB10" i="37"/>
  <c r="H60" i="37"/>
  <c r="F11" i="37"/>
  <c r="S11" i="37"/>
  <c r="W25" i="34"/>
  <c r="AB8" i="34"/>
  <c r="U43" i="34"/>
  <c r="AC42" i="34"/>
  <c r="AB35" i="34"/>
  <c r="U39" i="34"/>
  <c r="S43" i="34"/>
  <c r="W34" i="34"/>
  <c r="AA25" i="34"/>
  <c r="U28" i="34"/>
  <c r="S17" i="34"/>
  <c r="AA29" i="34"/>
  <c r="S23" i="34"/>
  <c r="U15" i="34"/>
  <c r="H67" i="34"/>
  <c r="H10" i="34"/>
  <c r="AB10" i="34"/>
  <c r="F11" i="34"/>
  <c r="S11" i="34"/>
  <c r="F70" i="34"/>
  <c r="W42" i="33"/>
  <c r="AA35" i="33"/>
  <c r="S32" i="33"/>
  <c r="AB29" i="33"/>
  <c r="W38" i="33"/>
  <c r="H41" i="33"/>
  <c r="F121" i="33"/>
  <c r="G121" i="33"/>
  <c r="H121" i="33"/>
  <c r="I121" i="33"/>
  <c r="J121" i="33"/>
  <c r="K121" i="33"/>
  <c r="L121" i="33"/>
  <c r="M121" i="33"/>
  <c r="S42" i="33"/>
  <c r="F36" i="33"/>
  <c r="G111" i="33"/>
  <c r="H111" i="33"/>
  <c r="I111" i="33"/>
  <c r="J111" i="33"/>
  <c r="K111" i="33"/>
  <c r="L111" i="33"/>
  <c r="M111" i="33"/>
  <c r="G108" i="33"/>
  <c r="H108" i="33"/>
  <c r="I108" i="33"/>
  <c r="J108" i="33"/>
  <c r="K108" i="33"/>
  <c r="L108" i="33"/>
  <c r="M108" i="33"/>
  <c r="J35" i="33"/>
  <c r="W35" i="33"/>
  <c r="S37" i="33"/>
  <c r="AA37" i="33"/>
  <c r="F101" i="33"/>
  <c r="G101" i="33"/>
  <c r="H101" i="33"/>
  <c r="I101" i="33"/>
  <c r="J101" i="33"/>
  <c r="K101" i="33"/>
  <c r="L101" i="33"/>
  <c r="M101" i="33"/>
  <c r="J32" i="33"/>
  <c r="AC32" i="33"/>
  <c r="W43" i="33"/>
  <c r="S43" i="33"/>
  <c r="F91" i="33"/>
  <c r="G91" i="33"/>
  <c r="H91" i="33"/>
  <c r="H27" i="33"/>
  <c r="AB27" i="33"/>
  <c r="F87" i="33"/>
  <c r="H25" i="33"/>
  <c r="U25" i="33"/>
  <c r="F25" i="33"/>
  <c r="S25" i="33"/>
  <c r="J23" i="33"/>
  <c r="F85" i="33"/>
  <c r="G85" i="33"/>
  <c r="H23" i="33"/>
  <c r="U23" i="33"/>
  <c r="F81" i="33"/>
  <c r="F19" i="33"/>
  <c r="S19" i="33"/>
  <c r="W19" i="33"/>
  <c r="J17" i="33"/>
  <c r="W17" i="33"/>
  <c r="F79" i="33"/>
  <c r="S15" i="33"/>
  <c r="W15" i="33"/>
  <c r="I66" i="33"/>
  <c r="J10" i="33"/>
  <c r="H10" i="33"/>
  <c r="AB10" i="33"/>
  <c r="AA10" i="33"/>
  <c r="AC11" i="33"/>
  <c r="W36" i="21"/>
  <c r="W41" i="21"/>
  <c r="S39" i="21"/>
  <c r="AA38" i="21"/>
  <c r="AC40" i="21"/>
  <c r="G77" i="21"/>
  <c r="AA14" i="21"/>
  <c r="AB8" i="21"/>
  <c r="S8" i="21"/>
  <c r="M3" i="43"/>
  <c r="M1" i="43"/>
  <c r="N8" i="43"/>
  <c r="C18" i="9"/>
  <c r="D18" i="9"/>
  <c r="F34" i="67"/>
  <c r="F62" i="67"/>
  <c r="M20" i="67"/>
  <c r="F34" i="15"/>
  <c r="J56" i="9"/>
  <c r="J57" i="9"/>
  <c r="A24" i="51"/>
  <c r="B18" i="72"/>
  <c r="E32" i="6"/>
  <c r="L19" i="6"/>
  <c r="G1" i="68"/>
  <c r="K1" i="12"/>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H85" i="43"/>
  <c r="H81" i="43"/>
  <c r="H84" i="43"/>
  <c r="H53" i="43"/>
  <c r="H78" i="43"/>
  <c r="C17" i="43"/>
  <c r="F33" i="43"/>
  <c r="K17" i="43"/>
  <c r="F34" i="43"/>
  <c r="N6" i="43"/>
  <c r="C6" i="43"/>
  <c r="N3" i="43"/>
  <c r="F38" i="43"/>
  <c r="F37" i="43"/>
  <c r="M9" i="43"/>
  <c r="N5" i="43"/>
  <c r="M12" i="43"/>
  <c r="B19" i="53"/>
  <c r="B37" i="72"/>
  <c r="C7" i="39"/>
  <c r="C68" i="39"/>
  <c r="C70" i="39"/>
  <c r="C7" i="35"/>
  <c r="C48" i="35"/>
  <c r="D48" i="35"/>
  <c r="E48" i="35"/>
  <c r="C7" i="33"/>
  <c r="C58" i="33"/>
  <c r="C7" i="21"/>
  <c r="C58" i="21"/>
  <c r="C7" i="40"/>
  <c r="C63" i="40"/>
  <c r="M47" i="9"/>
  <c r="G19" i="43"/>
  <c r="O19" i="43"/>
  <c r="T35" i="4"/>
  <c r="A19" i="51"/>
  <c r="B14" i="72"/>
  <c r="C46" i="36"/>
  <c r="D46" i="36"/>
  <c r="C59" i="34"/>
  <c r="D59" i="34"/>
  <c r="E59" i="34"/>
  <c r="F59" i="34"/>
  <c r="G59" i="34"/>
  <c r="H59" i="34"/>
  <c r="C52" i="37"/>
  <c r="D52" i="37"/>
  <c r="E52" i="37"/>
  <c r="F52" i="37"/>
  <c r="G52" i="37"/>
  <c r="A4" i="51"/>
  <c r="B6" i="72"/>
  <c r="H66" i="43"/>
  <c r="H64" i="43"/>
  <c r="H63" i="43"/>
  <c r="H55" i="43"/>
  <c r="H56" i="43"/>
  <c r="L20" i="6"/>
  <c r="B6" i="1"/>
  <c r="E6" i="1"/>
  <c r="K11" i="1"/>
  <c r="M11" i="1"/>
  <c r="B9" i="1"/>
  <c r="E9" i="1"/>
  <c r="K7" i="1"/>
  <c r="AP7" i="1"/>
  <c r="G1" i="15"/>
  <c r="G1" i="69"/>
  <c r="G1" i="67"/>
  <c r="W23" i="40"/>
  <c r="U32" i="40"/>
  <c r="AB31" i="40"/>
  <c r="S37" i="40"/>
  <c r="AB28" i="40"/>
  <c r="W28" i="40"/>
  <c r="W34" i="40"/>
  <c r="W19" i="40"/>
  <c r="S36" i="40"/>
  <c r="W37" i="40"/>
  <c r="AC14" i="40"/>
  <c r="S13" i="40"/>
  <c r="AA15" i="40"/>
  <c r="U11" i="40"/>
  <c r="AB13" i="40"/>
  <c r="U15" i="40"/>
  <c r="AB17" i="40"/>
  <c r="U8" i="40"/>
  <c r="S8" i="40"/>
  <c r="AA39" i="39"/>
  <c r="AC41" i="39"/>
  <c r="U13" i="39"/>
  <c r="AB13" i="39"/>
  <c r="AA13" i="39"/>
  <c r="S13" i="39"/>
  <c r="S14" i="39"/>
  <c r="AA14" i="39"/>
  <c r="U43" i="39"/>
  <c r="AB43" i="39"/>
  <c r="W31" i="39"/>
  <c r="AC31" i="39"/>
  <c r="W34" i="39"/>
  <c r="S8" i="39"/>
  <c r="AC25" i="36"/>
  <c r="S28" i="36"/>
  <c r="W29" i="36"/>
  <c r="AA13" i="36"/>
  <c r="W9" i="36"/>
  <c r="W22" i="36"/>
  <c r="S9" i="36"/>
  <c r="AB20" i="35"/>
  <c r="AC25" i="35"/>
  <c r="U25" i="35"/>
  <c r="S24" i="35"/>
  <c r="W33" i="35"/>
  <c r="AA30" i="35"/>
  <c r="U24" i="35"/>
  <c r="S35" i="35"/>
  <c r="W35" i="35"/>
  <c r="AA16" i="35"/>
  <c r="AA35" i="37"/>
  <c r="W36" i="37"/>
  <c r="S27" i="37"/>
  <c r="S28" i="37"/>
  <c r="W32" i="37"/>
  <c r="U36" i="37"/>
  <c r="S40" i="37"/>
  <c r="AB37" i="37"/>
  <c r="S33" i="37"/>
  <c r="AC34" i="37"/>
  <c r="AB35" i="37"/>
  <c r="AA31" i="37"/>
  <c r="AA29" i="37"/>
  <c r="AA8" i="37"/>
  <c r="U8" i="37"/>
  <c r="AB40" i="34"/>
  <c r="U19" i="34"/>
  <c r="W19" i="34"/>
  <c r="AC45" i="34"/>
  <c r="AA31" i="34"/>
  <c r="AB45" i="34"/>
  <c r="U25" i="34"/>
  <c r="AB36" i="34"/>
  <c r="AC14" i="34"/>
  <c r="AC29" i="34"/>
  <c r="W29" i="34"/>
  <c r="W46" i="34"/>
  <c r="AC46" i="34"/>
  <c r="U30" i="34"/>
  <c r="AB30" i="34"/>
  <c r="S37" i="34"/>
  <c r="U38" i="34"/>
  <c r="AC40" i="34"/>
  <c r="W40" i="34"/>
  <c r="AA19" i="34"/>
  <c r="S19" i="34"/>
  <c r="AA36" i="34"/>
  <c r="S36" i="34"/>
  <c r="AA8" i="34"/>
  <c r="S8" i="34"/>
  <c r="AB9" i="34"/>
  <c r="U9" i="34"/>
  <c r="S46" i="34"/>
  <c r="U14" i="34"/>
  <c r="AB14" i="34"/>
  <c r="AC43" i="34"/>
  <c r="W43" i="34"/>
  <c r="W23" i="34"/>
  <c r="AC23" i="34"/>
  <c r="AC35" i="34"/>
  <c r="W35" i="34"/>
  <c r="AC37" i="33"/>
  <c r="W46" i="33"/>
  <c r="U39" i="33"/>
  <c r="S33" i="33"/>
  <c r="AB34" i="33"/>
  <c r="U44" i="33"/>
  <c r="S30" i="33"/>
  <c r="AA30" i="33"/>
  <c r="AC30" i="33"/>
  <c r="W30" i="33"/>
  <c r="S31" i="33"/>
  <c r="AA31" i="33"/>
  <c r="W13" i="33"/>
  <c r="AC13" i="33"/>
  <c r="U15" i="33"/>
  <c r="S11" i="33"/>
  <c r="U37" i="33"/>
  <c r="W9" i="33"/>
  <c r="W8" i="33"/>
  <c r="U28" i="21"/>
  <c r="I101" i="21"/>
  <c r="J101" i="21"/>
  <c r="K101" i="21"/>
  <c r="L101" i="21"/>
  <c r="M101" i="21"/>
  <c r="F33" i="21"/>
  <c r="AA33" i="21"/>
  <c r="J33" i="21"/>
  <c r="AC33" i="21"/>
  <c r="H33" i="21"/>
  <c r="AB33" i="21"/>
  <c r="F37" i="21"/>
  <c r="AA26" i="21"/>
  <c r="AB14" i="21"/>
  <c r="U40" i="21"/>
  <c r="AB31" i="21"/>
  <c r="U31" i="21"/>
  <c r="AB13" i="21"/>
  <c r="W8" i="21"/>
  <c r="S35" i="21"/>
  <c r="H15" i="21"/>
  <c r="J17" i="21"/>
  <c r="AC17" i="21"/>
  <c r="AC19" i="21"/>
  <c r="AC14" i="21"/>
  <c r="W30" i="21"/>
  <c r="H45" i="21"/>
  <c r="U45" i="21"/>
  <c r="F29" i="21"/>
  <c r="F13" i="21"/>
  <c r="AA13" i="21"/>
  <c r="AC38" i="21"/>
  <c r="H9" i="21"/>
  <c r="AB9" i="21"/>
  <c r="J9" i="21"/>
  <c r="AC9" i="21"/>
  <c r="U17" i="21"/>
  <c r="W29" i="21"/>
  <c r="S9" i="21"/>
  <c r="AA9" i="21"/>
  <c r="K141" i="21"/>
  <c r="K144" i="21"/>
  <c r="K143" i="21"/>
  <c r="U27" i="21"/>
  <c r="AB25" i="21"/>
  <c r="W13" i="21"/>
  <c r="AC45" i="21"/>
  <c r="F10" i="21"/>
  <c r="S10" i="21"/>
  <c r="K145" i="21"/>
  <c r="W25" i="21"/>
  <c r="W31" i="21"/>
  <c r="S17" i="21"/>
  <c r="AC27" i="21"/>
  <c r="AC26" i="21"/>
  <c r="AB29" i="21"/>
  <c r="S28" i="21"/>
  <c r="W12" i="21"/>
  <c r="AB36" i="21"/>
  <c r="W30" i="40"/>
  <c r="C19" i="39"/>
  <c r="C15" i="40"/>
  <c r="C17" i="40"/>
  <c r="C23" i="40"/>
  <c r="C21" i="40"/>
  <c r="B54" i="43"/>
  <c r="B65" i="43"/>
  <c r="B49" i="43"/>
  <c r="B52" i="43"/>
  <c r="B56" i="43"/>
  <c r="B60" i="43"/>
  <c r="B63" i="43"/>
  <c r="B67" i="43"/>
  <c r="D23" i="15"/>
  <c r="D22" i="15"/>
  <c r="M6" i="1"/>
  <c r="F30" i="68"/>
  <c r="F30" i="11"/>
  <c r="C48" i="11"/>
  <c r="F52" i="9"/>
  <c r="M18" i="67"/>
  <c r="F30" i="69"/>
  <c r="C48" i="69"/>
  <c r="F32" i="15"/>
  <c r="F60" i="15"/>
  <c r="F28" i="15"/>
  <c r="C28" i="15"/>
  <c r="T13" i="1"/>
  <c r="E7" i="70"/>
  <c r="AA39" i="40"/>
  <c r="S39" i="40"/>
  <c r="AA12" i="33"/>
  <c r="D68" i="9"/>
  <c r="AB21" i="39"/>
  <c r="AA21" i="39"/>
  <c r="S21" i="39"/>
  <c r="W21" i="39"/>
  <c r="S26" i="35"/>
  <c r="AB9" i="35"/>
  <c r="AA9" i="35"/>
  <c r="S9" i="35"/>
  <c r="J19" i="37"/>
  <c r="W19" i="37"/>
  <c r="S19" i="37"/>
  <c r="AA19" i="37"/>
  <c r="J23" i="37"/>
  <c r="W23" i="37"/>
  <c r="J10" i="37"/>
  <c r="AC10" i="37"/>
  <c r="I60" i="37"/>
  <c r="H11" i="37"/>
  <c r="U11" i="37"/>
  <c r="U10" i="37"/>
  <c r="G70" i="34"/>
  <c r="H70" i="34"/>
  <c r="H11" i="34"/>
  <c r="J10" i="34"/>
  <c r="AC10" i="34"/>
  <c r="I67" i="34"/>
  <c r="AB41" i="33"/>
  <c r="U41" i="33"/>
  <c r="AC35" i="33"/>
  <c r="J36" i="33"/>
  <c r="H36" i="33"/>
  <c r="U36" i="33"/>
  <c r="S36" i="33"/>
  <c r="AA36" i="33"/>
  <c r="W32" i="33"/>
  <c r="U27" i="33"/>
  <c r="I91" i="33"/>
  <c r="J91" i="33"/>
  <c r="K91" i="33"/>
  <c r="L91" i="33"/>
  <c r="M91" i="33"/>
  <c r="J27" i="33"/>
  <c r="W27" i="33"/>
  <c r="AB25" i="33"/>
  <c r="AA25" i="33"/>
  <c r="G87" i="33"/>
  <c r="H87" i="33"/>
  <c r="I87" i="33"/>
  <c r="J87" i="33"/>
  <c r="K87" i="33"/>
  <c r="L87" i="33"/>
  <c r="M87" i="33"/>
  <c r="J25" i="33"/>
  <c r="F23" i="33"/>
  <c r="AA23" i="33"/>
  <c r="AC23" i="33"/>
  <c r="W23" i="33"/>
  <c r="AA19" i="33"/>
  <c r="H19" i="33"/>
  <c r="G81" i="33"/>
  <c r="G79" i="33"/>
  <c r="H17" i="33"/>
  <c r="AB17" i="33"/>
  <c r="F17" i="33"/>
  <c r="AC17" i="33"/>
  <c r="U10" i="33"/>
  <c r="AC10" i="33"/>
  <c r="W10" i="33"/>
  <c r="S13" i="21"/>
  <c r="J59" i="9"/>
  <c r="J61" i="9"/>
  <c r="AB45" i="21"/>
  <c r="S33" i="21"/>
  <c r="S32" i="21"/>
  <c r="U32" i="21"/>
  <c r="C30" i="11"/>
  <c r="E6" i="70"/>
  <c r="D3" i="21"/>
  <c r="AC23" i="37"/>
  <c r="J11" i="37"/>
  <c r="AC11" i="37"/>
  <c r="W10" i="37"/>
  <c r="U11" i="34"/>
  <c r="AB11" i="34"/>
  <c r="I70" i="34"/>
  <c r="J70" i="34"/>
  <c r="K70" i="34"/>
  <c r="L70" i="34"/>
  <c r="M70" i="34"/>
  <c r="J11" i="34"/>
  <c r="AC11" i="34"/>
  <c r="AC36" i="33"/>
  <c r="W36" i="33"/>
  <c r="W25" i="33"/>
  <c r="AC25" i="33"/>
  <c r="S23" i="33"/>
  <c r="AB19" i="33"/>
  <c r="U19" i="33"/>
  <c r="C24" i="12"/>
  <c r="W11" i="37"/>
  <c r="AE7" i="1"/>
  <c r="AE6" i="1"/>
  <c r="AG6" i="1"/>
  <c r="H109" i="9"/>
  <c r="H112" i="9"/>
  <c r="D21" i="53"/>
  <c r="B39" i="72"/>
  <c r="H111" i="9"/>
  <c r="D126" i="9"/>
  <c r="D127" i="9"/>
  <c r="D13" i="52"/>
  <c r="D59" i="9"/>
  <c r="M55" i="9"/>
  <c r="AD3" i="71"/>
  <c r="J1" i="73"/>
  <c r="C77" i="9"/>
  <c r="C74" i="9"/>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H52" i="37"/>
  <c r="I52" i="37"/>
  <c r="F48" i="35"/>
  <c r="G48" i="35"/>
  <c r="H48" i="35"/>
  <c r="I48" i="35"/>
  <c r="J48" i="35"/>
  <c r="K48" i="35"/>
  <c r="L48" i="35"/>
  <c r="M48" i="35"/>
  <c r="N48" i="35"/>
  <c r="O48" i="35"/>
  <c r="E46" i="36"/>
  <c r="D58" i="21"/>
  <c r="D12" i="71"/>
  <c r="D13" i="71"/>
  <c r="U13" i="71"/>
  <c r="S13" i="71"/>
  <c r="T13" i="71"/>
  <c r="AB11" i="71"/>
  <c r="X9" i="71"/>
  <c r="X8" i="71"/>
  <c r="AA9" i="71"/>
  <c r="AA8" i="71"/>
  <c r="X12" i="71"/>
  <c r="Y8" i="71"/>
  <c r="Z8" i="71"/>
  <c r="AB9" i="71"/>
  <c r="AB8" i="71"/>
  <c r="C94" i="9"/>
  <c r="C92" i="9"/>
  <c r="Y9" i="71"/>
  <c r="Z9" i="71"/>
  <c r="AB3" i="71"/>
  <c r="X3" i="71"/>
  <c r="AF3" i="71"/>
  <c r="P24" i="43"/>
  <c r="B66" i="40"/>
  <c r="P21" i="43"/>
  <c r="P22" i="43"/>
  <c r="C19" i="68"/>
  <c r="G20" i="43"/>
  <c r="E41" i="43"/>
  <c r="C41" i="43"/>
  <c r="E58" i="21"/>
  <c r="F58" i="21"/>
  <c r="G58" i="21"/>
  <c r="H58" i="21"/>
  <c r="P23" i="43"/>
  <c r="B71" i="39"/>
  <c r="P25" i="43"/>
  <c r="C20" i="43"/>
  <c r="C19" i="43"/>
  <c r="F31" i="67"/>
  <c r="F31" i="15"/>
  <c r="K1" i="73"/>
  <c r="F59" i="15"/>
  <c r="F59" i="67"/>
  <c r="M17" i="15"/>
  <c r="M17" i="67"/>
  <c r="AB7" i="71"/>
  <c r="C76" i="15"/>
  <c r="M22" i="15"/>
  <c r="M28" i="67"/>
  <c r="B11" i="76"/>
  <c r="D5" i="73"/>
  <c r="M6" i="67"/>
  <c r="F6" i="67"/>
  <c r="M23" i="67"/>
  <c r="D2" i="34"/>
  <c r="F40" i="67"/>
  <c r="M29" i="67"/>
  <c r="F6" i="73"/>
  <c r="J15" i="15"/>
  <c r="F20" i="31"/>
  <c r="F16" i="67"/>
  <c r="L47" i="67"/>
  <c r="M26" i="15"/>
  <c r="F3" i="73"/>
  <c r="E7" i="76"/>
  <c r="B12" i="76"/>
  <c r="D2" i="35"/>
  <c r="E9" i="76"/>
  <c r="M9" i="67"/>
  <c r="F38" i="67"/>
  <c r="E13" i="76"/>
  <c r="M24" i="67"/>
  <c r="E10" i="76"/>
  <c r="B13" i="76"/>
  <c r="E8" i="76"/>
  <c r="L47" i="15"/>
  <c r="D2" i="33"/>
  <c r="B8" i="76"/>
  <c r="D7" i="73"/>
  <c r="F37" i="67"/>
  <c r="AO12" i="1"/>
  <c r="AO13" i="1"/>
  <c r="F7" i="73"/>
  <c r="M28" i="15"/>
  <c r="D2" i="36"/>
  <c r="F5" i="73"/>
  <c r="M24" i="15"/>
  <c r="M23" i="15"/>
  <c r="F43" i="67"/>
  <c r="B9" i="76"/>
  <c r="AO7" i="1"/>
  <c r="F9" i="67"/>
  <c r="F8" i="67"/>
  <c r="M22" i="67"/>
  <c r="M21" i="67"/>
  <c r="E11" i="76"/>
  <c r="E12" i="76"/>
  <c r="F4" i="73"/>
  <c r="F13" i="67"/>
  <c r="F26" i="67"/>
  <c r="L48" i="67"/>
  <c r="D2" i="21"/>
  <c r="B7" i="76"/>
  <c r="F7" i="67"/>
  <c r="C76" i="67"/>
  <c r="E2" i="69"/>
  <c r="E2" i="68"/>
  <c r="AO11" i="1"/>
  <c r="B10" i="76"/>
  <c r="M27" i="15"/>
  <c r="M8" i="67"/>
  <c r="M26" i="67"/>
  <c r="D2" i="37"/>
  <c r="F36" i="67"/>
  <c r="F42" i="67"/>
  <c r="AO6" i="1"/>
  <c r="J15" i="67"/>
  <c r="C65" i="40"/>
  <c r="D63" i="40"/>
  <c r="D65" i="40"/>
  <c r="C30" i="68"/>
  <c r="W9" i="39"/>
  <c r="U33" i="21"/>
  <c r="W33" i="21"/>
  <c r="S44" i="21"/>
  <c r="AC12" i="39"/>
  <c r="AA12" i="39"/>
  <c r="U12" i="39"/>
  <c r="D58" i="33"/>
  <c r="E58" i="33"/>
  <c r="F58" i="33"/>
  <c r="G58" i="33"/>
  <c r="H58" i="33"/>
  <c r="I58" i="33"/>
  <c r="J58" i="33"/>
  <c r="K58" i="33"/>
  <c r="L58" i="33"/>
  <c r="M58" i="33"/>
  <c r="N58" i="33"/>
  <c r="O58" i="33"/>
  <c r="H7" i="33"/>
  <c r="J7" i="33"/>
  <c r="F7" i="33"/>
  <c r="U27" i="40"/>
  <c r="AB27" i="40"/>
  <c r="G17" i="43"/>
  <c r="W9" i="21"/>
  <c r="U25" i="36"/>
  <c r="AB25" i="36"/>
  <c r="AA27" i="33"/>
  <c r="S27" i="33"/>
  <c r="S31" i="21"/>
  <c r="AA31" i="21"/>
  <c r="W35" i="37"/>
  <c r="AC35" i="37"/>
  <c r="S17" i="37"/>
  <c r="U30" i="40"/>
  <c r="AC20" i="36"/>
  <c r="L27" i="6"/>
  <c r="AA29" i="33"/>
  <c r="S13" i="34"/>
  <c r="AA45" i="34"/>
  <c r="W17" i="37"/>
  <c r="AC17" i="37"/>
  <c r="W42" i="39"/>
  <c r="S33" i="34"/>
  <c r="AA33" i="34"/>
  <c r="AC44" i="34"/>
  <c r="H62" i="43"/>
  <c r="H65" i="43"/>
  <c r="AC31" i="33"/>
  <c r="S32" i="40"/>
  <c r="AA32" i="40"/>
  <c r="F25" i="36"/>
  <c r="AB17" i="34"/>
  <c r="U17" i="34"/>
  <c r="AB40" i="39"/>
  <c r="U40" i="39"/>
  <c r="AC43" i="21"/>
  <c r="W43" i="21"/>
  <c r="AA19" i="21"/>
  <c r="S19" i="21"/>
  <c r="AB34" i="40"/>
  <c r="U34" i="40"/>
  <c r="AB11" i="37"/>
  <c r="G30" i="6"/>
  <c r="AC19" i="37"/>
  <c r="W11" i="34"/>
  <c r="U9" i="21"/>
  <c r="D121" i="9"/>
  <c r="D7" i="52"/>
  <c r="U10" i="34"/>
  <c r="U26" i="35"/>
  <c r="W10" i="21"/>
  <c r="U38" i="37"/>
  <c r="AA39" i="34"/>
  <c r="F15" i="39"/>
  <c r="S9" i="37"/>
  <c r="AA9" i="37"/>
  <c r="AB42" i="33"/>
  <c r="U42" i="33"/>
  <c r="AB14" i="39"/>
  <c r="U14" i="39"/>
  <c r="J13" i="34"/>
  <c r="U16" i="35"/>
  <c r="AB16" i="35"/>
  <c r="S34" i="36"/>
  <c r="AA34" i="36"/>
  <c r="AC27" i="39"/>
  <c r="W27" i="39"/>
  <c r="F30" i="21"/>
  <c r="H30" i="21"/>
  <c r="AB30" i="21"/>
  <c r="AA10" i="34"/>
  <c r="S10" i="34"/>
  <c r="S34" i="33"/>
  <c r="AA34" i="33"/>
  <c r="U46" i="34"/>
  <c r="AB46" i="34"/>
  <c r="W14" i="36"/>
  <c r="U13" i="37"/>
  <c r="C48" i="68"/>
  <c r="K120" i="9"/>
  <c r="A18" i="62"/>
  <c r="B64" i="72"/>
  <c r="AA36" i="35"/>
  <c r="S28" i="40"/>
  <c r="F27" i="40"/>
  <c r="H71" i="43"/>
  <c r="H72" i="43"/>
  <c r="AB9" i="37"/>
  <c r="U9" i="37"/>
  <c r="H13" i="34"/>
  <c r="H11" i="36"/>
  <c r="S30" i="34"/>
  <c r="AA30" i="34"/>
  <c r="U45" i="33"/>
  <c r="AB45" i="33"/>
  <c r="U44" i="21"/>
  <c r="AB44" i="21"/>
  <c r="W36" i="34"/>
  <c r="AC36" i="34"/>
  <c r="AC28" i="34"/>
  <c r="W28" i="34"/>
  <c r="AC30" i="37"/>
  <c r="W30" i="37"/>
  <c r="J26" i="37"/>
  <c r="F26" i="37"/>
  <c r="H26" i="37"/>
  <c r="H47" i="34"/>
  <c r="J47" i="34"/>
  <c r="D68" i="39"/>
  <c r="E63" i="40"/>
  <c r="U38" i="33"/>
  <c r="AA11" i="34"/>
  <c r="AB36" i="33"/>
  <c r="AA17" i="33"/>
  <c r="S17" i="33"/>
  <c r="AA23" i="37"/>
  <c r="AC26" i="35"/>
  <c r="AA29" i="21"/>
  <c r="S29" i="21"/>
  <c r="AB41" i="39"/>
  <c r="U29" i="34"/>
  <c r="S27" i="36"/>
  <c r="F31" i="12"/>
  <c r="F32" i="67"/>
  <c r="F60" i="67"/>
  <c r="F54" i="9"/>
  <c r="F28" i="67"/>
  <c r="C28" i="67"/>
  <c r="M18" i="15"/>
  <c r="U23" i="39"/>
  <c r="AB23" i="39"/>
  <c r="U27" i="36"/>
  <c r="J27" i="40"/>
  <c r="H50" i="43"/>
  <c r="H52" i="43"/>
  <c r="H54" i="43"/>
  <c r="AB19" i="37"/>
  <c r="AA31" i="40"/>
  <c r="S31" i="40"/>
  <c r="AB27" i="34"/>
  <c r="U27" i="34"/>
  <c r="AA25" i="21"/>
  <c r="S25" i="21"/>
  <c r="AA44" i="33"/>
  <c r="AC35" i="40"/>
  <c r="W35" i="40"/>
  <c r="AB46" i="33"/>
  <c r="U46" i="33"/>
  <c r="W29" i="37"/>
  <c r="AC29" i="37"/>
  <c r="J11" i="36"/>
  <c r="U11" i="35"/>
  <c r="AB11" i="35"/>
  <c r="S12" i="35"/>
  <c r="AA12" i="35"/>
  <c r="U34" i="35"/>
  <c r="AB34" i="35"/>
  <c r="H32" i="34"/>
  <c r="F32" i="34"/>
  <c r="AC24" i="35"/>
  <c r="AB21" i="40"/>
  <c r="U21" i="40"/>
  <c r="AB28" i="36"/>
  <c r="D16" i="53"/>
  <c r="B34" i="72"/>
  <c r="D124" i="9"/>
  <c r="AB46" i="21"/>
  <c r="S20" i="36"/>
  <c r="C7" i="43"/>
  <c r="AA36" i="21"/>
  <c r="AA25" i="35"/>
  <c r="AC33" i="34"/>
  <c r="H83" i="43"/>
  <c r="H87" i="43"/>
  <c r="H88" i="43"/>
  <c r="AA37" i="37"/>
  <c r="S37" i="37"/>
  <c r="F47" i="34"/>
  <c r="J14" i="33"/>
  <c r="U40" i="37"/>
  <c r="AB33" i="35"/>
  <c r="U33" i="35"/>
  <c r="W30" i="35"/>
  <c r="AC30" i="35"/>
  <c r="W11" i="40"/>
  <c r="AC11" i="40"/>
  <c r="S43" i="21"/>
  <c r="AA43" i="21"/>
  <c r="AC28" i="35"/>
  <c r="W28" i="35"/>
  <c r="AA27" i="35"/>
  <c r="S27" i="35"/>
  <c r="U42" i="34"/>
  <c r="AB42" i="34"/>
  <c r="AB23" i="33"/>
  <c r="D19" i="53"/>
  <c r="AC32" i="34"/>
  <c r="W41" i="34"/>
  <c r="U32" i="37"/>
  <c r="U32" i="35"/>
  <c r="AA19" i="40"/>
  <c r="S19" i="40"/>
  <c r="AC28" i="21"/>
  <c r="AA14" i="37"/>
  <c r="AA33" i="40"/>
  <c r="S33" i="40"/>
  <c r="F14" i="33"/>
  <c r="AB32" i="36"/>
  <c r="U32" i="36"/>
  <c r="AA27" i="34"/>
  <c r="S27" i="34"/>
  <c r="G89" i="39"/>
  <c r="J15" i="39"/>
  <c r="W15" i="39"/>
  <c r="H15" i="39"/>
  <c r="U15" i="39"/>
  <c r="AA34" i="39"/>
  <c r="S34" i="39"/>
  <c r="AC31" i="35"/>
  <c r="W31" i="35"/>
  <c r="B71" i="43"/>
  <c r="C21" i="39"/>
  <c r="D100" i="43"/>
  <c r="D108" i="43"/>
  <c r="S65" i="71"/>
  <c r="B64" i="71"/>
  <c r="B63" i="71"/>
  <c r="H13" i="3"/>
  <c r="BD13" i="3"/>
  <c r="BD5" i="3"/>
  <c r="E10" i="6"/>
  <c r="BE24" i="3"/>
  <c r="BE5" i="3"/>
  <c r="H24" i="3"/>
  <c r="G24" i="3"/>
  <c r="BQ19" i="3"/>
  <c r="BQ5" i="3"/>
  <c r="F28" i="6"/>
  <c r="E28" i="6"/>
  <c r="AC19" i="3"/>
  <c r="AM19" i="3"/>
  <c r="AM5" i="3"/>
  <c r="J37" i="21"/>
  <c r="S46" i="33"/>
  <c r="AC13" i="36"/>
  <c r="F46" i="21"/>
  <c r="O5" i="3"/>
  <c r="G22" i="6"/>
  <c r="E22" i="6"/>
  <c r="B77" i="43"/>
  <c r="C25" i="39"/>
  <c r="AL5" i="3"/>
  <c r="D24" i="67"/>
  <c r="D23" i="67"/>
  <c r="G524" i="3"/>
  <c r="AB26" i="33"/>
  <c r="W12" i="34"/>
  <c r="AC12" i="34"/>
  <c r="D22" i="67"/>
  <c r="C28" i="71"/>
  <c r="D27" i="71"/>
  <c r="C25" i="71"/>
  <c r="D24" i="71"/>
  <c r="S43" i="39"/>
  <c r="H37" i="21"/>
  <c r="W44" i="21"/>
  <c r="U23" i="34"/>
  <c r="AB23" i="34"/>
  <c r="AA8" i="33"/>
  <c r="S8" i="33"/>
  <c r="F25" i="37"/>
  <c r="H25" i="37"/>
  <c r="F27" i="21"/>
  <c r="H27" i="39"/>
  <c r="F27" i="39"/>
  <c r="M5" i="3"/>
  <c r="U33" i="33"/>
  <c r="AB33" i="33"/>
  <c r="AB8" i="36"/>
  <c r="U8" i="36"/>
  <c r="AC31" i="37"/>
  <c r="W31" i="37"/>
  <c r="T46" i="39"/>
  <c r="U9" i="40"/>
  <c r="AB9" i="40"/>
  <c r="C25" i="40"/>
  <c r="B86" i="43"/>
  <c r="G476" i="3"/>
  <c r="J38" i="40"/>
  <c r="N100" i="43"/>
  <c r="AC21" i="21"/>
  <c r="W29" i="39"/>
  <c r="S18" i="36"/>
  <c r="B32" i="71"/>
  <c r="B33" i="71"/>
  <c r="S33" i="71"/>
  <c r="S61" i="71"/>
  <c r="G571" i="3"/>
  <c r="G189" i="3"/>
  <c r="BA432" i="3"/>
  <c r="BA424" i="3"/>
  <c r="BA388" i="3"/>
  <c r="BA372" i="3"/>
  <c r="BA274" i="3"/>
  <c r="AZ274" i="3"/>
  <c r="G13" i="1"/>
  <c r="G11" i="1"/>
  <c r="I20" i="66"/>
  <c r="U29" i="39"/>
  <c r="E60" i="71"/>
  <c r="E59" i="71"/>
  <c r="F40" i="71"/>
  <c r="F41" i="71"/>
  <c r="V41" i="71"/>
  <c r="V57" i="71"/>
  <c r="F56" i="71"/>
  <c r="Q56" i="71"/>
  <c r="G483" i="3"/>
  <c r="G437" i="3"/>
  <c r="G196" i="3"/>
  <c r="BA467" i="3"/>
  <c r="BA459" i="3"/>
  <c r="G108" i="43"/>
  <c r="T61" i="71"/>
  <c r="D61" i="71"/>
  <c r="P74" i="15"/>
  <c r="P61" i="15"/>
  <c r="W9" i="34"/>
  <c r="F38" i="40"/>
  <c r="I10" i="66"/>
  <c r="K13" i="1"/>
  <c r="M13" i="1"/>
  <c r="C71" i="71"/>
  <c r="D71" i="71"/>
  <c r="D72" i="71"/>
  <c r="S69" i="71"/>
  <c r="B68" i="71"/>
  <c r="B67" i="71"/>
  <c r="G551" i="3"/>
  <c r="G548" i="3"/>
  <c r="G537" i="3"/>
  <c r="G405" i="3"/>
  <c r="G284" i="3"/>
  <c r="G213" i="3"/>
  <c r="G172" i="3"/>
  <c r="U21" i="21"/>
  <c r="C52" i="71"/>
  <c r="D51" i="71"/>
  <c r="AE10" i="43"/>
  <c r="G287" i="3"/>
  <c r="G220" i="3"/>
  <c r="B41" i="71"/>
  <c r="S41" i="71"/>
  <c r="E52" i="71"/>
  <c r="E53" i="71"/>
  <c r="U53" i="71"/>
  <c r="K56" i="9"/>
  <c r="M56" i="9"/>
  <c r="G561" i="3"/>
  <c r="G514" i="3"/>
  <c r="G469" i="3"/>
  <c r="G149" i="3"/>
  <c r="S29" i="39"/>
  <c r="E40" i="71"/>
  <c r="E41" i="71"/>
  <c r="U41" i="71"/>
  <c r="B44" i="71"/>
  <c r="B45" i="71"/>
  <c r="S45" i="7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c r="BL553" i="3"/>
  <c r="BA551" i="3"/>
  <c r="BA528" i="3"/>
  <c r="BA489" i="3"/>
  <c r="BA473" i="3"/>
  <c r="AZ473" i="3"/>
  <c r="BA38" i="3"/>
  <c r="BA558" i="3"/>
  <c r="AZ558" i="3"/>
  <c r="BA557" i="3"/>
  <c r="BL506" i="3"/>
  <c r="BA483" i="3"/>
  <c r="BA479" i="3"/>
  <c r="BL468" i="3"/>
  <c r="BA442" i="3"/>
  <c r="AZ442" i="3"/>
  <c r="BA395" i="3"/>
  <c r="F52" i="71"/>
  <c r="F53" i="71"/>
  <c r="V53" i="7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G22" i="3"/>
  <c r="BL564" i="3"/>
  <c r="BA531" i="3"/>
  <c r="BL529" i="3"/>
  <c r="BL487" i="3"/>
  <c r="BA457" i="3"/>
  <c r="BL446" i="3"/>
  <c r="BA434" i="3"/>
  <c r="BL404" i="3"/>
  <c r="B36" i="71"/>
  <c r="B37" i="71"/>
  <c r="S37" i="71"/>
  <c r="F45" i="71"/>
  <c r="V45" i="71"/>
  <c r="AA12" i="43"/>
  <c r="G579" i="3"/>
  <c r="G535" i="3"/>
  <c r="G515" i="3"/>
  <c r="G374" i="3"/>
  <c r="G328" i="3"/>
  <c r="G322" i="3"/>
  <c r="G305" i="3"/>
  <c r="G278" i="3"/>
  <c r="G275" i="3"/>
  <c r="G264" i="3"/>
  <c r="G258" i="3"/>
  <c r="G241" i="3"/>
  <c r="G194" i="3"/>
  <c r="G190" i="3"/>
  <c r="G133" i="3"/>
  <c r="G26" i="3"/>
  <c r="BL579" i="3"/>
  <c r="BA574" i="3"/>
  <c r="BL571" i="3"/>
  <c r="BL567" i="3"/>
  <c r="BL540" i="3"/>
  <c r="BA534" i="3"/>
  <c r="AZ534" i="3"/>
  <c r="BA530" i="3"/>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c r="BA449" i="3"/>
  <c r="AZ449" i="3"/>
  <c r="BA335" i="3"/>
  <c r="BA158" i="3"/>
  <c r="BA91" i="3"/>
  <c r="BA83" i="3"/>
  <c r="AZ83" i="3"/>
  <c r="G69" i="3"/>
  <c r="BA587" i="3"/>
  <c r="BL586" i="3"/>
  <c r="BA579" i="3"/>
  <c r="BL578" i="3"/>
  <c r="BL547" i="3"/>
  <c r="AZ497" i="3"/>
  <c r="BA491" i="3"/>
  <c r="BL466" i="3"/>
  <c r="BA464" i="3"/>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BA544" i="3"/>
  <c r="BA505" i="3"/>
  <c r="BL450" i="3"/>
  <c r="BA420" i="3"/>
  <c r="BA409" i="3"/>
  <c r="AZ409" i="3"/>
  <c r="BA263" i="3"/>
  <c r="BL582" i="3"/>
  <c r="AZ582" i="3"/>
  <c r="BL581" i="3"/>
  <c r="BA580" i="3"/>
  <c r="BA570" i="3"/>
  <c r="BA569" i="3"/>
  <c r="AZ569" i="3"/>
  <c r="BL568" i="3"/>
  <c r="BA555" i="3"/>
  <c r="AZ555" i="3"/>
  <c r="BL550" i="3"/>
  <c r="AZ550" i="3"/>
  <c r="BL549" i="3"/>
  <c r="BA548" i="3"/>
  <c r="BA538" i="3"/>
  <c r="BA537" i="3"/>
  <c r="AZ537" i="3"/>
  <c r="BL536" i="3"/>
  <c r="BA533" i="3"/>
  <c r="AZ533" i="3"/>
  <c r="BA523" i="3"/>
  <c r="BA511" i="3"/>
  <c r="BL510" i="3"/>
  <c r="BA488" i="3"/>
  <c r="BA456" i="3"/>
  <c r="BA452" i="3"/>
  <c r="BL426" i="3"/>
  <c r="BL423" i="3"/>
  <c r="AZ423" i="3"/>
  <c r="BL414" i="3"/>
  <c r="BA410" i="3"/>
  <c r="BL409" i="3"/>
  <c r="BA400" i="3"/>
  <c r="BA387" i="3"/>
  <c r="BL383" i="3"/>
  <c r="BL375" i="3"/>
  <c r="BL374" i="3"/>
  <c r="BL370" i="3"/>
  <c r="BA328" i="3"/>
  <c r="BA275" i="3"/>
  <c r="BL274" i="3"/>
  <c r="BL272" i="3"/>
  <c r="BA236" i="3"/>
  <c r="BL235" i="3"/>
  <c r="BA204" i="3"/>
  <c r="BA202" i="3"/>
  <c r="AZ202" i="3"/>
  <c r="BA161" i="3"/>
  <c r="AZ161" i="3"/>
  <c r="BL160" i="3"/>
  <c r="BL159" i="3"/>
  <c r="BL156" i="3"/>
  <c r="BL117" i="3"/>
  <c r="BL113" i="3"/>
  <c r="D56" i="77"/>
  <c r="G89" i="3"/>
  <c r="G85" i="3"/>
  <c r="G79" i="3"/>
  <c r="G45" i="3"/>
  <c r="G42" i="3"/>
  <c r="G25" i="3"/>
  <c r="G15" i="3"/>
  <c r="BL574" i="3"/>
  <c r="AZ574" i="3"/>
  <c r="BL573" i="3"/>
  <c r="BA572" i="3"/>
  <c r="AZ572" i="3"/>
  <c r="BA562" i="3"/>
  <c r="AZ562" i="3"/>
  <c r="BA561" i="3"/>
  <c r="AZ561" i="3"/>
  <c r="BL560" i="3"/>
  <c r="BA547" i="3"/>
  <c r="AZ547" i="3"/>
  <c r="BL542" i="3"/>
  <c r="BL541" i="3"/>
  <c r="BA540" i="3"/>
  <c r="AZ540" i="3"/>
  <c r="BL532" i="3"/>
  <c r="BA526" i="3"/>
  <c r="AZ526" i="3"/>
  <c r="BL497" i="3"/>
  <c r="BL465" i="3"/>
  <c r="AZ465" i="3"/>
  <c r="BL447" i="3"/>
  <c r="AZ447" i="3"/>
  <c r="BL429" i="3"/>
  <c r="BL418" i="3"/>
  <c r="BA415" i="3"/>
  <c r="BL406" i="3"/>
  <c r="BA339" i="3"/>
  <c r="BA338" i="3"/>
  <c r="AZ338" i="3"/>
  <c r="BL333" i="3"/>
  <c r="BL314" i="3"/>
  <c r="BL286" i="3"/>
  <c r="BA285" i="3"/>
  <c r="BA243" i="3"/>
  <c r="BL242" i="3"/>
  <c r="BL205" i="3"/>
  <c r="BA172" i="3"/>
  <c r="BA170" i="3"/>
  <c r="BA168" i="3"/>
  <c r="BA132" i="3"/>
  <c r="BA129" i="3"/>
  <c r="AZ129" i="3"/>
  <c r="BL128" i="3"/>
  <c r="BL127" i="3"/>
  <c r="BL125" i="3"/>
  <c r="AZ125" i="3"/>
  <c r="BA122" i="3"/>
  <c r="BL95" i="3"/>
  <c r="BL88" i="3"/>
  <c r="BA36" i="3"/>
  <c r="I44" i="77"/>
  <c r="I62" i="77"/>
  <c r="G65" i="3"/>
  <c r="G55" i="3"/>
  <c r="G38" i="3"/>
  <c r="G21" i="3"/>
  <c r="BA581" i="3"/>
  <c r="AZ581" i="3"/>
  <c r="BA575" i="3"/>
  <c r="AZ575" i="3"/>
  <c r="BL570" i="3"/>
  <c r="AZ570" i="3"/>
  <c r="BA568" i="3"/>
  <c r="AZ568" i="3"/>
  <c r="BL563" i="3"/>
  <c r="BL559" i="3"/>
  <c r="BL556" i="3"/>
  <c r="BA549" i="3"/>
  <c r="BA543" i="3"/>
  <c r="AZ543" i="3"/>
  <c r="BL538" i="3"/>
  <c r="BA536" i="3"/>
  <c r="AZ536" i="3"/>
  <c r="BA521" i="3"/>
  <c r="AZ521" i="3"/>
  <c r="BA518" i="3"/>
  <c r="BL503" i="3"/>
  <c r="BL494" i="3"/>
  <c r="BL492" i="3"/>
  <c r="BL482" i="3"/>
  <c r="BL471" i="3"/>
  <c r="BL462" i="3"/>
  <c r="BL460" i="3"/>
  <c r="BL453" i="3"/>
  <c r="BA444" i="3"/>
  <c r="AZ444" i="3"/>
  <c r="BA439" i="3"/>
  <c r="BA437" i="3"/>
  <c r="BL432" i="3"/>
  <c r="BL430" i="3"/>
  <c r="BA426" i="3"/>
  <c r="AZ426" i="3"/>
  <c r="BL415" i="3"/>
  <c r="BA402" i="3"/>
  <c r="BL397" i="3"/>
  <c r="BL386" i="3"/>
  <c r="BL382" i="3"/>
  <c r="BA364" i="3"/>
  <c r="BL350" i="3"/>
  <c r="BA340" i="3"/>
  <c r="AZ340" i="3"/>
  <c r="BL336" i="3"/>
  <c r="BA319" i="3"/>
  <c r="BA311" i="3"/>
  <c r="AZ311" i="3"/>
  <c r="BA198" i="3"/>
  <c r="BA156" i="3"/>
  <c r="AZ156" i="3"/>
  <c r="BA133" i="3"/>
  <c r="BL116" i="3"/>
  <c r="BA102" i="3"/>
  <c r="AZ102" i="3"/>
  <c r="BA78" i="3"/>
  <c r="BA59" i="3"/>
  <c r="BA51" i="3"/>
  <c r="BA14" i="3"/>
  <c r="X5" i="71"/>
  <c r="E57" i="77"/>
  <c r="D57" i="77"/>
  <c r="G101" i="3"/>
  <c r="G95" i="3"/>
  <c r="G41" i="3"/>
  <c r="G31" i="3"/>
  <c r="BA586" i="3"/>
  <c r="BL584" i="3"/>
  <c r="BA571" i="3"/>
  <c r="BL566" i="3"/>
  <c r="AZ566" i="3"/>
  <c r="BL565" i="3"/>
  <c r="AZ565" i="3"/>
  <c r="BA564" i="3"/>
  <c r="AZ564" i="3"/>
  <c r="BA554" i="3"/>
  <c r="AZ554" i="3"/>
  <c r="BA553" i="3"/>
  <c r="AZ553" i="3"/>
  <c r="BL552" i="3"/>
  <c r="BA539" i="3"/>
  <c r="BL534" i="3"/>
  <c r="BL531" i="3"/>
  <c r="BA529" i="3"/>
  <c r="AZ529" i="3"/>
  <c r="BL528" i="3"/>
  <c r="AZ528" i="3"/>
  <c r="BL524" i="3"/>
  <c r="BL518" i="3"/>
  <c r="BL516" i="3"/>
  <c r="BA504" i="3"/>
  <c r="BL485" i="3"/>
  <c r="BA482" i="3"/>
  <c r="BA472" i="3"/>
  <c r="BL456" i="3"/>
  <c r="BL454" i="3"/>
  <c r="BA450" i="3"/>
  <c r="AZ450" i="3"/>
  <c r="BL449" i="3"/>
  <c r="BL442" i="3"/>
  <c r="BL439" i="3"/>
  <c r="BL421" i="3"/>
  <c r="BA412" i="3"/>
  <c r="AZ412" i="3"/>
  <c r="BA407" i="3"/>
  <c r="BA405" i="3"/>
  <c r="BL400" i="3"/>
  <c r="AZ400" i="3"/>
  <c r="BL398" i="3"/>
  <c r="BL392" i="3"/>
  <c r="BL362" i="3"/>
  <c r="BA351" i="3"/>
  <c r="AZ351" i="3"/>
  <c r="BA343" i="3"/>
  <c r="BL342" i="3"/>
  <c r="BL309" i="3"/>
  <c r="BA303" i="3"/>
  <c r="AZ303" i="3"/>
  <c r="BL295" i="3"/>
  <c r="BL254" i="3"/>
  <c r="BA233" i="3"/>
  <c r="BA214" i="3"/>
  <c r="BL181" i="3"/>
  <c r="AZ181" i="3"/>
  <c r="BA179" i="3"/>
  <c r="AZ179" i="3"/>
  <c r="BL177" i="3"/>
  <c r="BA175" i="3"/>
  <c r="AZ175" i="3"/>
  <c r="BL146" i="3"/>
  <c r="BA140" i="3"/>
  <c r="BL135" i="3"/>
  <c r="BL63" i="3"/>
  <c r="BL56" i="3"/>
  <c r="X10" i="71"/>
  <c r="I26" i="77"/>
  <c r="P26" i="77"/>
  <c r="T26" i="77"/>
  <c r="F25" i="39"/>
  <c r="H25" i="39"/>
  <c r="J25" i="39"/>
  <c r="G17" i="3"/>
  <c r="BL587" i="3"/>
  <c r="AZ587" i="3"/>
  <c r="BA585" i="3"/>
  <c r="AZ585" i="3"/>
  <c r="BL583" i="3"/>
  <c r="AZ583" i="3"/>
  <c r="BL580" i="3"/>
  <c r="BA573" i="3"/>
  <c r="BA567" i="3"/>
  <c r="AZ567" i="3"/>
  <c r="BL562" i="3"/>
  <c r="BA560" i="3"/>
  <c r="AZ560" i="3"/>
  <c r="BL555" i="3"/>
  <c r="BL551" i="3"/>
  <c r="BL548" i="3"/>
  <c r="AZ548" i="3"/>
  <c r="BA541" i="3"/>
  <c r="BA535" i="3"/>
  <c r="AZ535" i="3"/>
  <c r="BA532" i="3"/>
  <c r="AZ532" i="3"/>
  <c r="BL527" i="3"/>
  <c r="BA527" i="3"/>
  <c r="AZ527" i="3"/>
  <c r="BL526" i="3"/>
  <c r="BL522" i="3"/>
  <c r="BA513" i="3"/>
  <c r="AZ513" i="3"/>
  <c r="BA510" i="3"/>
  <c r="BA495" i="3"/>
  <c r="BA481" i="3"/>
  <c r="BA475" i="3"/>
  <c r="BA463" i="3"/>
  <c r="BA440" i="3"/>
  <c r="AZ440" i="3"/>
  <c r="BA431" i="3"/>
  <c r="BA429" i="3"/>
  <c r="AZ429" i="3"/>
  <c r="BL424" i="3"/>
  <c r="BL422" i="3"/>
  <c r="BA418" i="3"/>
  <c r="BL417" i="3"/>
  <c r="BL410" i="3"/>
  <c r="BL407" i="3"/>
  <c r="BL396" i="3"/>
  <c r="BL369" i="3"/>
  <c r="BL312" i="3"/>
  <c r="BL290" i="3"/>
  <c r="BL282" i="3"/>
  <c r="AZ224" i="3"/>
  <c r="BA217" i="3"/>
  <c r="AZ217" i="3"/>
  <c r="BA190" i="3"/>
  <c r="AZ188" i="3"/>
  <c r="BA151" i="3"/>
  <c r="BA147" i="3"/>
  <c r="BA70" i="3"/>
  <c r="BA46" i="3"/>
  <c r="BA27" i="3"/>
  <c r="G74" i="3"/>
  <c r="G57" i="3"/>
  <c r="G47" i="3"/>
  <c r="G30" i="3"/>
  <c r="BA578" i="3"/>
  <c r="BA577" i="3"/>
  <c r="BL576" i="3"/>
  <c r="BA563" i="3"/>
  <c r="AZ563" i="3"/>
  <c r="BL558" i="3"/>
  <c r="BL557" i="3"/>
  <c r="BA556" i="3"/>
  <c r="AZ556" i="3"/>
  <c r="BA546" i="3"/>
  <c r="BA545" i="3"/>
  <c r="AZ545" i="3"/>
  <c r="BL544" i="3"/>
  <c r="BL530" i="3"/>
  <c r="BA519" i="3"/>
  <c r="BL508" i="3"/>
  <c r="BA507" i="3"/>
  <c r="AZ507" i="3"/>
  <c r="BL481" i="3"/>
  <c r="BA455" i="3"/>
  <c r="AZ455" i="3"/>
  <c r="BL434" i="3"/>
  <c r="BL431" i="3"/>
  <c r="BA408" i="3"/>
  <c r="BA399" i="3"/>
  <c r="BA375" i="3"/>
  <c r="AZ375" i="3"/>
  <c r="BA374" i="3"/>
  <c r="BA363" i="3"/>
  <c r="AZ363" i="3"/>
  <c r="BL316" i="3"/>
  <c r="BL304" i="3"/>
  <c r="BA287" i="3"/>
  <c r="BA279" i="3"/>
  <c r="BA271" i="3"/>
  <c r="BL263" i="3"/>
  <c r="AZ263" i="3"/>
  <c r="BA228" i="3"/>
  <c r="BL223" i="3"/>
  <c r="BL220" i="3"/>
  <c r="BA209" i="3"/>
  <c r="BL191" i="3"/>
  <c r="BA174" i="3"/>
  <c r="AZ174" i="3"/>
  <c r="BL151" i="3"/>
  <c r="BA149" i="3"/>
  <c r="AZ149" i="3"/>
  <c r="BA112" i="3"/>
  <c r="BA100" i="3"/>
  <c r="BL31" i="3"/>
  <c r="BL24" i="3"/>
  <c r="F41" i="77"/>
  <c r="E55" i="77"/>
  <c r="BA397" i="3"/>
  <c r="BL384" i="3"/>
  <c r="BL376" i="3"/>
  <c r="BL360" i="3"/>
  <c r="BA334" i="3"/>
  <c r="BA331" i="3"/>
  <c r="BL319" i="3"/>
  <c r="BL310" i="3"/>
  <c r="BA309" i="3"/>
  <c r="AZ309" i="3"/>
  <c r="BA302" i="3"/>
  <c r="AZ302" i="3"/>
  <c r="BA299" i="3"/>
  <c r="BA298" i="3"/>
  <c r="AZ298" i="3"/>
  <c r="BL297" i="3"/>
  <c r="BL287" i="3"/>
  <c r="BL278" i="3"/>
  <c r="BA270" i="3"/>
  <c r="BA267" i="3"/>
  <c r="AZ267" i="3"/>
  <c r="BL255" i="3"/>
  <c r="AZ255" i="3"/>
  <c r="BL246" i="3"/>
  <c r="BA245" i="3"/>
  <c r="AZ245" i="3"/>
  <c r="BA241" i="3"/>
  <c r="BA238" i="3"/>
  <c r="BL232" i="3"/>
  <c r="BA225" i="3"/>
  <c r="BA199" i="3"/>
  <c r="AZ199" i="3"/>
  <c r="BL188" i="3"/>
  <c r="BL184" i="3"/>
  <c r="BA180" i="3"/>
  <c r="AZ180" i="3"/>
  <c r="BL173" i="3"/>
  <c r="BL170" i="3"/>
  <c r="BL163" i="3"/>
  <c r="BA153" i="3"/>
  <c r="BL152" i="3"/>
  <c r="AZ152" i="3"/>
  <c r="BA150" i="3"/>
  <c r="BA136" i="3"/>
  <c r="AZ136" i="3"/>
  <c r="BA134" i="3"/>
  <c r="AZ134" i="3"/>
  <c r="BL131" i="3"/>
  <c r="BA130" i="3"/>
  <c r="BL124" i="3"/>
  <c r="BA118" i="3"/>
  <c r="BA114" i="3"/>
  <c r="BA111" i="3"/>
  <c r="AZ111" i="3"/>
  <c r="BA94" i="3"/>
  <c r="BA92" i="3"/>
  <c r="AZ92" i="3"/>
  <c r="BA86" i="3"/>
  <c r="BA84" i="3"/>
  <c r="BL83" i="3"/>
  <c r="BA62" i="3"/>
  <c r="BA60" i="3"/>
  <c r="BA54" i="3"/>
  <c r="BA52" i="3"/>
  <c r="BL51" i="3"/>
  <c r="AZ51" i="3"/>
  <c r="BA30" i="3"/>
  <c r="BA28" i="3"/>
  <c r="BA26" i="3"/>
  <c r="BA22" i="3"/>
  <c r="BL15" i="3"/>
  <c r="AZ15" i="3"/>
  <c r="C11" i="71"/>
  <c r="B12" i="71"/>
  <c r="B11" i="71"/>
  <c r="B10" i="71"/>
  <c r="B9" i="71"/>
  <c r="G19" i="77"/>
  <c r="F19" i="77"/>
  <c r="J26" i="77"/>
  <c r="F32" i="77"/>
  <c r="N43" i="77"/>
  <c r="E60" i="77"/>
  <c r="D60" i="77"/>
  <c r="K55" i="77"/>
  <c r="H23" i="21"/>
  <c r="P61" i="80"/>
  <c r="BL399" i="3"/>
  <c r="BA382" i="3"/>
  <c r="AZ382" i="3"/>
  <c r="BA379" i="3"/>
  <c r="BL378" i="3"/>
  <c r="BA367" i="3"/>
  <c r="AZ367" i="3"/>
  <c r="BL359" i="3"/>
  <c r="BA355" i="3"/>
  <c r="BA354" i="3"/>
  <c r="AZ354" i="3"/>
  <c r="BL353" i="3"/>
  <c r="BL346" i="3"/>
  <c r="BL343" i="3"/>
  <c r="BL328" i="3"/>
  <c r="BL325" i="3"/>
  <c r="BA312" i="3"/>
  <c r="AZ312" i="3"/>
  <c r="BL307" i="3"/>
  <c r="AZ307" i="3"/>
  <c r="BL300" i="3"/>
  <c r="BL296" i="3"/>
  <c r="BL293" i="3"/>
  <c r="BA280" i="3"/>
  <c r="BL264" i="3"/>
  <c r="BL261" i="3"/>
  <c r="BA248" i="3"/>
  <c r="AZ248" i="3"/>
  <c r="BL243" i="3"/>
  <c r="BL236" i="3"/>
  <c r="BL225" i="3"/>
  <c r="BL215" i="3"/>
  <c r="BL197" i="3"/>
  <c r="BL194" i="3"/>
  <c r="BL185" i="3"/>
  <c r="BL183" i="3"/>
  <c r="BL180" i="3"/>
  <c r="BA173" i="3"/>
  <c r="AZ173" i="3"/>
  <c r="BA171" i="3"/>
  <c r="AZ171" i="3"/>
  <c r="BL166" i="3"/>
  <c r="BA162" i="3"/>
  <c r="BA160" i="3"/>
  <c r="BL153" i="3"/>
  <c r="BL148" i="3"/>
  <c r="BL134" i="3"/>
  <c r="BA128" i="3"/>
  <c r="BA121" i="3"/>
  <c r="AZ121" i="3"/>
  <c r="BL120" i="3"/>
  <c r="BL109" i="3"/>
  <c r="BL97" i="3"/>
  <c r="BL92" i="3"/>
  <c r="BA85" i="3"/>
  <c r="AZ85" i="3"/>
  <c r="BL84" i="3"/>
  <c r="BL65" i="3"/>
  <c r="BL60" i="3"/>
  <c r="BA53" i="3"/>
  <c r="BL52" i="3"/>
  <c r="BL33" i="3"/>
  <c r="BL28" i="3"/>
  <c r="F23" i="77"/>
  <c r="F25" i="77"/>
  <c r="F31" i="77"/>
  <c r="M62" i="77"/>
  <c r="BA396" i="3"/>
  <c r="AZ396" i="3"/>
  <c r="BA373" i="3"/>
  <c r="BL358" i="3"/>
  <c r="BL334" i="3"/>
  <c r="BA323" i="3"/>
  <c r="BA322" i="3"/>
  <c r="AZ322" i="3"/>
  <c r="BL321" i="3"/>
  <c r="BL311" i="3"/>
  <c r="BL302" i="3"/>
  <c r="BA301" i="3"/>
  <c r="AZ301" i="3"/>
  <c r="BA291" i="3"/>
  <c r="BL279" i="3"/>
  <c r="BL270" i="3"/>
  <c r="BA259" i="3"/>
  <c r="AZ259" i="3"/>
  <c r="BA258" i="3"/>
  <c r="AZ258" i="3"/>
  <c r="BL257" i="3"/>
  <c r="BL247" i="3"/>
  <c r="AZ247" i="3"/>
  <c r="BL233" i="3"/>
  <c r="BA230" i="3"/>
  <c r="BL221" i="3"/>
  <c r="BL217" i="3"/>
  <c r="BA206" i="3"/>
  <c r="BL204" i="3"/>
  <c r="BL187" i="3"/>
  <c r="BA177" i="3"/>
  <c r="AZ177" i="3"/>
  <c r="BL176" i="3"/>
  <c r="BA167" i="3"/>
  <c r="AZ167" i="3"/>
  <c r="BL165" i="3"/>
  <c r="BL162" i="3"/>
  <c r="BL155" i="3"/>
  <c r="BA145" i="3"/>
  <c r="AZ145" i="3"/>
  <c r="BL144" i="3"/>
  <c r="BA142" i="3"/>
  <c r="AZ142" i="3"/>
  <c r="BA138" i="3"/>
  <c r="BL137" i="3"/>
  <c r="BA137" i="3"/>
  <c r="BL133" i="3"/>
  <c r="BL123" i="3"/>
  <c r="BL119" i="3"/>
  <c r="BA116" i="3"/>
  <c r="BA113" i="3"/>
  <c r="AZ113" i="3"/>
  <c r="BL112" i="3"/>
  <c r="BL89" i="3"/>
  <c r="BL87" i="3"/>
  <c r="BL57" i="3"/>
  <c r="BL55" i="3"/>
  <c r="BA29" i="3"/>
  <c r="AZ29" i="3"/>
  <c r="BL25" i="3"/>
  <c r="BL23" i="3"/>
  <c r="BA21" i="3"/>
  <c r="S39" i="77"/>
  <c r="N38" i="77"/>
  <c r="F38" i="77"/>
  <c r="BA389" i="3"/>
  <c r="BL377" i="3"/>
  <c r="BL373" i="3"/>
  <c r="BL363" i="3"/>
  <c r="BA346" i="3"/>
  <c r="AZ346" i="3"/>
  <c r="BL331" i="3"/>
  <c r="BL320" i="3"/>
  <c r="BL317" i="3"/>
  <c r="BA304" i="3"/>
  <c r="AZ304" i="3"/>
  <c r="BL288" i="3"/>
  <c r="BL285" i="3"/>
  <c r="BL267" i="3"/>
  <c r="BL256" i="3"/>
  <c r="BL253" i="3"/>
  <c r="BA240" i="3"/>
  <c r="BA234" i="3"/>
  <c r="BA226" i="3"/>
  <c r="BA222" i="3"/>
  <c r="BA213" i="3"/>
  <c r="BA210" i="3"/>
  <c r="BL209" i="3"/>
  <c r="BL207" i="3"/>
  <c r="BA201" i="3"/>
  <c r="BL200" i="3"/>
  <c r="BL179" i="3"/>
  <c r="BL175" i="3"/>
  <c r="BL172" i="3"/>
  <c r="AZ172" i="3"/>
  <c r="BA165" i="3"/>
  <c r="BA163" i="3"/>
  <c r="AZ163" i="3"/>
  <c r="BL158" i="3"/>
  <c r="BA154" i="3"/>
  <c r="BA152" i="3"/>
  <c r="BL145" i="3"/>
  <c r="BL132" i="3"/>
  <c r="BA124" i="3"/>
  <c r="AZ124" i="3"/>
  <c r="F12" i="71"/>
  <c r="F11" i="71"/>
  <c r="F10" i="71"/>
  <c r="F9" i="71"/>
  <c r="F8" i="71"/>
  <c r="F7" i="71"/>
  <c r="F6" i="71"/>
  <c r="F5" i="71"/>
  <c r="K26" i="77"/>
  <c r="R26" i="77"/>
  <c r="L44" i="77"/>
  <c r="S44" i="77"/>
  <c r="E59" i="77"/>
  <c r="J62" i="77"/>
  <c r="K59" i="77"/>
  <c r="D59" i="77"/>
  <c r="BA356" i="3"/>
  <c r="BL355" i="3"/>
  <c r="BA347" i="3"/>
  <c r="BL341" i="3"/>
  <c r="BL335" i="3"/>
  <c r="BL326" i="3"/>
  <c r="BA325" i="3"/>
  <c r="AZ325" i="3"/>
  <c r="BA318" i="3"/>
  <c r="AZ318" i="3"/>
  <c r="BA315" i="3"/>
  <c r="BL313" i="3"/>
  <c r="BL303" i="3"/>
  <c r="BL294" i="3"/>
  <c r="BA286" i="3"/>
  <c r="BA283" i="3"/>
  <c r="BL271" i="3"/>
  <c r="BL262" i="3"/>
  <c r="BA261" i="3"/>
  <c r="AZ261" i="3"/>
  <c r="BA254" i="3"/>
  <c r="AZ254" i="3"/>
  <c r="BA251" i="3"/>
  <c r="BA229" i="3"/>
  <c r="BL228" i="3"/>
  <c r="BL224" i="3"/>
  <c r="BA218" i="3"/>
  <c r="BL213" i="3"/>
  <c r="BL201" i="3"/>
  <c r="BA191" i="3"/>
  <c r="AZ191" i="3"/>
  <c r="BA178" i="3"/>
  <c r="BA169" i="3"/>
  <c r="BL168" i="3"/>
  <c r="BA166" i="3"/>
  <c r="BA159" i="3"/>
  <c r="AZ159" i="3"/>
  <c r="BL157" i="3"/>
  <c r="BL154" i="3"/>
  <c r="BL147" i="3"/>
  <c r="BL140" i="3"/>
  <c r="BA120" i="3"/>
  <c r="BA117" i="3"/>
  <c r="BL115" i="3"/>
  <c r="BL111" i="3"/>
  <c r="BL107" i="3"/>
  <c r="BL104" i="3"/>
  <c r="BL101" i="3"/>
  <c r="BL75" i="3"/>
  <c r="BA74" i="3"/>
  <c r="BL72" i="3"/>
  <c r="BL69" i="3"/>
  <c r="BL43" i="3"/>
  <c r="BA42" i="3"/>
  <c r="BL40" i="3"/>
  <c r="BL37" i="3"/>
  <c r="BA15" i="3"/>
  <c r="Y10" i="71"/>
  <c r="Z10" i="71"/>
  <c r="T44" i="77"/>
  <c r="L58" i="77"/>
  <c r="K58" i="77"/>
  <c r="D58" i="77"/>
  <c r="BL284" i="3"/>
  <c r="BL280" i="3"/>
  <c r="AZ280" i="3"/>
  <c r="BL277" i="3"/>
  <c r="BA264" i="3"/>
  <c r="AZ264" i="3"/>
  <c r="BL252" i="3"/>
  <c r="BL248" i="3"/>
  <c r="BL245" i="3"/>
  <c r="BL231" i="3"/>
  <c r="BL227" i="3"/>
  <c r="BA221" i="3"/>
  <c r="AZ221" i="3"/>
  <c r="BL199" i="3"/>
  <c r="BL189" i="3"/>
  <c r="BA187" i="3"/>
  <c r="BL178" i="3"/>
  <c r="BA176" i="3"/>
  <c r="AZ176" i="3"/>
  <c r="BL169" i="3"/>
  <c r="BL164" i="3"/>
  <c r="BA157" i="3"/>
  <c r="AZ157" i="3"/>
  <c r="BA155" i="3"/>
  <c r="BL150" i="3"/>
  <c r="BA146" i="3"/>
  <c r="AZ146" i="3"/>
  <c r="BA144" i="3"/>
  <c r="AZ144" i="3"/>
  <c r="BA141" i="3"/>
  <c r="AZ141" i="3"/>
  <c r="BL139" i="3"/>
  <c r="AZ139" i="3"/>
  <c r="BA108" i="3"/>
  <c r="AZ108" i="3"/>
  <c r="BA99" i="3"/>
  <c r="BL90" i="3"/>
  <c r="BL82" i="3"/>
  <c r="BA67" i="3"/>
  <c r="BL58" i="3"/>
  <c r="BL50" i="3"/>
  <c r="BA45" i="3"/>
  <c r="BA35" i="3"/>
  <c r="AZ35" i="3"/>
  <c r="BL26" i="3"/>
  <c r="BL16" i="3"/>
  <c r="BL13" i="3"/>
  <c r="D61" i="77"/>
  <c r="E25" i="31"/>
  <c r="E7" i="49"/>
  <c r="BL18" i="3"/>
  <c r="B9" i="49"/>
  <c r="B6" i="49"/>
  <c r="C36" i="69"/>
  <c r="B4" i="49"/>
  <c r="E9" i="49"/>
  <c r="E22" i="49"/>
  <c r="E11" i="49"/>
  <c r="B11" i="49"/>
  <c r="C4" i="4"/>
  <c r="B4" i="62"/>
  <c r="B71" i="72"/>
  <c r="B10" i="49"/>
  <c r="E4" i="49"/>
  <c r="B13" i="49"/>
  <c r="E4" i="4"/>
  <c r="B5" i="62"/>
  <c r="B73" i="72"/>
  <c r="E21" i="49"/>
  <c r="E6" i="49"/>
  <c r="E10" i="49"/>
  <c r="M7" i="1"/>
  <c r="G18" i="3"/>
  <c r="B22" i="49"/>
  <c r="B14" i="49"/>
  <c r="E8" i="49"/>
  <c r="B8" i="49"/>
  <c r="E14" i="49"/>
  <c r="E13" i="49"/>
  <c r="W32" i="21"/>
  <c r="AC15" i="21"/>
  <c r="N59" i="15"/>
  <c r="F71" i="67"/>
  <c r="F70" i="67"/>
  <c r="F66" i="67"/>
  <c r="J20" i="67"/>
  <c r="B6" i="70"/>
  <c r="M7" i="67"/>
  <c r="J6" i="67"/>
  <c r="F50" i="67"/>
  <c r="B12" i="70"/>
  <c r="F51" i="67"/>
  <c r="F68" i="67"/>
  <c r="Q71" i="15"/>
  <c r="C27" i="67"/>
  <c r="L59" i="67"/>
  <c r="L58" i="67"/>
  <c r="N59" i="67"/>
  <c r="C6" i="67"/>
  <c r="B11" i="70"/>
  <c r="F64" i="67"/>
  <c r="B7" i="70"/>
  <c r="F65" i="67"/>
  <c r="Q71" i="67"/>
  <c r="L56" i="67"/>
  <c r="I54" i="67"/>
  <c r="J57" i="67"/>
  <c r="J55" i="67"/>
  <c r="J58" i="67"/>
  <c r="Q50" i="67"/>
  <c r="B13" i="70"/>
  <c r="I1" i="73"/>
  <c r="B39" i="1"/>
  <c r="I58" i="21"/>
  <c r="J58" i="21"/>
  <c r="K58" i="21"/>
  <c r="L58" i="21"/>
  <c r="M58" i="21"/>
  <c r="N58" i="21"/>
  <c r="O58" i="21"/>
  <c r="F7" i="21"/>
  <c r="I59" i="34"/>
  <c r="J59" i="34"/>
  <c r="K59" i="34"/>
  <c r="L59" i="34"/>
  <c r="M59" i="34"/>
  <c r="N59" i="34"/>
  <c r="O59" i="34"/>
  <c r="H7" i="35"/>
  <c r="H7" i="21"/>
  <c r="J52" i="37"/>
  <c r="K52" i="37"/>
  <c r="L52" i="37"/>
  <c r="M52" i="37"/>
  <c r="N52" i="37"/>
  <c r="O52" i="37"/>
  <c r="H7" i="37"/>
  <c r="S7" i="33"/>
  <c r="AA7" i="33"/>
  <c r="R48" i="33"/>
  <c r="J7" i="35"/>
  <c r="AB7" i="33"/>
  <c r="T48" i="33"/>
  <c r="G48" i="33"/>
  <c r="U7" i="33"/>
  <c r="C16" i="43"/>
  <c r="J7" i="37"/>
  <c r="I14" i="74"/>
  <c r="B8" i="74"/>
  <c r="D12" i="52"/>
  <c r="F46" i="36"/>
  <c r="J7" i="21"/>
  <c r="H110" i="9"/>
  <c r="D18" i="53"/>
  <c r="B35" i="72"/>
  <c r="AA10" i="21"/>
  <c r="U17" i="33"/>
  <c r="AC27" i="33"/>
  <c r="U15" i="21"/>
  <c r="AB15" i="21"/>
  <c r="O11" i="1"/>
  <c r="P11" i="1"/>
  <c r="W10" i="34"/>
  <c r="F7" i="35"/>
  <c r="AA11" i="37"/>
  <c r="AC39" i="34"/>
  <c r="AC39" i="39"/>
  <c r="W39" i="39"/>
  <c r="AA23" i="39"/>
  <c r="S23" i="39"/>
  <c r="AA32" i="37"/>
  <c r="S32" i="37"/>
  <c r="D9" i="68"/>
  <c r="D19" i="12"/>
  <c r="C19" i="12"/>
  <c r="D9" i="11"/>
  <c r="C9" i="11"/>
  <c r="D9" i="69"/>
  <c r="W17" i="21"/>
  <c r="F62" i="15"/>
  <c r="F42" i="21"/>
  <c r="H42" i="21"/>
  <c r="G123" i="21"/>
  <c r="H123" i="21"/>
  <c r="I123" i="21"/>
  <c r="J123" i="21"/>
  <c r="K123" i="21"/>
  <c r="L123" i="21"/>
  <c r="M123" i="21"/>
  <c r="J42" i="21"/>
  <c r="AA37" i="21"/>
  <c r="S37" i="21"/>
  <c r="O12" i="1"/>
  <c r="P12" i="1"/>
  <c r="U20" i="36"/>
  <c r="AB20" i="36"/>
  <c r="E15" i="6"/>
  <c r="AA41" i="34"/>
  <c r="S41" i="34"/>
  <c r="U31" i="34"/>
  <c r="AC34" i="36"/>
  <c r="H28" i="33"/>
  <c r="F28" i="33"/>
  <c r="J28" i="33"/>
  <c r="F23" i="36"/>
  <c r="J23" i="36"/>
  <c r="H23" i="36"/>
  <c r="W40" i="39"/>
  <c r="AC40" i="39"/>
  <c r="U36" i="39"/>
  <c r="AB36" i="39"/>
  <c r="AB41" i="34"/>
  <c r="U44" i="34"/>
  <c r="U23" i="37"/>
  <c r="AA22" i="36"/>
  <c r="U30" i="33"/>
  <c r="W37" i="37"/>
  <c r="S15" i="37"/>
  <c r="AA15" i="37"/>
  <c r="W11" i="35"/>
  <c r="W13" i="40"/>
  <c r="U28" i="37"/>
  <c r="AC27" i="35"/>
  <c r="F42" i="39"/>
  <c r="H42" i="39"/>
  <c r="E126" i="39"/>
  <c r="F126" i="39"/>
  <c r="G126" i="39"/>
  <c r="H126" i="39"/>
  <c r="I126" i="39"/>
  <c r="J126" i="39"/>
  <c r="K126" i="39"/>
  <c r="L126" i="39"/>
  <c r="M126" i="39"/>
  <c r="S30" i="40"/>
  <c r="U19" i="40"/>
  <c r="AA35" i="39"/>
  <c r="S35" i="39"/>
  <c r="U14" i="37"/>
  <c r="AB14" i="37"/>
  <c r="U43" i="33"/>
  <c r="AB43" i="33"/>
  <c r="S11" i="36"/>
  <c r="S13" i="35"/>
  <c r="AA13" i="35"/>
  <c r="F21" i="6"/>
  <c r="E21" i="6"/>
  <c r="I4" i="6"/>
  <c r="AC15" i="39"/>
  <c r="AA15" i="34"/>
  <c r="S15" i="34"/>
  <c r="F15" i="21"/>
  <c r="E106" i="21"/>
  <c r="F106" i="21"/>
  <c r="G106" i="21"/>
  <c r="H106" i="21"/>
  <c r="I106" i="21"/>
  <c r="J106" i="21"/>
  <c r="K106" i="21"/>
  <c r="L106" i="21"/>
  <c r="M106" i="21"/>
  <c r="F34" i="21"/>
  <c r="J34" i="21"/>
  <c r="AA14" i="40"/>
  <c r="S12" i="40"/>
  <c r="U30" i="21"/>
  <c r="AA21" i="40"/>
  <c r="S21" i="40"/>
  <c r="W14" i="37"/>
  <c r="AB13" i="33"/>
  <c r="H34" i="21"/>
  <c r="J33" i="36"/>
  <c r="H33" i="36"/>
  <c r="F33" i="36"/>
  <c r="U35" i="35"/>
  <c r="AB35" i="35"/>
  <c r="S44" i="34"/>
  <c r="AA44" i="34"/>
  <c r="G91" i="39"/>
  <c r="J17" i="39"/>
  <c r="F17" i="39"/>
  <c r="H17" i="39"/>
  <c r="U30" i="35"/>
  <c r="W40" i="33"/>
  <c r="S10" i="37"/>
  <c r="AC8" i="35"/>
  <c r="C27" i="39"/>
  <c r="AA26" i="33"/>
  <c r="W28" i="36"/>
  <c r="J45" i="39"/>
  <c r="E117" i="21"/>
  <c r="F117" i="21"/>
  <c r="G117" i="21"/>
  <c r="AA34" i="35"/>
  <c r="H23" i="35"/>
  <c r="J23" i="35"/>
  <c r="AA8" i="36"/>
  <c r="H9" i="36"/>
  <c r="H39" i="40"/>
  <c r="G27" i="6"/>
  <c r="G31" i="6"/>
  <c r="G7" i="12"/>
  <c r="H39" i="39"/>
  <c r="AC40" i="40"/>
  <c r="F45" i="39"/>
  <c r="H39" i="21"/>
  <c r="J39" i="21"/>
  <c r="J12" i="33"/>
  <c r="H12" i="33"/>
  <c r="J25" i="37"/>
  <c r="H40" i="40"/>
  <c r="F40" i="40"/>
  <c r="F28" i="79"/>
  <c r="C28" i="79"/>
  <c r="M18" i="80"/>
  <c r="F32" i="79"/>
  <c r="F60" i="79"/>
  <c r="F28" i="80"/>
  <c r="C28" i="80"/>
  <c r="M18" i="79"/>
  <c r="F32" i="80"/>
  <c r="F60" i="80"/>
  <c r="W14" i="39"/>
  <c r="AA36" i="39"/>
  <c r="F45" i="21"/>
  <c r="AA41" i="21"/>
  <c r="H12" i="21"/>
  <c r="F9" i="33"/>
  <c r="AA34" i="34"/>
  <c r="H12" i="34"/>
  <c r="F12" i="34"/>
  <c r="W33" i="33"/>
  <c r="J12" i="36"/>
  <c r="H12" i="36"/>
  <c r="F12" i="21"/>
  <c r="H9" i="33"/>
  <c r="J12" i="35"/>
  <c r="H12" i="35"/>
  <c r="W34" i="35"/>
  <c r="AC34" i="35"/>
  <c r="AC41" i="33"/>
  <c r="W41" i="33"/>
  <c r="M10" i="1"/>
  <c r="O13" i="1"/>
  <c r="P13" i="1"/>
  <c r="D35" i="71"/>
  <c r="C36" i="71"/>
  <c r="D36" i="71"/>
  <c r="C44" i="71"/>
  <c r="D43" i="71"/>
  <c r="C40" i="68"/>
  <c r="D21" i="71"/>
  <c r="T21" i="71"/>
  <c r="C33" i="71"/>
  <c r="D32" i="71"/>
  <c r="C29" i="71"/>
  <c r="D28" i="71"/>
  <c r="C48" i="71"/>
  <c r="D47" i="71"/>
  <c r="AB18" i="36"/>
  <c r="U18" i="36"/>
  <c r="D16" i="71"/>
  <c r="C15" i="71"/>
  <c r="D15" i="71"/>
  <c r="T25" i="71"/>
  <c r="D25" i="71"/>
  <c r="AC21" i="37"/>
  <c r="C40" i="71"/>
  <c r="D39" i="71"/>
  <c r="D64" i="71"/>
  <c r="C63" i="71"/>
  <c r="D63" i="71"/>
  <c r="E59" i="43"/>
  <c r="B57" i="43"/>
  <c r="U18" i="35"/>
  <c r="AB18" i="35"/>
  <c r="F34" i="80"/>
  <c r="M20" i="79"/>
  <c r="F34" i="79"/>
  <c r="M20" i="80"/>
  <c r="A15" i="62"/>
  <c r="B61" i="72"/>
  <c r="F3" i="35"/>
  <c r="G6" i="1"/>
  <c r="N56" i="71"/>
  <c r="B55" i="71"/>
  <c r="G7" i="1"/>
  <c r="AB21" i="34"/>
  <c r="U21" i="34"/>
  <c r="C55" i="71"/>
  <c r="O56" i="71"/>
  <c r="D56" i="71"/>
  <c r="G10" i="1"/>
  <c r="I100" i="43"/>
  <c r="M108" i="43"/>
  <c r="AA21" i="37"/>
  <c r="E68" i="71"/>
  <c r="E67" i="71"/>
  <c r="E56" i="71"/>
  <c r="AH10" i="43"/>
  <c r="AC10" i="43"/>
  <c r="G198" i="3"/>
  <c r="G175" i="3"/>
  <c r="G166" i="3"/>
  <c r="G150" i="3"/>
  <c r="G134" i="3"/>
  <c r="G70" i="3"/>
  <c r="AZ584" i="3"/>
  <c r="AZ552" i="3"/>
  <c r="AZ531" i="3"/>
  <c r="G1" i="79"/>
  <c r="G1" i="80"/>
  <c r="G9" i="1"/>
  <c r="S17" i="71"/>
  <c r="C60" i="71"/>
  <c r="U57" i="71"/>
  <c r="V61" i="71"/>
  <c r="AF10" i="43"/>
  <c r="P61" i="67"/>
  <c r="G110" i="3"/>
  <c r="G46" i="3"/>
  <c r="AZ580" i="3"/>
  <c r="AZ538" i="3"/>
  <c r="AZ530" i="3"/>
  <c r="T65" i="71"/>
  <c r="AD10" i="43"/>
  <c r="Z12" i="43"/>
  <c r="AZ551" i="3"/>
  <c r="AZ479" i="3"/>
  <c r="G126" i="3"/>
  <c r="G62" i="3"/>
  <c r="W21" i="33"/>
  <c r="N57" i="71"/>
  <c r="G78" i="3"/>
  <c r="AZ571" i="3"/>
  <c r="AZ542" i="3"/>
  <c r="AZ539" i="3"/>
  <c r="AZ457" i="3"/>
  <c r="AZ463" i="3"/>
  <c r="G94" i="3"/>
  <c r="AZ578" i="3"/>
  <c r="AZ546" i="3"/>
  <c r="BL505" i="3"/>
  <c r="AZ505" i="3"/>
  <c r="BA500" i="3"/>
  <c r="AZ500" i="3"/>
  <c r="BL496" i="3"/>
  <c r="BL490" i="3"/>
  <c r="BA480" i="3"/>
  <c r="BL479" i="3"/>
  <c r="BA477" i="3"/>
  <c r="BL473" i="3"/>
  <c r="BA468" i="3"/>
  <c r="AZ468" i="3"/>
  <c r="BL467" i="3"/>
  <c r="BL464" i="3"/>
  <c r="BL458" i="3"/>
  <c r="BL425" i="3"/>
  <c r="BA413" i="3"/>
  <c r="BL408" i="3"/>
  <c r="AZ408" i="3"/>
  <c r="BA406" i="3"/>
  <c r="AZ406" i="3"/>
  <c r="BL405" i="3"/>
  <c r="AZ405" i="3"/>
  <c r="BA403" i="3"/>
  <c r="BL390" i="3"/>
  <c r="BA383" i="3"/>
  <c r="AZ383" i="3"/>
  <c r="BA524" i="3"/>
  <c r="AZ524" i="3"/>
  <c r="BA514" i="3"/>
  <c r="AZ514" i="3"/>
  <c r="BA508" i="3"/>
  <c r="BA494" i="3"/>
  <c r="AZ494" i="3"/>
  <c r="BL493" i="3"/>
  <c r="BA487" i="3"/>
  <c r="BL475" i="3"/>
  <c r="AZ475" i="3"/>
  <c r="BA462" i="3"/>
  <c r="BL461" i="3"/>
  <c r="BA453" i="3"/>
  <c r="AZ453" i="3"/>
  <c r="BL448" i="3"/>
  <c r="BA446" i="3"/>
  <c r="BL445" i="3"/>
  <c r="BA443" i="3"/>
  <c r="BA436" i="3"/>
  <c r="AZ436" i="3"/>
  <c r="BL435" i="3"/>
  <c r="BA416" i="3"/>
  <c r="AZ416" i="3"/>
  <c r="BL401" i="3"/>
  <c r="BL391" i="3"/>
  <c r="BA517" i="3"/>
  <c r="BL504" i="3"/>
  <c r="BA485" i="3"/>
  <c r="AZ485" i="3"/>
  <c r="BL472" i="3"/>
  <c r="AZ467" i="3"/>
  <c r="AZ425" i="3"/>
  <c r="BA422" i="3"/>
  <c r="AZ422" i="3"/>
  <c r="BA419" i="3"/>
  <c r="BL411" i="3"/>
  <c r="AZ402" i="3"/>
  <c r="BA378" i="3"/>
  <c r="AZ378" i="3"/>
  <c r="BL525" i="3"/>
  <c r="BL520" i="3"/>
  <c r="BL515" i="3"/>
  <c r="AZ515" i="3"/>
  <c r="BA512" i="3"/>
  <c r="BL511" i="3"/>
  <c r="AZ511" i="3"/>
  <c r="BL509" i="3"/>
  <c r="BA502" i="3"/>
  <c r="AZ502" i="3"/>
  <c r="BL501" i="3"/>
  <c r="BA498" i="3"/>
  <c r="BA490" i="3"/>
  <c r="AZ490" i="3"/>
  <c r="BA476" i="3"/>
  <c r="AZ476" i="3"/>
  <c r="BA470" i="3"/>
  <c r="AZ470" i="3"/>
  <c r="BL469" i="3"/>
  <c r="BA458" i="3"/>
  <c r="AZ458" i="3"/>
  <c r="AZ452" i="3"/>
  <c r="BL451" i="3"/>
  <c r="AZ401" i="3"/>
  <c r="BA398" i="3"/>
  <c r="AZ398" i="3"/>
  <c r="AZ347" i="3"/>
  <c r="AZ496" i="3"/>
  <c r="BL495" i="3"/>
  <c r="AZ495" i="3"/>
  <c r="BA493" i="3"/>
  <c r="AZ493" i="3"/>
  <c r="BL489" i="3"/>
  <c r="AZ489" i="3"/>
  <c r="BA484" i="3"/>
  <c r="AZ484" i="3"/>
  <c r="BL483" i="3"/>
  <c r="AZ483" i="3"/>
  <c r="BL480" i="3"/>
  <c r="BL474" i="3"/>
  <c r="AZ464" i="3"/>
  <c r="BL463" i="3"/>
  <c r="BA461" i="3"/>
  <c r="BL457" i="3"/>
  <c r="BA445" i="3"/>
  <c r="AZ445" i="3"/>
  <c r="AZ441" i="3"/>
  <c r="BL440" i="3"/>
  <c r="BA438" i="3"/>
  <c r="AZ438" i="3"/>
  <c r="BL437" i="3"/>
  <c r="AZ437" i="3"/>
  <c r="BA435" i="3"/>
  <c r="BA428" i="3"/>
  <c r="AZ428" i="3"/>
  <c r="BL427" i="3"/>
  <c r="BA522" i="3"/>
  <c r="AZ522" i="3"/>
  <c r="BA516" i="3"/>
  <c r="AZ516" i="3"/>
  <c r="BA506" i="3"/>
  <c r="AZ506" i="3"/>
  <c r="BA503" i="3"/>
  <c r="AZ503" i="3"/>
  <c r="BA478" i="3"/>
  <c r="AZ478" i="3"/>
  <c r="BL477" i="3"/>
  <c r="BA474" i="3"/>
  <c r="BA471" i="3"/>
  <c r="AZ471" i="3"/>
  <c r="BA466" i="3"/>
  <c r="AZ466" i="3"/>
  <c r="BA448" i="3"/>
  <c r="AZ434" i="3"/>
  <c r="BL433" i="3"/>
  <c r="AZ433" i="3"/>
  <c r="BA421" i="3"/>
  <c r="AZ421" i="3"/>
  <c r="AZ417" i="3"/>
  <c r="BL416" i="3"/>
  <c r="BA414" i="3"/>
  <c r="BL413" i="3"/>
  <c r="BA411" i="3"/>
  <c r="AZ411" i="3"/>
  <c r="BA404" i="3"/>
  <c r="AZ404" i="3"/>
  <c r="BL403" i="3"/>
  <c r="BL393" i="3"/>
  <c r="BA391" i="3"/>
  <c r="BA381" i="3"/>
  <c r="BA525" i="3"/>
  <c r="BA509" i="3"/>
  <c r="AZ509" i="3"/>
  <c r="AZ504" i="3"/>
  <c r="BA501" i="3"/>
  <c r="BL499" i="3"/>
  <c r="AZ499" i="3"/>
  <c r="BA492" i="3"/>
  <c r="AZ492" i="3"/>
  <c r="BL491" i="3"/>
  <c r="BL488" i="3"/>
  <c r="AZ488" i="3"/>
  <c r="BA469" i="3"/>
  <c r="AZ469" i="3"/>
  <c r="BA460" i="3"/>
  <c r="AZ460" i="3"/>
  <c r="BL459" i="3"/>
  <c r="AZ459" i="3"/>
  <c r="BA454" i="3"/>
  <c r="AZ454" i="3"/>
  <c r="BA451" i="3"/>
  <c r="BL443" i="3"/>
  <c r="AZ390" i="3"/>
  <c r="BA380" i="3"/>
  <c r="BL523" i="3"/>
  <c r="BA520" i="3"/>
  <c r="BL519" i="3"/>
  <c r="BL517" i="3"/>
  <c r="BL512" i="3"/>
  <c r="BA486" i="3"/>
  <c r="AZ486" i="3"/>
  <c r="AZ482" i="3"/>
  <c r="BA430" i="3"/>
  <c r="AZ430" i="3"/>
  <c r="BA427" i="3"/>
  <c r="AZ427" i="3"/>
  <c r="AZ420" i="3"/>
  <c r="BL419" i="3"/>
  <c r="BA376" i="3"/>
  <c r="AZ376" i="3"/>
  <c r="AZ371" i="3"/>
  <c r="AZ343" i="3"/>
  <c r="AZ287" i="3"/>
  <c r="BA284" i="3"/>
  <c r="BA281" i="3"/>
  <c r="AZ233" i="3"/>
  <c r="BA386" i="3"/>
  <c r="AZ386" i="3"/>
  <c r="BA384" i="3"/>
  <c r="BL381" i="3"/>
  <c r="BL379" i="3"/>
  <c r="AZ379" i="3"/>
  <c r="BA369" i="3"/>
  <c r="AZ369" i="3"/>
  <c r="BL352" i="3"/>
  <c r="BL347" i="3"/>
  <c r="BL345" i="3"/>
  <c r="BL339" i="3"/>
  <c r="AZ327" i="3"/>
  <c r="BA324" i="3"/>
  <c r="AZ324" i="3"/>
  <c r="BL323" i="3"/>
  <c r="BA321" i="3"/>
  <c r="AZ321" i="3"/>
  <c r="BA314" i="3"/>
  <c r="AZ314" i="3"/>
  <c r="BA294" i="3"/>
  <c r="AZ294" i="3"/>
  <c r="BL276" i="3"/>
  <c r="BA260" i="3"/>
  <c r="AZ260" i="3"/>
  <c r="BL259" i="3"/>
  <c r="BA257" i="3"/>
  <c r="AZ257" i="3"/>
  <c r="BA250" i="3"/>
  <c r="AZ250" i="3"/>
  <c r="BL249" i="3"/>
  <c r="AZ240" i="3"/>
  <c r="BA394" i="3"/>
  <c r="AZ394" i="3"/>
  <c r="BA392" i="3"/>
  <c r="AZ392" i="3"/>
  <c r="BL389" i="3"/>
  <c r="AZ389" i="3"/>
  <c r="BL387" i="3"/>
  <c r="AZ387" i="3"/>
  <c r="BA366" i="3"/>
  <c r="AZ366" i="3"/>
  <c r="BL365" i="3"/>
  <c r="BA361" i="3"/>
  <c r="BL344" i="3"/>
  <c r="BA337" i="3"/>
  <c r="BA300" i="3"/>
  <c r="AZ300" i="3"/>
  <c r="BL299" i="3"/>
  <c r="BA297" i="3"/>
  <c r="AZ297" i="3"/>
  <c r="BA290" i="3"/>
  <c r="AZ290" i="3"/>
  <c r="BL289" i="3"/>
  <c r="BA277" i="3"/>
  <c r="AZ277" i="3"/>
  <c r="BL241" i="3"/>
  <c r="AZ241" i="3"/>
  <c r="BL395" i="3"/>
  <c r="AZ395" i="3"/>
  <c r="BL372" i="3"/>
  <c r="AZ372" i="3"/>
  <c r="BA368" i="3"/>
  <c r="BA358" i="3"/>
  <c r="AZ358" i="3"/>
  <c r="BL357" i="3"/>
  <c r="BA353" i="3"/>
  <c r="AZ331" i="3"/>
  <c r="BA330" i="3"/>
  <c r="AZ330" i="3"/>
  <c r="BL329" i="3"/>
  <c r="BA320" i="3"/>
  <c r="AZ320" i="3"/>
  <c r="BA317" i="3"/>
  <c r="AZ317" i="3"/>
  <c r="BA310" i="3"/>
  <c r="AZ310" i="3"/>
  <c r="BL292" i="3"/>
  <c r="AZ279" i="3"/>
  <c r="BA276" i="3"/>
  <c r="AZ276" i="3"/>
  <c r="BL275" i="3"/>
  <c r="BA273" i="3"/>
  <c r="AZ273" i="3"/>
  <c r="BA266" i="3"/>
  <c r="AZ266" i="3"/>
  <c r="BL265" i="3"/>
  <c r="BA256" i="3"/>
  <c r="BA253" i="3"/>
  <c r="AZ253" i="3"/>
  <c r="BA246" i="3"/>
  <c r="AZ246" i="3"/>
  <c r="AZ229" i="3"/>
  <c r="AZ204" i="3"/>
  <c r="BL364" i="3"/>
  <c r="AZ364" i="3"/>
  <c r="BA360" i="3"/>
  <c r="AZ360" i="3"/>
  <c r="BA350" i="3"/>
  <c r="AZ350" i="3"/>
  <c r="BL349" i="3"/>
  <c r="BA345" i="3"/>
  <c r="AZ345" i="3"/>
  <c r="BA342" i="3"/>
  <c r="BA336" i="3"/>
  <c r="BL332" i="3"/>
  <c r="AZ319" i="3"/>
  <c r="BA316" i="3"/>
  <c r="AZ316" i="3"/>
  <c r="BL315" i="3"/>
  <c r="AZ315" i="3"/>
  <c r="BA313" i="3"/>
  <c r="BA306" i="3"/>
  <c r="AZ306" i="3"/>
  <c r="BL305" i="3"/>
  <c r="BA296" i="3"/>
  <c r="BA293" i="3"/>
  <c r="AZ293" i="3"/>
  <c r="AZ286" i="3"/>
  <c r="BL268" i="3"/>
  <c r="BA252" i="3"/>
  <c r="AZ252" i="3"/>
  <c r="BL251" i="3"/>
  <c r="AZ251" i="3"/>
  <c r="BA249" i="3"/>
  <c r="AZ249" i="3"/>
  <c r="AZ243" i="3"/>
  <c r="BA242" i="3"/>
  <c r="AZ242" i="3"/>
  <c r="BL237" i="3"/>
  <c r="AZ236" i="3"/>
  <c r="BA232" i="3"/>
  <c r="AZ232" i="3"/>
  <c r="BL380" i="3"/>
  <c r="BA377" i="3"/>
  <c r="AZ377" i="3"/>
  <c r="BA370" i="3"/>
  <c r="AZ370" i="3"/>
  <c r="BA365" i="3"/>
  <c r="AZ365" i="3"/>
  <c r="BL356" i="3"/>
  <c r="AZ356" i="3"/>
  <c r="BA352" i="3"/>
  <c r="AZ352" i="3"/>
  <c r="BA333" i="3"/>
  <c r="AZ333" i="3"/>
  <c r="BA326" i="3"/>
  <c r="AZ326" i="3"/>
  <c r="BL308" i="3"/>
  <c r="AZ295" i="3"/>
  <c r="BA292" i="3"/>
  <c r="AZ292" i="3"/>
  <c r="BL291" i="3"/>
  <c r="AZ291" i="3"/>
  <c r="BA289" i="3"/>
  <c r="AZ289" i="3"/>
  <c r="AZ283" i="3"/>
  <c r="BA282" i="3"/>
  <c r="AZ282" i="3"/>
  <c r="BL281" i="3"/>
  <c r="BA272" i="3"/>
  <c r="AZ272" i="3"/>
  <c r="BA269" i="3"/>
  <c r="AZ269" i="3"/>
  <c r="BA262" i="3"/>
  <c r="AZ262" i="3"/>
  <c r="BL244" i="3"/>
  <c r="AZ196" i="3"/>
  <c r="BL388" i="3"/>
  <c r="AZ388" i="3"/>
  <c r="BA385" i="3"/>
  <c r="AZ385" i="3"/>
  <c r="BL371" i="3"/>
  <c r="BA362" i="3"/>
  <c r="AZ362" i="3"/>
  <c r="AZ359" i="3"/>
  <c r="BA357" i="3"/>
  <c r="AZ357" i="3"/>
  <c r="BL348" i="3"/>
  <c r="AZ348" i="3"/>
  <c r="BA344" i="3"/>
  <c r="AZ344" i="3"/>
  <c r="BL340" i="3"/>
  <c r="AZ335" i="3"/>
  <c r="BA332" i="3"/>
  <c r="BA329" i="3"/>
  <c r="AZ323" i="3"/>
  <c r="AZ271" i="3"/>
  <c r="BA268" i="3"/>
  <c r="AZ268" i="3"/>
  <c r="BA265" i="3"/>
  <c r="AZ265" i="3"/>
  <c r="AZ220" i="3"/>
  <c r="BA393" i="3"/>
  <c r="AZ393" i="3"/>
  <c r="BL368" i="3"/>
  <c r="BL361" i="3"/>
  <c r="BA349" i="3"/>
  <c r="BA341" i="3"/>
  <c r="AZ341" i="3"/>
  <c r="BL337" i="3"/>
  <c r="BL324" i="3"/>
  <c r="BA308" i="3"/>
  <c r="AZ308" i="3"/>
  <c r="BA305" i="3"/>
  <c r="AZ299" i="3"/>
  <c r="BA288" i="3"/>
  <c r="BA278" i="3"/>
  <c r="AZ278" i="3"/>
  <c r="BL260" i="3"/>
  <c r="BA244" i="3"/>
  <c r="AZ244" i="3"/>
  <c r="BA237" i="3"/>
  <c r="AZ225" i="3"/>
  <c r="BA203" i="3"/>
  <c r="BA239" i="3"/>
  <c r="AZ239" i="3"/>
  <c r="BL238" i="3"/>
  <c r="AZ238" i="3"/>
  <c r="BA216" i="3"/>
  <c r="AZ216" i="3"/>
  <c r="BL211" i="3"/>
  <c r="BL195" i="3"/>
  <c r="BA193" i="3"/>
  <c r="AZ193" i="3"/>
  <c r="BL192" i="3"/>
  <c r="BA189" i="3"/>
  <c r="BA186" i="3"/>
  <c r="AZ137" i="3"/>
  <c r="BA235" i="3"/>
  <c r="AZ235" i="3"/>
  <c r="BL234" i="3"/>
  <c r="AZ234" i="3"/>
  <c r="BL219" i="3"/>
  <c r="AZ209" i="3"/>
  <c r="BL206" i="3"/>
  <c r="BA197" i="3"/>
  <c r="AZ197" i="3"/>
  <c r="AZ187" i="3"/>
  <c r="BL186" i="3"/>
  <c r="BA184" i="3"/>
  <c r="AZ184" i="3"/>
  <c r="AZ148" i="3"/>
  <c r="BA231" i="3"/>
  <c r="AZ231" i="3"/>
  <c r="BL230" i="3"/>
  <c r="AZ230" i="3"/>
  <c r="BA207" i="3"/>
  <c r="AZ207" i="3"/>
  <c r="BA200" i="3"/>
  <c r="AZ200" i="3"/>
  <c r="BA194" i="3"/>
  <c r="AZ194" i="3"/>
  <c r="BL182" i="3"/>
  <c r="AZ178" i="3"/>
  <c r="AZ169" i="3"/>
  <c r="AZ166" i="3"/>
  <c r="AZ120" i="3"/>
  <c r="AZ117" i="3"/>
  <c r="AZ112" i="3"/>
  <c r="BA227" i="3"/>
  <c r="AZ227" i="3"/>
  <c r="BL226" i="3"/>
  <c r="AZ226" i="3"/>
  <c r="BL214" i="3"/>
  <c r="AZ214" i="3"/>
  <c r="BA211" i="3"/>
  <c r="BL210" i="3"/>
  <c r="AZ210" i="3"/>
  <c r="BL208" i="3"/>
  <c r="BA195" i="3"/>
  <c r="BA192" i="3"/>
  <c r="AZ192" i="3"/>
  <c r="BA183" i="3"/>
  <c r="AZ183" i="3"/>
  <c r="BA223" i="3"/>
  <c r="BL222" i="3"/>
  <c r="AZ222" i="3"/>
  <c r="BA219" i="3"/>
  <c r="BL218" i="3"/>
  <c r="BA215" i="3"/>
  <c r="AZ215" i="3"/>
  <c r="BL203" i="3"/>
  <c r="AZ182" i="3"/>
  <c r="BA205" i="3"/>
  <c r="BL198" i="3"/>
  <c r="AZ198" i="3"/>
  <c r="BL190" i="3"/>
  <c r="AZ190" i="3"/>
  <c r="AZ170" i="3"/>
  <c r="AZ168" i="3"/>
  <c r="AZ164" i="3"/>
  <c r="AZ147" i="3"/>
  <c r="AZ140" i="3"/>
  <c r="BA208" i="3"/>
  <c r="AZ208" i="3"/>
  <c r="BA185" i="3"/>
  <c r="AZ185" i="3"/>
  <c r="AZ153" i="3"/>
  <c r="AZ62" i="3"/>
  <c r="AZ30" i="3"/>
  <c r="AZ91" i="3"/>
  <c r="BA88" i="3"/>
  <c r="AZ88" i="3"/>
  <c r="AZ70" i="3"/>
  <c r="BA56" i="3"/>
  <c r="AZ56" i="3"/>
  <c r="BA17" i="3"/>
  <c r="AZ17" i="3"/>
  <c r="AA10" i="71"/>
  <c r="AA6" i="71"/>
  <c r="AA5" i="71"/>
  <c r="AA7" i="71"/>
  <c r="G39" i="77"/>
  <c r="F37" i="77"/>
  <c r="L62" i="77"/>
  <c r="K52" i="77"/>
  <c r="BA131" i="3"/>
  <c r="AZ131" i="3"/>
  <c r="BL130" i="3"/>
  <c r="AZ130" i="3"/>
  <c r="BA105" i="3"/>
  <c r="AZ105" i="3"/>
  <c r="BA93" i="3"/>
  <c r="AZ93" i="3"/>
  <c r="BA82" i="3"/>
  <c r="AZ82" i="3"/>
  <c r="BL80" i="3"/>
  <c r="BA79" i="3"/>
  <c r="AZ79" i="3"/>
  <c r="BA73" i="3"/>
  <c r="AZ73" i="3"/>
  <c r="BA61" i="3"/>
  <c r="AZ61" i="3"/>
  <c r="BA50" i="3"/>
  <c r="AZ50" i="3"/>
  <c r="BL48" i="3"/>
  <c r="BA47" i="3"/>
  <c r="AZ47" i="3"/>
  <c r="BA41" i="3"/>
  <c r="AZ41" i="3"/>
  <c r="G54" i="77"/>
  <c r="G62" i="77"/>
  <c r="BA143" i="3"/>
  <c r="AZ143" i="3"/>
  <c r="BA127" i="3"/>
  <c r="AZ127" i="3"/>
  <c r="BL126" i="3"/>
  <c r="BL98" i="3"/>
  <c r="BA96" i="3"/>
  <c r="BL91" i="3"/>
  <c r="BL86" i="3"/>
  <c r="AZ86" i="3"/>
  <c r="AZ78" i="3"/>
  <c r="BL77" i="3"/>
  <c r="BL66" i="3"/>
  <c r="BA64" i="3"/>
  <c r="BL59" i="3"/>
  <c r="BL54" i="3"/>
  <c r="AZ54" i="3"/>
  <c r="AZ46" i="3"/>
  <c r="BL45" i="3"/>
  <c r="AZ45" i="3"/>
  <c r="BL34" i="3"/>
  <c r="BA32" i="3"/>
  <c r="BL27" i="3"/>
  <c r="AZ27" i="3"/>
  <c r="BL22" i="3"/>
  <c r="AZ22" i="3"/>
  <c r="E10" i="71"/>
  <c r="E9" i="71"/>
  <c r="X7" i="71"/>
  <c r="Y5" i="71"/>
  <c r="Z5" i="71"/>
  <c r="Y7" i="71"/>
  <c r="Z7" i="71"/>
  <c r="Y6" i="71"/>
  <c r="Z6" i="71"/>
  <c r="BA123" i="3"/>
  <c r="BL122" i="3"/>
  <c r="AZ122" i="3"/>
  <c r="BA109" i="3"/>
  <c r="AZ109" i="3"/>
  <c r="BA101" i="3"/>
  <c r="BA90" i="3"/>
  <c r="AZ90" i="3"/>
  <c r="BA87" i="3"/>
  <c r="AZ87" i="3"/>
  <c r="BA81" i="3"/>
  <c r="AZ81" i="3"/>
  <c r="BA69" i="3"/>
  <c r="AZ69" i="3"/>
  <c r="BA58" i="3"/>
  <c r="AZ58" i="3"/>
  <c r="BA55" i="3"/>
  <c r="AZ55" i="3"/>
  <c r="BA49" i="3"/>
  <c r="AZ49" i="3"/>
  <c r="BA23" i="3"/>
  <c r="BA19" i="3"/>
  <c r="BA16" i="3"/>
  <c r="AZ16" i="3"/>
  <c r="BA13" i="3"/>
  <c r="BA119" i="3"/>
  <c r="BL118" i="3"/>
  <c r="AZ118" i="3"/>
  <c r="BA107" i="3"/>
  <c r="BL106" i="3"/>
  <c r="BA104" i="3"/>
  <c r="AZ104" i="3"/>
  <c r="BL100" i="3"/>
  <c r="BL99" i="3"/>
  <c r="BL94" i="3"/>
  <c r="AZ94" i="3"/>
  <c r="BL85" i="3"/>
  <c r="BA75" i="3"/>
  <c r="AZ75" i="3"/>
  <c r="BL74" i="3"/>
  <c r="AZ74" i="3"/>
  <c r="BA72" i="3"/>
  <c r="AZ72" i="3"/>
  <c r="BL68" i="3"/>
  <c r="AZ68" i="3"/>
  <c r="BL67" i="3"/>
  <c r="AZ67" i="3"/>
  <c r="BL62" i="3"/>
  <c r="BL53" i="3"/>
  <c r="AZ53" i="3"/>
  <c r="BA43" i="3"/>
  <c r="AZ43" i="3"/>
  <c r="BL42" i="3"/>
  <c r="AZ42" i="3"/>
  <c r="BA40" i="3"/>
  <c r="AZ40" i="3"/>
  <c r="BA37" i="3"/>
  <c r="AZ37" i="3"/>
  <c r="BL36" i="3"/>
  <c r="AZ36" i="3"/>
  <c r="BL35" i="3"/>
  <c r="BL30" i="3"/>
  <c r="BL21" i="3"/>
  <c r="AZ21" i="3"/>
  <c r="X6" i="71"/>
  <c r="AB6" i="71"/>
  <c r="F12" i="77"/>
  <c r="BL138" i="3"/>
  <c r="AZ138" i="3"/>
  <c r="BA115" i="3"/>
  <c r="AZ115" i="3"/>
  <c r="BL114" i="3"/>
  <c r="BA98" i="3"/>
  <c r="BL96" i="3"/>
  <c r="BA95" i="3"/>
  <c r="AZ95" i="3"/>
  <c r="BA89" i="3"/>
  <c r="AZ89" i="3"/>
  <c r="BA77" i="3"/>
  <c r="BA66" i="3"/>
  <c r="AZ66" i="3"/>
  <c r="BL64" i="3"/>
  <c r="BA63" i="3"/>
  <c r="AZ63" i="3"/>
  <c r="BA57" i="3"/>
  <c r="AZ57" i="3"/>
  <c r="BA34" i="3"/>
  <c r="AZ34" i="3"/>
  <c r="BL32" i="3"/>
  <c r="BA31" i="3"/>
  <c r="AZ31" i="3"/>
  <c r="BA25" i="3"/>
  <c r="AZ25" i="3"/>
  <c r="BL14" i="3"/>
  <c r="AB5" i="71"/>
  <c r="H62" i="77"/>
  <c r="H38" i="39"/>
  <c r="J38" i="39"/>
  <c r="AZ133" i="3"/>
  <c r="BL110" i="3"/>
  <c r="AZ110" i="3"/>
  <c r="BL102" i="3"/>
  <c r="BA80" i="3"/>
  <c r="BL76" i="3"/>
  <c r="AZ76" i="3"/>
  <c r="BL70" i="3"/>
  <c r="BA48" i="3"/>
  <c r="AZ48" i="3"/>
  <c r="BL44" i="3"/>
  <c r="AZ44" i="3"/>
  <c r="BL38" i="3"/>
  <c r="BA18" i="3"/>
  <c r="AA11" i="71"/>
  <c r="N20" i="77"/>
  <c r="N25" i="77"/>
  <c r="N26" i="77"/>
  <c r="D55" i="77"/>
  <c r="BA135" i="3"/>
  <c r="AZ135" i="3"/>
  <c r="BA106" i="3"/>
  <c r="BA103" i="3"/>
  <c r="AZ103" i="3"/>
  <c r="BA97" i="3"/>
  <c r="AZ97" i="3"/>
  <c r="BA71" i="3"/>
  <c r="AZ71" i="3"/>
  <c r="BA65" i="3"/>
  <c r="AZ65" i="3"/>
  <c r="BA39" i="3"/>
  <c r="AZ39" i="3"/>
  <c r="BA33" i="3"/>
  <c r="AZ33" i="3"/>
  <c r="BL20" i="3"/>
  <c r="AZ20" i="3"/>
  <c r="AZ14" i="3"/>
  <c r="AE19" i="3"/>
  <c r="AE5" i="3"/>
  <c r="BM19" i="3"/>
  <c r="F33" i="77"/>
  <c r="F39" i="77"/>
  <c r="E53" i="77"/>
  <c r="D53" i="77"/>
  <c r="E52" i="77"/>
  <c r="F23" i="21"/>
  <c r="J23" i="21"/>
  <c r="F62" i="77"/>
  <c r="M26" i="77"/>
  <c r="K54" i="77"/>
  <c r="F107" i="39"/>
  <c r="F32" i="39"/>
  <c r="F38" i="39"/>
  <c r="F40" i="77"/>
  <c r="F43" i="77"/>
  <c r="G43" i="77"/>
  <c r="F37" i="15"/>
  <c r="F35" i="67"/>
  <c r="C17" i="67"/>
  <c r="D3" i="73"/>
  <c r="D6" i="73"/>
  <c r="F8" i="15"/>
  <c r="M6" i="15"/>
  <c r="F42" i="15"/>
  <c r="G1" i="73"/>
  <c r="F41" i="67"/>
  <c r="L48" i="15"/>
  <c r="F9" i="15"/>
  <c r="F13" i="15"/>
  <c r="M8" i="15"/>
  <c r="D4" i="73"/>
  <c r="M27" i="67"/>
  <c r="C14" i="67"/>
  <c r="F16" i="15"/>
  <c r="M9" i="15"/>
  <c r="F26" i="15"/>
  <c r="F6" i="15"/>
  <c r="F36" i="15"/>
  <c r="C16" i="67"/>
  <c r="F38" i="15"/>
  <c r="F40" i="15"/>
  <c r="F63" i="67"/>
  <c r="C62" i="67"/>
  <c r="C34" i="67"/>
  <c r="E20" i="43"/>
  <c r="P28" i="43"/>
  <c r="F69" i="67"/>
  <c r="AC38" i="40"/>
  <c r="W38" i="40"/>
  <c r="AA27" i="21"/>
  <c r="S27" i="21"/>
  <c r="U37" i="21"/>
  <c r="AB37" i="21"/>
  <c r="F63" i="40"/>
  <c r="E65" i="40"/>
  <c r="W13" i="34"/>
  <c r="AC13" i="34"/>
  <c r="F20" i="77"/>
  <c r="F26" i="77"/>
  <c r="AZ107" i="3"/>
  <c r="AZ23" i="3"/>
  <c r="AZ101" i="3"/>
  <c r="AZ205" i="3"/>
  <c r="AZ223" i="3"/>
  <c r="AZ237" i="3"/>
  <c r="AZ519" i="3"/>
  <c r="AZ508" i="3"/>
  <c r="E11" i="6"/>
  <c r="E61" i="39"/>
  <c r="AB15" i="39"/>
  <c r="AZ155" i="3"/>
  <c r="AZ165" i="3"/>
  <c r="AZ116" i="3"/>
  <c r="AZ128" i="3"/>
  <c r="B8" i="71"/>
  <c r="B7" i="71"/>
  <c r="B6" i="71"/>
  <c r="B5" i="71"/>
  <c r="S9" i="71"/>
  <c r="AZ52" i="3"/>
  <c r="AZ228" i="3"/>
  <c r="AZ374" i="3"/>
  <c r="AZ431" i="3"/>
  <c r="AZ518" i="3"/>
  <c r="AZ328" i="3"/>
  <c r="AZ410" i="3"/>
  <c r="U25" i="37"/>
  <c r="AB25" i="37"/>
  <c r="E8" i="6"/>
  <c r="F7" i="12"/>
  <c r="K9" i="1"/>
  <c r="D20" i="53"/>
  <c r="B40" i="72"/>
  <c r="B38" i="72"/>
  <c r="E68" i="39"/>
  <c r="D70" i="39"/>
  <c r="S27" i="40"/>
  <c r="AA27" i="40"/>
  <c r="S30" i="21"/>
  <c r="AA30" i="21"/>
  <c r="S47" i="34"/>
  <c r="AA47" i="34"/>
  <c r="U47" i="34"/>
  <c r="AB47" i="34"/>
  <c r="U11" i="36"/>
  <c r="AB11" i="36"/>
  <c r="AZ296" i="3"/>
  <c r="AZ448" i="3"/>
  <c r="AB23" i="21"/>
  <c r="U23" i="21"/>
  <c r="AZ150" i="3"/>
  <c r="AA25" i="37"/>
  <c r="S25" i="37"/>
  <c r="AZ195" i="3"/>
  <c r="AZ332" i="3"/>
  <c r="AZ339" i="3"/>
  <c r="AZ525" i="3"/>
  <c r="AZ414" i="3"/>
  <c r="AZ472" i="3"/>
  <c r="AZ462" i="3"/>
  <c r="F55" i="71"/>
  <c r="Q55" i="71"/>
  <c r="E13" i="6"/>
  <c r="AZ270" i="3"/>
  <c r="AC25" i="39"/>
  <c r="W25" i="39"/>
  <c r="AZ132" i="3"/>
  <c r="I21" i="66"/>
  <c r="D1" i="66"/>
  <c r="E10" i="66"/>
  <c r="G13" i="3"/>
  <c r="G5" i="3"/>
  <c r="B3" i="3"/>
  <c r="E150" i="3"/>
  <c r="H5" i="3"/>
  <c r="AB26" i="37"/>
  <c r="U26" i="37"/>
  <c r="U13" i="34"/>
  <c r="AB13" i="34"/>
  <c r="AZ213" i="3"/>
  <c r="C10" i="71"/>
  <c r="D11" i="71"/>
  <c r="AZ407" i="3"/>
  <c r="AA46" i="21"/>
  <c r="S46" i="21"/>
  <c r="AC14" i="33"/>
  <c r="W14" i="33"/>
  <c r="AZ119" i="3"/>
  <c r="AZ59" i="3"/>
  <c r="AZ275" i="3"/>
  <c r="AZ498" i="3"/>
  <c r="D17" i="53"/>
  <c r="B36" i="72"/>
  <c r="AZ397" i="3"/>
  <c r="AZ399" i="3"/>
  <c r="AZ98" i="3"/>
  <c r="AZ123" i="3"/>
  <c r="AZ126" i="3"/>
  <c r="AZ342" i="3"/>
  <c r="AZ114" i="3"/>
  <c r="AZ99" i="3"/>
  <c r="AZ353" i="3"/>
  <c r="AZ160" i="3"/>
  <c r="AZ26" i="3"/>
  <c r="AZ577" i="3"/>
  <c r="AZ418" i="3"/>
  <c r="AZ481" i="3"/>
  <c r="AB25" i="39"/>
  <c r="U25" i="39"/>
  <c r="AZ158" i="3"/>
  <c r="S38" i="40"/>
  <c r="AA38" i="40"/>
  <c r="AC37" i="21"/>
  <c r="W37" i="21"/>
  <c r="AA32" i="34"/>
  <c r="S32" i="34"/>
  <c r="AC11" i="36"/>
  <c r="W11" i="36"/>
  <c r="AA26" i="37"/>
  <c r="S26" i="37"/>
  <c r="S25" i="36"/>
  <c r="AA25" i="36"/>
  <c r="W7" i="33"/>
  <c r="AC7" i="33"/>
  <c r="V48" i="33"/>
  <c r="I48" i="33"/>
  <c r="I52" i="33"/>
  <c r="J52" i="33"/>
  <c r="AZ355" i="3"/>
  <c r="AZ415" i="3"/>
  <c r="AZ336" i="3"/>
  <c r="AZ384" i="3"/>
  <c r="AZ285" i="3"/>
  <c r="G44" i="77"/>
  <c r="AZ18" i="3"/>
  <c r="AZ100" i="3"/>
  <c r="AZ218" i="3"/>
  <c r="AZ189" i="3"/>
  <c r="AZ288" i="3"/>
  <c r="AZ313" i="3"/>
  <c r="AZ256" i="3"/>
  <c r="AZ361" i="3"/>
  <c r="AZ491" i="3"/>
  <c r="AZ391" i="3"/>
  <c r="AZ461" i="3"/>
  <c r="AZ487" i="3"/>
  <c r="AZ480" i="3"/>
  <c r="AZ154" i="3"/>
  <c r="AZ201" i="3"/>
  <c r="AZ162" i="3"/>
  <c r="AZ28" i="3"/>
  <c r="AZ84" i="3"/>
  <c r="AZ573" i="3"/>
  <c r="AA25" i="39"/>
  <c r="S25" i="39"/>
  <c r="AZ549" i="3"/>
  <c r="AZ456" i="3"/>
  <c r="AZ544" i="3"/>
  <c r="AZ579" i="3"/>
  <c r="C53" i="71"/>
  <c r="D52" i="71"/>
  <c r="AZ424" i="3"/>
  <c r="S27" i="39"/>
  <c r="AA27" i="39"/>
  <c r="S14" i="33"/>
  <c r="AA14" i="33"/>
  <c r="AB32" i="34"/>
  <c r="U32" i="34"/>
  <c r="AC26" i="37"/>
  <c r="W26" i="37"/>
  <c r="E14" i="6"/>
  <c r="W47" i="34"/>
  <c r="AC47" i="34"/>
  <c r="AZ523" i="3"/>
  <c r="E12" i="6"/>
  <c r="E57" i="40"/>
  <c r="AZ60" i="3"/>
  <c r="AZ106" i="3"/>
  <c r="AZ38" i="3"/>
  <c r="BA24" i="3"/>
  <c r="AZ24" i="3"/>
  <c r="AZ219" i="3"/>
  <c r="AZ211" i="3"/>
  <c r="AZ206" i="3"/>
  <c r="AZ284" i="3"/>
  <c r="AZ451" i="3"/>
  <c r="AZ435" i="3"/>
  <c r="AZ446" i="3"/>
  <c r="G20" i="77"/>
  <c r="G26" i="77"/>
  <c r="AZ373" i="3"/>
  <c r="AZ334" i="3"/>
  <c r="AZ151" i="3"/>
  <c r="AZ510" i="3"/>
  <c r="AZ541" i="3"/>
  <c r="AZ586" i="3"/>
  <c r="AZ439" i="3"/>
  <c r="AZ557" i="3"/>
  <c r="N39" i="77"/>
  <c r="N44" i="77"/>
  <c r="AZ432" i="3"/>
  <c r="U27" i="39"/>
  <c r="AB27" i="39"/>
  <c r="AC5" i="3"/>
  <c r="G19" i="3"/>
  <c r="H14" i="74"/>
  <c r="B7" i="74"/>
  <c r="D10" i="52"/>
  <c r="D125" i="9"/>
  <c r="D11" i="52"/>
  <c r="AC27" i="40"/>
  <c r="W27" i="40"/>
  <c r="AA15" i="39"/>
  <c r="S15" i="39"/>
  <c r="B40" i="1"/>
  <c r="F24" i="67"/>
  <c r="C24" i="67"/>
  <c r="K4" i="4"/>
  <c r="B46" i="48"/>
  <c r="B4" i="72"/>
  <c r="C49" i="67"/>
  <c r="L60" i="15"/>
  <c r="L56" i="15"/>
  <c r="J59" i="15"/>
  <c r="L57" i="15"/>
  <c r="I54" i="15"/>
  <c r="J57" i="15"/>
  <c r="J55" i="15"/>
  <c r="J58" i="15"/>
  <c r="Q50" i="15"/>
  <c r="L58" i="15"/>
  <c r="J60" i="15"/>
  <c r="Q48" i="15"/>
  <c r="F51" i="15"/>
  <c r="C27" i="15"/>
  <c r="F65" i="15"/>
  <c r="F64" i="15"/>
  <c r="C18" i="67"/>
  <c r="C15" i="67"/>
  <c r="F66" i="15"/>
  <c r="F68" i="15"/>
  <c r="U7" i="37"/>
  <c r="AB7" i="37"/>
  <c r="T42" i="37"/>
  <c r="G42" i="37"/>
  <c r="H32" i="39"/>
  <c r="G107" i="39"/>
  <c r="AC12" i="33"/>
  <c r="W12" i="33"/>
  <c r="AA42" i="21"/>
  <c r="S42" i="21"/>
  <c r="E48" i="33"/>
  <c r="R49" i="33"/>
  <c r="F62" i="80"/>
  <c r="AB33" i="36"/>
  <c r="U33" i="36"/>
  <c r="F44" i="77"/>
  <c r="F45" i="77"/>
  <c r="AC23" i="21"/>
  <c r="W23" i="21"/>
  <c r="AC38" i="39"/>
  <c r="W38" i="39"/>
  <c r="K62" i="77"/>
  <c r="D52" i="77"/>
  <c r="AZ203" i="3"/>
  <c r="AZ349" i="3"/>
  <c r="AZ403" i="3"/>
  <c r="C45" i="71"/>
  <c r="D44" i="71"/>
  <c r="U12" i="21"/>
  <c r="AB12" i="21"/>
  <c r="AC39" i="21"/>
  <c r="W39" i="21"/>
  <c r="AA17" i="39"/>
  <c r="S17" i="39"/>
  <c r="W33" i="36"/>
  <c r="AC33" i="36"/>
  <c r="AA23" i="36"/>
  <c r="S23" i="36"/>
  <c r="E65" i="39"/>
  <c r="E60" i="40"/>
  <c r="C9" i="68"/>
  <c r="AC7" i="21"/>
  <c r="W7" i="21"/>
  <c r="F7" i="37"/>
  <c r="Q74" i="67"/>
  <c r="Q61" i="67"/>
  <c r="AA23" i="21"/>
  <c r="S23" i="21"/>
  <c r="AB38" i="39"/>
  <c r="U38" i="39"/>
  <c r="E8" i="71"/>
  <c r="E7" i="71"/>
  <c r="E6" i="71"/>
  <c r="E5" i="71"/>
  <c r="V9" i="71"/>
  <c r="AZ186" i="3"/>
  <c r="AZ520" i="3"/>
  <c r="D33" i="71"/>
  <c r="T33" i="71"/>
  <c r="U12" i="36"/>
  <c r="AB12" i="36"/>
  <c r="U39" i="21"/>
  <c r="AB39" i="21"/>
  <c r="U9" i="36"/>
  <c r="AB9" i="36"/>
  <c r="W17" i="39"/>
  <c r="AC17" i="39"/>
  <c r="AB34" i="21"/>
  <c r="U34" i="21"/>
  <c r="AB42" i="39"/>
  <c r="U42" i="39"/>
  <c r="E56" i="40"/>
  <c r="W28" i="33"/>
  <c r="AC28" i="33"/>
  <c r="F27" i="6"/>
  <c r="F11" i="80"/>
  <c r="F11" i="15"/>
  <c r="C53" i="15"/>
  <c r="M11" i="15"/>
  <c r="F11" i="79"/>
  <c r="C53" i="79"/>
  <c r="M11" i="79"/>
  <c r="M11" i="80"/>
  <c r="F11" i="67"/>
  <c r="M11" i="67"/>
  <c r="J10" i="67"/>
  <c r="J5" i="67"/>
  <c r="F24" i="80"/>
  <c r="C24" i="80"/>
  <c r="BL19" i="3"/>
  <c r="BL5" i="3"/>
  <c r="BM5" i="3"/>
  <c r="F29" i="6"/>
  <c r="AZ517" i="3"/>
  <c r="P56" i="71"/>
  <c r="E55" i="71"/>
  <c r="S12" i="21"/>
  <c r="AA12" i="21"/>
  <c r="W45" i="39"/>
  <c r="AC45" i="39"/>
  <c r="E54" i="77"/>
  <c r="E62" i="77"/>
  <c r="AZ305" i="3"/>
  <c r="AZ501" i="3"/>
  <c r="D60" i="71"/>
  <c r="C59" i="71"/>
  <c r="D59" i="71"/>
  <c r="W12" i="36"/>
  <c r="AC12" i="36"/>
  <c r="AA45" i="21"/>
  <c r="S45" i="21"/>
  <c r="S45" i="39"/>
  <c r="AA45" i="39"/>
  <c r="E58" i="40"/>
  <c r="E63" i="39"/>
  <c r="AA42" i="39"/>
  <c r="S42" i="39"/>
  <c r="AA28" i="33"/>
  <c r="S28" i="33"/>
  <c r="AC7" i="37"/>
  <c r="V42" i="37"/>
  <c r="I42" i="37"/>
  <c r="W7" i="37"/>
  <c r="G53" i="33"/>
  <c r="H53" i="33"/>
  <c r="G52" i="33"/>
  <c r="H52" i="33"/>
  <c r="AB17" i="39"/>
  <c r="U17" i="39"/>
  <c r="AZ80" i="3"/>
  <c r="AZ96" i="3"/>
  <c r="S40" i="40"/>
  <c r="AA40" i="40"/>
  <c r="AC23" i="35"/>
  <c r="W23" i="35"/>
  <c r="W34" i="21"/>
  <c r="AC34" i="21"/>
  <c r="I7" i="6"/>
  <c r="G3" i="43"/>
  <c r="U28" i="33"/>
  <c r="AB28" i="33"/>
  <c r="H7" i="34"/>
  <c r="AB7" i="21"/>
  <c r="U7" i="21"/>
  <c r="J18" i="67"/>
  <c r="O54" i="71"/>
  <c r="O55" i="71"/>
  <c r="D55" i="71"/>
  <c r="T29" i="71"/>
  <c r="D29" i="71"/>
  <c r="AA38" i="39"/>
  <c r="S38" i="39"/>
  <c r="AZ64" i="3"/>
  <c r="AZ281" i="3"/>
  <c r="AZ380" i="3"/>
  <c r="N54" i="71"/>
  <c r="N55" i="71"/>
  <c r="U12" i="35"/>
  <c r="AB12" i="35"/>
  <c r="S12" i="34"/>
  <c r="AA12" i="34"/>
  <c r="AB40" i="40"/>
  <c r="U40" i="40"/>
  <c r="U39" i="39"/>
  <c r="AB39" i="39"/>
  <c r="U23" i="35"/>
  <c r="AB23" i="35"/>
  <c r="AA34" i="21"/>
  <c r="S34" i="21"/>
  <c r="K8" i="1"/>
  <c r="G16" i="1"/>
  <c r="E7" i="12"/>
  <c r="AC42" i="21"/>
  <c r="W42" i="21"/>
  <c r="K14" i="1"/>
  <c r="M14" i="1"/>
  <c r="C32" i="67"/>
  <c r="AA9" i="33"/>
  <c r="S9" i="33"/>
  <c r="AB39" i="40"/>
  <c r="U39" i="40"/>
  <c r="AC23" i="36"/>
  <c r="W23" i="36"/>
  <c r="AZ77" i="3"/>
  <c r="AZ32" i="3"/>
  <c r="AZ329" i="3"/>
  <c r="AZ368" i="3"/>
  <c r="AZ337" i="3"/>
  <c r="AZ512" i="3"/>
  <c r="AZ443" i="3"/>
  <c r="AZ413" i="3"/>
  <c r="AZ477" i="3"/>
  <c r="F62" i="79"/>
  <c r="C49" i="71"/>
  <c r="D48" i="71"/>
  <c r="W12" i="35"/>
  <c r="AC12" i="35"/>
  <c r="U12" i="34"/>
  <c r="AB12" i="34"/>
  <c r="W25" i="37"/>
  <c r="AC25" i="37"/>
  <c r="C9" i="69"/>
  <c r="AA7" i="35"/>
  <c r="R38" i="35"/>
  <c r="S7" i="35"/>
  <c r="G46" i="36"/>
  <c r="H46" i="36"/>
  <c r="I46" i="36"/>
  <c r="J46" i="36"/>
  <c r="K46" i="36"/>
  <c r="L46" i="36"/>
  <c r="M46" i="36"/>
  <c r="N46" i="36"/>
  <c r="O46" i="36"/>
  <c r="D5" i="43"/>
  <c r="C5" i="43"/>
  <c r="AC7" i="35"/>
  <c r="V38" i="35"/>
  <c r="I38" i="35"/>
  <c r="W7" i="35"/>
  <c r="U7" i="35"/>
  <c r="AB7" i="35"/>
  <c r="T38" i="35"/>
  <c r="G38" i="35"/>
  <c r="S7" i="21"/>
  <c r="AA7" i="21"/>
  <c r="AA32" i="39"/>
  <c r="S32" i="39"/>
  <c r="AZ13" i="3"/>
  <c r="BA5" i="3"/>
  <c r="E27" i="6"/>
  <c r="K23" i="6"/>
  <c r="AZ381" i="3"/>
  <c r="AZ474" i="3"/>
  <c r="AZ419" i="3"/>
  <c r="C41" i="71"/>
  <c r="D40" i="71"/>
  <c r="AB9" i="33"/>
  <c r="U9" i="33"/>
  <c r="U12" i="33"/>
  <c r="AB12" i="33"/>
  <c r="AA33" i="36"/>
  <c r="S33" i="36"/>
  <c r="S15" i="21"/>
  <c r="AA15" i="21"/>
  <c r="AB23" i="36"/>
  <c r="U23" i="36"/>
  <c r="U42" i="21"/>
  <c r="AB42" i="21"/>
  <c r="J7" i="34"/>
  <c r="F7" i="34"/>
  <c r="Q60" i="67"/>
  <c r="Q73" i="67"/>
  <c r="F7" i="80"/>
  <c r="M27" i="80"/>
  <c r="F6" i="80"/>
  <c r="F16" i="80"/>
  <c r="L47" i="80"/>
  <c r="M22" i="79"/>
  <c r="M24" i="80"/>
  <c r="M29" i="79"/>
  <c r="F42" i="79"/>
  <c r="M23" i="79"/>
  <c r="M9" i="79"/>
  <c r="M26" i="80"/>
  <c r="F37" i="80"/>
  <c r="M9" i="80"/>
  <c r="M24" i="79"/>
  <c r="F38" i="80"/>
  <c r="F42" i="80"/>
  <c r="F36" i="79"/>
  <c r="M6" i="79"/>
  <c r="M6" i="80"/>
  <c r="F36" i="80"/>
  <c r="F13" i="80"/>
  <c r="F40" i="80"/>
  <c r="J15" i="79"/>
  <c r="M26" i="79"/>
  <c r="C76" i="79"/>
  <c r="M29" i="15"/>
  <c r="M27" i="79"/>
  <c r="J15" i="80"/>
  <c r="M28" i="79"/>
  <c r="F9" i="79"/>
  <c r="F6" i="79"/>
  <c r="F38" i="79"/>
  <c r="F26" i="79"/>
  <c r="M8" i="79"/>
  <c r="M8" i="80"/>
  <c r="L48" i="80"/>
  <c r="F26" i="80"/>
  <c r="F37" i="79"/>
  <c r="M28" i="80"/>
  <c r="F16" i="79"/>
  <c r="C76" i="80"/>
  <c r="F43" i="79"/>
  <c r="M29" i="80"/>
  <c r="F8" i="79"/>
  <c r="L48" i="79"/>
  <c r="F40" i="79"/>
  <c r="M23" i="80"/>
  <c r="F43" i="80"/>
  <c r="F13" i="79"/>
  <c r="F9" i="80"/>
  <c r="F8" i="80"/>
  <c r="F43" i="15"/>
  <c r="L47" i="79"/>
  <c r="M22" i="80"/>
  <c r="O28" i="43"/>
  <c r="F24" i="15"/>
  <c r="C24" i="15"/>
  <c r="M28" i="43"/>
  <c r="N28" i="43"/>
  <c r="F68" i="39"/>
  <c r="E70" i="39"/>
  <c r="Q54" i="71"/>
  <c r="E59" i="40"/>
  <c r="E64" i="39"/>
  <c r="E62" i="39"/>
  <c r="AH9" i="1"/>
  <c r="M9" i="1"/>
  <c r="F65" i="40"/>
  <c r="G63" i="40"/>
  <c r="C9" i="71"/>
  <c r="D10" i="71"/>
  <c r="K20" i="6"/>
  <c r="E16" i="6"/>
  <c r="D53" i="71"/>
  <c r="T53" i="71"/>
  <c r="E51" i="40"/>
  <c r="E56" i="39"/>
  <c r="F22" i="68"/>
  <c r="F25" i="12"/>
  <c r="F24" i="79"/>
  <c r="C24" i="79"/>
  <c r="F22" i="11"/>
  <c r="F22" i="69"/>
  <c r="C26" i="69"/>
  <c r="D22" i="69"/>
  <c r="E62" i="3"/>
  <c r="C19" i="67"/>
  <c r="C20" i="67"/>
  <c r="C23" i="67"/>
  <c r="L57" i="79"/>
  <c r="L56" i="79"/>
  <c r="L60" i="79"/>
  <c r="J57" i="79"/>
  <c r="J55" i="79"/>
  <c r="J58" i="79"/>
  <c r="Q50" i="79"/>
  <c r="J59" i="79"/>
  <c r="I54" i="79"/>
  <c r="J60" i="79"/>
  <c r="Q48" i="79"/>
  <c r="L57" i="80"/>
  <c r="L56" i="80"/>
  <c r="L60" i="80"/>
  <c r="J59" i="80"/>
  <c r="I54" i="80"/>
  <c r="J60" i="80"/>
  <c r="Q48" i="80"/>
  <c r="J57" i="80"/>
  <c r="J55" i="80"/>
  <c r="J58" i="80"/>
  <c r="Q50" i="80"/>
  <c r="F64" i="80"/>
  <c r="F65" i="79"/>
  <c r="F51" i="79"/>
  <c r="N59" i="80"/>
  <c r="L58" i="80"/>
  <c r="F66" i="80"/>
  <c r="F65" i="80"/>
  <c r="F64" i="79"/>
  <c r="F71" i="79"/>
  <c r="M7" i="80"/>
  <c r="J6" i="80"/>
  <c r="F50" i="80"/>
  <c r="C6" i="80"/>
  <c r="Q71" i="79"/>
  <c r="F71" i="15"/>
  <c r="Q71" i="80"/>
  <c r="F68" i="80"/>
  <c r="C27" i="80"/>
  <c r="F71" i="80"/>
  <c r="F66" i="79"/>
  <c r="F68" i="79"/>
  <c r="F51" i="80"/>
  <c r="L58" i="79"/>
  <c r="N59" i="79"/>
  <c r="C27" i="79"/>
  <c r="S10" i="1"/>
  <c r="M23" i="6"/>
  <c r="I23" i="6"/>
  <c r="S23" i="6"/>
  <c r="J26" i="67"/>
  <c r="J29" i="67"/>
  <c r="J24" i="67"/>
  <c r="J10" i="39"/>
  <c r="F10" i="39"/>
  <c r="H10" i="39"/>
  <c r="H10" i="40"/>
  <c r="J10" i="40"/>
  <c r="F10" i="40"/>
  <c r="W7" i="34"/>
  <c r="AC7" i="34"/>
  <c r="V49" i="34"/>
  <c r="I49" i="34"/>
  <c r="D41" i="71"/>
  <c r="T41" i="71"/>
  <c r="F7" i="36"/>
  <c r="K19" i="6"/>
  <c r="E70" i="3"/>
  <c r="H7" i="36"/>
  <c r="G42" i="35"/>
  <c r="H42" i="35"/>
  <c r="G43" i="35"/>
  <c r="H43" i="35"/>
  <c r="K24" i="6"/>
  <c r="M24" i="6"/>
  <c r="I24" i="6"/>
  <c r="S24" i="6"/>
  <c r="B113" i="43"/>
  <c r="N104" i="46"/>
  <c r="F22" i="43"/>
  <c r="E22" i="43"/>
  <c r="H101" i="43"/>
  <c r="G22" i="43"/>
  <c r="AF11" i="43"/>
  <c r="AF13" i="43"/>
  <c r="Z7" i="43"/>
  <c r="AC11" i="43"/>
  <c r="AC13" i="43"/>
  <c r="G101" i="43"/>
  <c r="K101" i="43"/>
  <c r="C101" i="43"/>
  <c r="M101" i="43"/>
  <c r="S2" i="43"/>
  <c r="AJ11" i="43"/>
  <c r="AJ13" i="43"/>
  <c r="AB11" i="43"/>
  <c r="AB13" i="43"/>
  <c r="AG11" i="43"/>
  <c r="AG13" i="43"/>
  <c r="Y11" i="43"/>
  <c r="Y13" i="43"/>
  <c r="F101" i="43"/>
  <c r="J101" i="43"/>
  <c r="H22" i="43"/>
  <c r="I101" i="43"/>
  <c r="L101" i="43"/>
  <c r="AH11" i="43"/>
  <c r="AH13" i="43"/>
  <c r="Z11" i="43"/>
  <c r="Z13" i="43"/>
  <c r="AE11" i="43"/>
  <c r="AE13" i="43"/>
  <c r="S6" i="43"/>
  <c r="E101" i="43"/>
  <c r="AD11" i="43"/>
  <c r="AD13" i="43"/>
  <c r="S7" i="43"/>
  <c r="S5" i="43"/>
  <c r="N101" i="43"/>
  <c r="AI11" i="43"/>
  <c r="AI13" i="43"/>
  <c r="C23" i="43"/>
  <c r="C21" i="43"/>
  <c r="C29" i="43"/>
  <c r="S3" i="43"/>
  <c r="D101" i="43"/>
  <c r="AA11" i="43"/>
  <c r="AA13" i="43"/>
  <c r="J22" i="43"/>
  <c r="S4" i="43"/>
  <c r="E175" i="3"/>
  <c r="E29" i="6"/>
  <c r="F30" i="6"/>
  <c r="F31" i="6"/>
  <c r="E66" i="39"/>
  <c r="D54" i="77"/>
  <c r="D62" i="77"/>
  <c r="C48" i="33"/>
  <c r="C49" i="33"/>
  <c r="J32" i="39"/>
  <c r="H107" i="39"/>
  <c r="I107" i="39"/>
  <c r="J107" i="39"/>
  <c r="K107" i="39"/>
  <c r="L107" i="39"/>
  <c r="M107" i="39"/>
  <c r="K26" i="6"/>
  <c r="M26" i="6"/>
  <c r="I26" i="6"/>
  <c r="S26" i="6"/>
  <c r="C11" i="21"/>
  <c r="C11" i="39"/>
  <c r="E46" i="3"/>
  <c r="C10" i="80"/>
  <c r="C53" i="80"/>
  <c r="T45" i="71"/>
  <c r="D45" i="71"/>
  <c r="E53" i="33"/>
  <c r="F53" i="33"/>
  <c r="E52" i="33"/>
  <c r="F52" i="33"/>
  <c r="I53" i="33"/>
  <c r="J53" i="33"/>
  <c r="AB32" i="39"/>
  <c r="U32" i="39"/>
  <c r="E38" i="35"/>
  <c r="I43" i="35"/>
  <c r="J43" i="35"/>
  <c r="R39" i="35"/>
  <c r="S7" i="1"/>
  <c r="T7" i="1"/>
  <c r="M20" i="6"/>
  <c r="I20" i="6"/>
  <c r="S20" i="6"/>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AZ19" i="3"/>
  <c r="AZ5" i="3"/>
  <c r="I42" i="35"/>
  <c r="J42" i="35"/>
  <c r="AH8" i="1"/>
  <c r="M8" i="1"/>
  <c r="Q16" i="1"/>
  <c r="C34" i="69"/>
  <c r="H16" i="1"/>
  <c r="U7" i="34"/>
  <c r="AB7" i="34"/>
  <c r="T49" i="34"/>
  <c r="G49" i="34"/>
  <c r="I46" i="37"/>
  <c r="J46" i="37"/>
  <c r="C10" i="67"/>
  <c r="C5" i="67"/>
  <c r="C53" i="67"/>
  <c r="C48" i="67"/>
  <c r="E94" i="3"/>
  <c r="G46" i="37"/>
  <c r="H46" i="37"/>
  <c r="G47" i="37"/>
  <c r="H47" i="37"/>
  <c r="T5" i="43"/>
  <c r="V5" i="43"/>
  <c r="T14" i="43"/>
  <c r="V14" i="43"/>
  <c r="T3" i="43"/>
  <c r="V3" i="43"/>
  <c r="T8" i="43"/>
  <c r="V8" i="43"/>
  <c r="T16" i="43"/>
  <c r="V16" i="43"/>
  <c r="T7" i="43"/>
  <c r="V7" i="43"/>
  <c r="T15" i="43"/>
  <c r="V15" i="43"/>
  <c r="T11" i="43"/>
  <c r="V11" i="43"/>
  <c r="T6" i="43"/>
  <c r="V6" i="43"/>
  <c r="T13" i="43"/>
  <c r="V13" i="43"/>
  <c r="T4" i="43"/>
  <c r="V4" i="43"/>
  <c r="T9" i="43"/>
  <c r="V9" i="43"/>
  <c r="T10" i="43"/>
  <c r="V10" i="43"/>
  <c r="T2" i="43"/>
  <c r="V2" i="43"/>
  <c r="T12" i="43"/>
  <c r="V12" i="43"/>
  <c r="T49" i="71"/>
  <c r="D49" i="71"/>
  <c r="K21" i="6"/>
  <c r="P54" i="71"/>
  <c r="P55" i="71"/>
  <c r="C34" i="43"/>
  <c r="C36" i="43"/>
  <c r="C33" i="43"/>
  <c r="C38" i="43"/>
  <c r="C35" i="43"/>
  <c r="C37" i="43"/>
  <c r="C39" i="43"/>
  <c r="E198" i="3"/>
  <c r="AE6" i="3"/>
  <c r="Q60" i="15"/>
  <c r="Q73" i="15"/>
  <c r="Q66" i="15"/>
  <c r="Q57" i="15"/>
  <c r="S7" i="34"/>
  <c r="AA7" i="34"/>
  <c r="R49" i="34"/>
  <c r="J7" i="36"/>
  <c r="K25" i="6"/>
  <c r="M25" i="6"/>
  <c r="I25" i="6"/>
  <c r="S25" i="6"/>
  <c r="K22" i="6"/>
  <c r="E110" i="3"/>
  <c r="E126" i="3"/>
  <c r="S7" i="37"/>
  <c r="AA7" i="37"/>
  <c r="R42" i="37"/>
  <c r="L46" i="15"/>
  <c r="F7" i="79"/>
  <c r="C17" i="80"/>
  <c r="C16" i="79"/>
  <c r="C16" i="15"/>
  <c r="F7" i="15"/>
  <c r="C16" i="80"/>
  <c r="C6" i="79"/>
  <c r="C10" i="79"/>
  <c r="C5" i="79"/>
  <c r="M7" i="79"/>
  <c r="J6" i="79"/>
  <c r="J10" i="79"/>
  <c r="J5" i="79"/>
  <c r="F50" i="79"/>
  <c r="C49" i="79"/>
  <c r="C48" i="79"/>
  <c r="C66" i="79"/>
  <c r="N62" i="77"/>
  <c r="C8" i="71"/>
  <c r="T9" i="71"/>
  <c r="D9" i="71"/>
  <c r="U9" i="71"/>
  <c r="H63" i="40"/>
  <c r="G65" i="40"/>
  <c r="F70" i="39"/>
  <c r="G68" i="39"/>
  <c r="C44" i="69"/>
  <c r="D41" i="69"/>
  <c r="C49" i="80"/>
  <c r="C48" i="80"/>
  <c r="M7" i="15"/>
  <c r="J6" i="15"/>
  <c r="F50" i="15"/>
  <c r="C49" i="15"/>
  <c r="C48" i="15"/>
  <c r="C6" i="15"/>
  <c r="AY6" i="3"/>
  <c r="E3" i="6"/>
  <c r="E29" i="43"/>
  <c r="C30" i="43"/>
  <c r="E30" i="43"/>
  <c r="J18" i="80"/>
  <c r="J10" i="80"/>
  <c r="J5" i="80"/>
  <c r="F28" i="12"/>
  <c r="F27" i="11"/>
  <c r="F27" i="68"/>
  <c r="F27" i="69"/>
  <c r="F106" i="43"/>
  <c r="F103" i="43"/>
  <c r="F109" i="43"/>
  <c r="F104" i="43"/>
  <c r="F107" i="43"/>
  <c r="F102" i="43"/>
  <c r="F105" i="43"/>
  <c r="K106" i="43"/>
  <c r="K109" i="43"/>
  <c r="K103" i="43"/>
  <c r="K107" i="43"/>
  <c r="K102" i="43"/>
  <c r="K104" i="43"/>
  <c r="K105" i="43"/>
  <c r="U7" i="36"/>
  <c r="AB7" i="36"/>
  <c r="T36" i="36"/>
  <c r="G36" i="36"/>
  <c r="AC32" i="39"/>
  <c r="W32" i="39"/>
  <c r="G103" i="43"/>
  <c r="G105" i="43"/>
  <c r="G102" i="43"/>
  <c r="G106" i="43"/>
  <c r="G109" i="43"/>
  <c r="G107" i="43"/>
  <c r="G104" i="43"/>
  <c r="AA10" i="40"/>
  <c r="S10" i="40"/>
  <c r="E39" i="43"/>
  <c r="G39" i="43"/>
  <c r="I39" i="43"/>
  <c r="E37" i="43"/>
  <c r="G37" i="43"/>
  <c r="I37" i="43"/>
  <c r="K15" i="1"/>
  <c r="K16" i="1"/>
  <c r="E30" i="6"/>
  <c r="E31" i="6"/>
  <c r="D117" i="43"/>
  <c r="E117" i="43"/>
  <c r="F117" i="43"/>
  <c r="G117" i="43"/>
  <c r="H117" i="43"/>
  <c r="B115" i="43"/>
  <c r="B118" i="43"/>
  <c r="C118" i="43"/>
  <c r="B117" i="43"/>
  <c r="C117" i="43"/>
  <c r="D118" i="43"/>
  <c r="E118" i="43"/>
  <c r="F118" i="43"/>
  <c r="I117" i="43"/>
  <c r="J117" i="43"/>
  <c r="K117" i="43"/>
  <c r="L117" i="43"/>
  <c r="M117" i="43"/>
  <c r="I116" i="43"/>
  <c r="J116" i="43"/>
  <c r="K116" i="43"/>
  <c r="L116" i="43"/>
  <c r="M116" i="43"/>
  <c r="I115" i="43"/>
  <c r="J115" i="43"/>
  <c r="K115" i="43"/>
  <c r="L115" i="43"/>
  <c r="M115" i="43"/>
  <c r="D116" i="43"/>
  <c r="E116" i="43"/>
  <c r="F116" i="43"/>
  <c r="G116" i="43"/>
  <c r="H116" i="43"/>
  <c r="G118" i="43"/>
  <c r="H118" i="43"/>
  <c r="D115" i="43"/>
  <c r="E115" i="43"/>
  <c r="F115" i="43"/>
  <c r="G115" i="43"/>
  <c r="H115" i="43"/>
  <c r="B116" i="43"/>
  <c r="C116" i="43"/>
  <c r="I118" i="43"/>
  <c r="J118" i="43"/>
  <c r="K118" i="43"/>
  <c r="L118" i="43"/>
  <c r="M118" i="43"/>
  <c r="M19" i="6"/>
  <c r="S6" i="1"/>
  <c r="K27" i="6"/>
  <c r="AC10" i="40"/>
  <c r="W10" i="40"/>
  <c r="C26" i="67"/>
  <c r="C29" i="67"/>
  <c r="Q57" i="80"/>
  <c r="Q66" i="80"/>
  <c r="L46" i="79"/>
  <c r="G54" i="34"/>
  <c r="H54" i="34"/>
  <c r="G53" i="34"/>
  <c r="H53" i="34"/>
  <c r="E35" i="43"/>
  <c r="G35" i="43"/>
  <c r="I35" i="43"/>
  <c r="S8" i="1"/>
  <c r="M21" i="6"/>
  <c r="I21" i="6"/>
  <c r="S21" i="6"/>
  <c r="C60" i="67"/>
  <c r="C66" i="67"/>
  <c r="H11" i="39"/>
  <c r="J11" i="39"/>
  <c r="F11" i="39"/>
  <c r="N102" i="43"/>
  <c r="N103" i="43"/>
  <c r="N107" i="43"/>
  <c r="N109" i="43"/>
  <c r="N104" i="43"/>
  <c r="N105" i="43"/>
  <c r="N106" i="43"/>
  <c r="S7" i="36"/>
  <c r="AA7" i="36"/>
  <c r="R36" i="36"/>
  <c r="U10" i="40"/>
  <c r="AB10" i="40"/>
  <c r="R50" i="34"/>
  <c r="E49" i="34"/>
  <c r="G38" i="43"/>
  <c r="I38" i="43"/>
  <c r="E38" i="43"/>
  <c r="C38" i="67"/>
  <c r="C35" i="69"/>
  <c r="C38" i="69"/>
  <c r="F11" i="21"/>
  <c r="H11" i="21"/>
  <c r="J11" i="21"/>
  <c r="L106" i="43"/>
  <c r="L104" i="43"/>
  <c r="L105" i="43"/>
  <c r="L103" i="43"/>
  <c r="L107" i="43"/>
  <c r="L109" i="43"/>
  <c r="L102" i="43"/>
  <c r="AB10" i="39"/>
  <c r="U10" i="39"/>
  <c r="Q73" i="79"/>
  <c r="Q60" i="79"/>
  <c r="C33" i="80"/>
  <c r="C5" i="80"/>
  <c r="C32" i="80"/>
  <c r="M22" i="6"/>
  <c r="I22" i="6"/>
  <c r="S22" i="6"/>
  <c r="S9" i="1"/>
  <c r="E33" i="43"/>
  <c r="G33" i="43"/>
  <c r="I33" i="43"/>
  <c r="I107" i="43"/>
  <c r="I104" i="43"/>
  <c r="I105" i="43"/>
  <c r="I103" i="43"/>
  <c r="I109" i="43"/>
  <c r="I102" i="43"/>
  <c r="I106" i="43"/>
  <c r="AA10" i="39"/>
  <c r="S10" i="39"/>
  <c r="Q73" i="80"/>
  <c r="Q60" i="80"/>
  <c r="Q66" i="79"/>
  <c r="Q57" i="79"/>
  <c r="E36" i="43"/>
  <c r="G36" i="43"/>
  <c r="I36" i="43"/>
  <c r="H6" i="3"/>
  <c r="C38" i="35"/>
  <c r="C39" i="35"/>
  <c r="B2" i="35"/>
  <c r="B3" i="35"/>
  <c r="N7" i="1"/>
  <c r="O6" i="1"/>
  <c r="M102" i="43"/>
  <c r="M106" i="43"/>
  <c r="M104" i="43"/>
  <c r="M105" i="43"/>
  <c r="M103" i="43"/>
  <c r="M107" i="43"/>
  <c r="M109" i="43"/>
  <c r="H106" i="43"/>
  <c r="H103" i="43"/>
  <c r="H102" i="43"/>
  <c r="H107" i="43"/>
  <c r="H104" i="43"/>
  <c r="H105" i="43"/>
  <c r="H109" i="43"/>
  <c r="AC10" i="39"/>
  <c r="W10" i="39"/>
  <c r="L46" i="80"/>
  <c r="AC6" i="3"/>
  <c r="E42" i="37"/>
  <c r="R43" i="37"/>
  <c r="W7" i="36"/>
  <c r="AC7" i="36"/>
  <c r="V36" i="36"/>
  <c r="I36" i="36"/>
  <c r="G34" i="43"/>
  <c r="I34" i="43"/>
  <c r="E34" i="43"/>
  <c r="M16" i="1"/>
  <c r="E42" i="35"/>
  <c r="F42" i="35"/>
  <c r="E43" i="35"/>
  <c r="F43" i="35"/>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c r="I53" i="34"/>
  <c r="J53" i="34"/>
  <c r="T10" i="1"/>
  <c r="E10" i="70"/>
  <c r="C14" i="80"/>
  <c r="C17" i="15"/>
  <c r="C17" i="79"/>
  <c r="J18" i="79"/>
  <c r="C33" i="79"/>
  <c r="C32" i="79"/>
  <c r="C7" i="71"/>
  <c r="D8" i="71"/>
  <c r="H65" i="40"/>
  <c r="I63" i="40"/>
  <c r="H68" i="39"/>
  <c r="G70" i="39"/>
  <c r="E6" i="3"/>
  <c r="C60" i="79"/>
  <c r="C18" i="80"/>
  <c r="C15" i="80"/>
  <c r="C13" i="67"/>
  <c r="C57" i="67"/>
  <c r="Q49" i="67"/>
  <c r="C36" i="67"/>
  <c r="J19" i="67"/>
  <c r="J17" i="67"/>
  <c r="J14" i="67"/>
  <c r="C33" i="67"/>
  <c r="C31" i="67"/>
  <c r="J59" i="67"/>
  <c r="J26" i="80"/>
  <c r="J24" i="80"/>
  <c r="J26" i="79"/>
  <c r="J24" i="79"/>
  <c r="T9" i="1"/>
  <c r="E9" i="70"/>
  <c r="W11" i="21"/>
  <c r="AC11" i="21"/>
  <c r="V48" i="21"/>
  <c r="I48" i="21"/>
  <c r="R37" i="36"/>
  <c r="E36" i="36"/>
  <c r="T8" i="1"/>
  <c r="E8" i="70"/>
  <c r="G41" i="36"/>
  <c r="H41" i="36"/>
  <c r="G40" i="36"/>
  <c r="H40" i="36"/>
  <c r="C47" i="69"/>
  <c r="D45" i="69"/>
  <c r="C29" i="69"/>
  <c r="D27" i="69"/>
  <c r="C26" i="43"/>
  <c r="AB11" i="21"/>
  <c r="T48" i="21"/>
  <c r="G48" i="21"/>
  <c r="U11" i="21"/>
  <c r="AA11" i="39"/>
  <c r="S11" i="39"/>
  <c r="C115" i="43"/>
  <c r="D113" i="43"/>
  <c r="C47" i="68"/>
  <c r="D45" i="68"/>
  <c r="I40" i="36"/>
  <c r="J40" i="36"/>
  <c r="C60" i="80"/>
  <c r="C66" i="80"/>
  <c r="S11" i="21"/>
  <c r="AA11" i="21"/>
  <c r="R48" i="21"/>
  <c r="AC11" i="39"/>
  <c r="W11" i="39"/>
  <c r="C47" i="11"/>
  <c r="D45" i="11"/>
  <c r="M18" i="9"/>
  <c r="B118" i="9"/>
  <c r="L18" i="9"/>
  <c r="D3" i="33"/>
  <c r="B2" i="33"/>
  <c r="B3" i="33"/>
  <c r="E6" i="6"/>
  <c r="D3" i="37"/>
  <c r="D19" i="11"/>
  <c r="C19" i="11"/>
  <c r="D3" i="34"/>
  <c r="D37" i="11"/>
  <c r="C17" i="4"/>
  <c r="B4" i="52"/>
  <c r="B43" i="72"/>
  <c r="D14" i="12"/>
  <c r="P6" i="1"/>
  <c r="C38" i="80"/>
  <c r="AB11" i="39"/>
  <c r="U11" i="39"/>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c r="B3" i="37"/>
  <c r="N8" i="1"/>
  <c r="O7" i="1"/>
  <c r="P7" i="1"/>
  <c r="C38" i="79"/>
  <c r="E54" i="34"/>
  <c r="F54" i="34"/>
  <c r="E53" i="34"/>
  <c r="F53" i="34"/>
  <c r="T6" i="1"/>
  <c r="T16" i="1"/>
  <c r="S16" i="1"/>
  <c r="L16" i="1"/>
  <c r="E47" i="37"/>
  <c r="F47" i="37"/>
  <c r="E46" i="37"/>
  <c r="F46" i="37"/>
  <c r="I47" i="37"/>
  <c r="J47" i="37"/>
  <c r="C49" i="34"/>
  <c r="C50" i="34"/>
  <c r="B2" i="34"/>
  <c r="B3" i="34"/>
  <c r="M27" i="6"/>
  <c r="I19" i="6"/>
  <c r="C33" i="15"/>
  <c r="C10" i="15"/>
  <c r="C5" i="15"/>
  <c r="C32" i="15"/>
  <c r="C66" i="15"/>
  <c r="C60" i="15"/>
  <c r="C27" i="43"/>
  <c r="J10" i="15"/>
  <c r="J5" i="15"/>
  <c r="J18" i="15"/>
  <c r="E6" i="76"/>
  <c r="C14" i="79"/>
  <c r="C14" i="15"/>
  <c r="H70" i="39"/>
  <c r="I68" i="39"/>
  <c r="I65" i="40"/>
  <c r="J63" i="40"/>
  <c r="B14" i="74"/>
  <c r="C6" i="71"/>
  <c r="D7" i="71"/>
  <c r="C19" i="80"/>
  <c r="C20" i="80"/>
  <c r="C23" i="80"/>
  <c r="C18" i="15"/>
  <c r="C15" i="15"/>
  <c r="E2" i="76"/>
  <c r="C18" i="79"/>
  <c r="C15" i="79"/>
  <c r="C38" i="15"/>
  <c r="C13" i="12"/>
  <c r="G53" i="21"/>
  <c r="H53" i="21"/>
  <c r="G52" i="21"/>
  <c r="H52" i="21"/>
  <c r="N9" i="1"/>
  <c r="O8" i="1"/>
  <c r="P8" i="1"/>
  <c r="D10" i="68"/>
  <c r="D20" i="12"/>
  <c r="C20" i="12"/>
  <c r="D10" i="69"/>
  <c r="D10" i="11"/>
  <c r="C10" i="11"/>
  <c r="R49" i="21"/>
  <c r="E48" i="21"/>
  <c r="I53" i="21"/>
  <c r="J53" i="21"/>
  <c r="E40" i="36"/>
  <c r="F40" i="36"/>
  <c r="E41" i="36"/>
  <c r="F41" i="36"/>
  <c r="I27" i="6"/>
  <c r="S19" i="6"/>
  <c r="S27" i="6"/>
  <c r="D17" i="12"/>
  <c r="C17" i="12"/>
  <c r="B2" i="43"/>
  <c r="C36" i="36"/>
  <c r="C37" i="36"/>
  <c r="B2" i="36"/>
  <c r="B3" i="36"/>
  <c r="I52" i="21"/>
  <c r="J52" i="21"/>
  <c r="C64" i="67"/>
  <c r="C61" i="67"/>
  <c r="C59" i="67"/>
  <c r="J26" i="15"/>
  <c r="J24" i="15"/>
  <c r="C37" i="67"/>
  <c r="C30" i="67"/>
  <c r="C39" i="67"/>
  <c r="C75" i="67"/>
  <c r="Q70" i="67"/>
  <c r="C56" i="67"/>
  <c r="C65" i="67"/>
  <c r="M19" i="9"/>
  <c r="C118" i="9"/>
  <c r="H23" i="6"/>
  <c r="D23" i="6"/>
  <c r="R23" i="6"/>
  <c r="R10" i="1"/>
  <c r="H22" i="6"/>
  <c r="D22" i="6"/>
  <c r="H20" i="6"/>
  <c r="D25" i="6"/>
  <c r="D20" i="6"/>
  <c r="D10" i="6"/>
  <c r="H21" i="6"/>
  <c r="D21" i="6"/>
  <c r="R21" i="6"/>
  <c r="R8" i="1"/>
  <c r="D9" i="6"/>
  <c r="D24" i="6"/>
  <c r="R24" i="6"/>
  <c r="D11" i="6"/>
  <c r="H26" i="6"/>
  <c r="D14" i="6"/>
  <c r="D13" i="6"/>
  <c r="H24" i="6"/>
  <c r="H19" i="6"/>
  <c r="D26" i="6"/>
  <c r="D28" i="6"/>
  <c r="D15" i="6"/>
  <c r="D5" i="6"/>
  <c r="D29" i="6"/>
  <c r="L19" i="9"/>
  <c r="E61" i="40"/>
  <c r="D19" i="6"/>
  <c r="H25" i="6"/>
  <c r="C18" i="4"/>
  <c r="D8" i="6"/>
  <c r="D6" i="6"/>
  <c r="D12" i="6"/>
  <c r="C20" i="11"/>
  <c r="I41" i="36"/>
  <c r="J41" i="36"/>
  <c r="E2" i="70"/>
  <c r="J13" i="67"/>
  <c r="J23" i="67"/>
  <c r="J22" i="67"/>
  <c r="F35" i="80"/>
  <c r="M21" i="15"/>
  <c r="B6" i="76"/>
  <c r="M21" i="80"/>
  <c r="F35" i="15"/>
  <c r="D6" i="71"/>
  <c r="C5" i="71"/>
  <c r="D5" i="71"/>
  <c r="M20" i="43"/>
  <c r="B1" i="74"/>
  <c r="K63" i="40"/>
  <c r="J65" i="40"/>
  <c r="C14" i="74"/>
  <c r="J68" i="39"/>
  <c r="I70" i="39"/>
  <c r="R22" i="6"/>
  <c r="R9" i="1"/>
  <c r="R26" i="6"/>
  <c r="H27" i="6"/>
  <c r="R20" i="6"/>
  <c r="R7" i="1"/>
  <c r="C19" i="79"/>
  <c r="C20" i="79"/>
  <c r="C26" i="79"/>
  <c r="J16" i="67"/>
  <c r="J25" i="67"/>
  <c r="C26" i="80"/>
  <c r="C29" i="80"/>
  <c r="C19" i="15"/>
  <c r="C20" i="15"/>
  <c r="C26" i="15"/>
  <c r="B2" i="76"/>
  <c r="B3" i="76"/>
  <c r="J20" i="15"/>
  <c r="F63" i="15"/>
  <c r="C62" i="15"/>
  <c r="C34" i="15"/>
  <c r="C31" i="15"/>
  <c r="J20" i="80"/>
  <c r="F63" i="80"/>
  <c r="C62" i="80"/>
  <c r="C34" i="80"/>
  <c r="C31" i="80"/>
  <c r="C10" i="68"/>
  <c r="B29" i="1"/>
  <c r="C8" i="68"/>
  <c r="D19" i="68"/>
  <c r="D37" i="68"/>
  <c r="Q69" i="67"/>
  <c r="Q68" i="67"/>
  <c r="C40" i="67"/>
  <c r="C80" i="67"/>
  <c r="C79" i="67"/>
  <c r="D16" i="6"/>
  <c r="R25" i="6"/>
  <c r="C4" i="52"/>
  <c r="B45" i="72"/>
  <c r="A7" i="51"/>
  <c r="B7" i="72"/>
  <c r="A10" i="51"/>
  <c r="B9" i="72"/>
  <c r="B3" i="43"/>
  <c r="E53" i="21"/>
  <c r="F53" i="21"/>
  <c r="E52" i="21"/>
  <c r="F52" i="21"/>
  <c r="N10" i="1"/>
  <c r="O9" i="1"/>
  <c r="P9" i="1"/>
  <c r="D30" i="6"/>
  <c r="C48" i="21"/>
  <c r="C49" i="21"/>
  <c r="D27" i="6"/>
  <c r="R19" i="6"/>
  <c r="C58" i="67"/>
  <c r="C67" i="67"/>
  <c r="C68" i="67"/>
  <c r="C10" i="69"/>
  <c r="C8" i="69"/>
  <c r="C5" i="69"/>
  <c r="D19" i="69"/>
  <c r="M21" i="79"/>
  <c r="F35" i="79"/>
  <c r="L51" i="67"/>
  <c r="J70" i="39"/>
  <c r="K68" i="39"/>
  <c r="B2" i="74"/>
  <c r="K65" i="40"/>
  <c r="L63" i="40"/>
  <c r="C7" i="74"/>
  <c r="C8" i="74"/>
  <c r="F63" i="79"/>
  <c r="C62" i="79"/>
  <c r="C34" i="79"/>
  <c r="C31" i="79"/>
  <c r="J20" i="79"/>
  <c r="D31" i="6"/>
  <c r="C18" i="12"/>
  <c r="C23" i="15"/>
  <c r="C29" i="15"/>
  <c r="C36" i="15"/>
  <c r="J14" i="80"/>
  <c r="J22" i="80"/>
  <c r="C13" i="80"/>
  <c r="C37" i="80"/>
  <c r="J19" i="80"/>
  <c r="J17" i="80"/>
  <c r="C36" i="80"/>
  <c r="C57" i="80"/>
  <c r="C64" i="80"/>
  <c r="Q49" i="80"/>
  <c r="Q67" i="67"/>
  <c r="L57" i="67"/>
  <c r="L60" i="67"/>
  <c r="C23" i="69"/>
  <c r="C23" i="79"/>
  <c r="C29" i="79"/>
  <c r="R24" i="31"/>
  <c r="C6" i="12"/>
  <c r="C8" i="12"/>
  <c r="C19" i="69"/>
  <c r="C24" i="69"/>
  <c r="D37" i="69"/>
  <c r="C37" i="69"/>
  <c r="C33" i="69"/>
  <c r="C45" i="67"/>
  <c r="C46" i="67"/>
  <c r="C71" i="67"/>
  <c r="R6" i="1"/>
  <c r="R16" i="1"/>
  <c r="R27" i="6"/>
  <c r="I6" i="6"/>
  <c r="I5" i="6"/>
  <c r="B2" i="21"/>
  <c r="B3" i="21"/>
  <c r="N14" i="1"/>
  <c r="O10" i="1"/>
  <c r="C43" i="67"/>
  <c r="Q47" i="67"/>
  <c r="Q65" i="67"/>
  <c r="Q56" i="67"/>
  <c r="C83" i="67"/>
  <c r="C82" i="67"/>
  <c r="M63" i="40"/>
  <c r="L65" i="40"/>
  <c r="D7" i="74"/>
  <c r="D8" i="74"/>
  <c r="K70" i="39"/>
  <c r="L68" i="39"/>
  <c r="J13" i="80"/>
  <c r="J23" i="80"/>
  <c r="J16" i="80"/>
  <c r="J25" i="80"/>
  <c r="C56" i="80"/>
  <c r="C65" i="80"/>
  <c r="C75" i="80"/>
  <c r="Q70" i="80"/>
  <c r="J14" i="15"/>
  <c r="J22" i="15"/>
  <c r="J19" i="15"/>
  <c r="J17" i="15"/>
  <c r="C61" i="80"/>
  <c r="C59" i="80"/>
  <c r="C13" i="15"/>
  <c r="C75" i="15"/>
  <c r="C57" i="15"/>
  <c r="C61" i="15"/>
  <c r="C59" i="15"/>
  <c r="C30" i="80"/>
  <c r="C39" i="80"/>
  <c r="Q69" i="80"/>
  <c r="Q49" i="15"/>
  <c r="J19" i="79"/>
  <c r="J17" i="79"/>
  <c r="C13" i="79"/>
  <c r="C57" i="79"/>
  <c r="Q49" i="79"/>
  <c r="J14" i="79"/>
  <c r="C36" i="79"/>
  <c r="C20" i="69"/>
  <c r="P10" i="1"/>
  <c r="AR13" i="1"/>
  <c r="AR9" i="1"/>
  <c r="AQ10" i="1"/>
  <c r="AQ11" i="1"/>
  <c r="AR12" i="1"/>
  <c r="AR10" i="1"/>
  <c r="AR11" i="1"/>
  <c r="AR8" i="1"/>
  <c r="AQ13" i="1"/>
  <c r="AQ12" i="1"/>
  <c r="AQ6" i="1"/>
  <c r="AQ8" i="1"/>
  <c r="AR7" i="1"/>
  <c r="AQ7" i="1"/>
  <c r="AQ9" i="1"/>
  <c r="AR6" i="1"/>
  <c r="O14" i="1"/>
  <c r="P14" i="1"/>
  <c r="C39" i="69"/>
  <c r="C43" i="69"/>
  <c r="C42" i="69"/>
  <c r="N16" i="1"/>
  <c r="B21" i="1"/>
  <c r="R25" i="31"/>
  <c r="S24" i="31"/>
  <c r="Q57" i="67"/>
  <c r="Q62" i="67"/>
  <c r="Q66" i="67"/>
  <c r="Q75" i="67"/>
  <c r="M68" i="39"/>
  <c r="L70" i="39"/>
  <c r="N63" i="40"/>
  <c r="M65" i="40"/>
  <c r="C58" i="80"/>
  <c r="C67" i="80"/>
  <c r="C64" i="15"/>
  <c r="C56" i="15"/>
  <c r="C65" i="15"/>
  <c r="Q70" i="15"/>
  <c r="Q68" i="80"/>
  <c r="O16" i="1"/>
  <c r="C37" i="15"/>
  <c r="C30" i="15"/>
  <c r="C39" i="15"/>
  <c r="Q69" i="15"/>
  <c r="J13" i="15"/>
  <c r="J23" i="15"/>
  <c r="J16" i="15"/>
  <c r="J25" i="15"/>
  <c r="C80" i="80"/>
  <c r="C79" i="80"/>
  <c r="C25" i="69"/>
  <c r="C22" i="69"/>
  <c r="C28" i="69"/>
  <c r="C27" i="69"/>
  <c r="J13" i="79"/>
  <c r="J23" i="79"/>
  <c r="J22" i="79"/>
  <c r="B24" i="1"/>
  <c r="B23" i="1"/>
  <c r="C44" i="68"/>
  <c r="D41" i="68"/>
  <c r="C44" i="11"/>
  <c r="D41" i="11"/>
  <c r="C24" i="68"/>
  <c r="C29" i="11"/>
  <c r="D27" i="11"/>
  <c r="C29" i="68"/>
  <c r="D27" i="68"/>
  <c r="C24" i="11"/>
  <c r="C28" i="11"/>
  <c r="C27" i="11"/>
  <c r="C41" i="69"/>
  <c r="C64" i="79"/>
  <c r="C61" i="79"/>
  <c r="C59" i="79"/>
  <c r="D6" i="12"/>
  <c r="D8" i="12"/>
  <c r="S25" i="31"/>
  <c r="S22" i="31"/>
  <c r="Q70" i="79"/>
  <c r="C75" i="79"/>
  <c r="C37" i="79"/>
  <c r="C30" i="79"/>
  <c r="C39" i="79"/>
  <c r="C56" i="79"/>
  <c r="C65" i="79"/>
  <c r="C46" i="69"/>
  <c r="C45" i="69"/>
  <c r="P16" i="1"/>
  <c r="C11" i="12"/>
  <c r="L51" i="80"/>
  <c r="L51" i="15"/>
  <c r="Q67" i="80"/>
  <c r="C58" i="15"/>
  <c r="C67" i="15"/>
  <c r="N65" i="40"/>
  <c r="O63" i="40"/>
  <c r="O65" i="40"/>
  <c r="N68" i="39"/>
  <c r="M70" i="39"/>
  <c r="Q68" i="15"/>
  <c r="C80" i="15"/>
  <c r="C79" i="15"/>
  <c r="C31" i="69"/>
  <c r="J16" i="79"/>
  <c r="J25" i="79"/>
  <c r="Q67" i="15"/>
  <c r="R22" i="31"/>
  <c r="B21" i="31"/>
  <c r="B20" i="31"/>
  <c r="Q69" i="79"/>
  <c r="Q68" i="79"/>
  <c r="C15" i="12"/>
  <c r="C12" i="12"/>
  <c r="C58" i="79"/>
  <c r="C67" i="79"/>
  <c r="C26" i="11"/>
  <c r="D22" i="11"/>
  <c r="C23" i="11"/>
  <c r="C26" i="68"/>
  <c r="D22" i="68"/>
  <c r="C25" i="11"/>
  <c r="F11" i="12"/>
  <c r="C14" i="12"/>
  <c r="F50" i="69"/>
  <c r="F34" i="68"/>
  <c r="F50" i="68"/>
  <c r="F34" i="11"/>
  <c r="F50" i="11"/>
  <c r="M59" i="15"/>
  <c r="L59" i="15"/>
  <c r="J53" i="67"/>
  <c r="M59" i="67"/>
  <c r="J53" i="15"/>
  <c r="M59" i="80"/>
  <c r="L59" i="80"/>
  <c r="J53" i="80"/>
  <c r="M59" i="79"/>
  <c r="L59" i="79"/>
  <c r="C26" i="12"/>
  <c r="D25" i="12"/>
  <c r="J53" i="79"/>
  <c r="C29" i="12"/>
  <c r="D28" i="12"/>
  <c r="C80" i="79"/>
  <c r="C79" i="79"/>
  <c r="C49" i="69"/>
  <c r="L51" i="79"/>
  <c r="O68" i="39"/>
  <c r="O70" i="39"/>
  <c r="N70" i="39"/>
  <c r="H7" i="40"/>
  <c r="J7" i="40"/>
  <c r="F7" i="40"/>
  <c r="C51" i="69"/>
  <c r="C52" i="69"/>
  <c r="C16" i="12"/>
  <c r="C21" i="12"/>
  <c r="C22" i="12"/>
  <c r="Q67" i="79"/>
  <c r="Q74" i="15"/>
  <c r="Q61" i="15"/>
  <c r="Q52" i="79"/>
  <c r="F1" i="79"/>
  <c r="Q61" i="79"/>
  <c r="Q74" i="79"/>
  <c r="C36" i="11"/>
  <c r="C34" i="11"/>
  <c r="C37" i="11"/>
  <c r="F1" i="80"/>
  <c r="Q52" i="80"/>
  <c r="C22" i="11"/>
  <c r="C31" i="11"/>
  <c r="Q74" i="80"/>
  <c r="Q61" i="80"/>
  <c r="C34" i="68"/>
  <c r="C36" i="68"/>
  <c r="C37" i="68"/>
  <c r="F1" i="15"/>
  <c r="Q52" i="15"/>
  <c r="Q52" i="67"/>
  <c r="F1" i="67"/>
  <c r="J60" i="67"/>
  <c r="AE10" i="1"/>
  <c r="AE9" i="1"/>
  <c r="AE8" i="1"/>
  <c r="B2" i="69"/>
  <c r="B3" i="69"/>
  <c r="C57" i="69"/>
  <c r="C56" i="69"/>
  <c r="S7" i="40"/>
  <c r="AA7" i="40"/>
  <c r="R42" i="40"/>
  <c r="W7" i="40"/>
  <c r="AC7" i="40"/>
  <c r="V42" i="40"/>
  <c r="I42" i="40"/>
  <c r="I46" i="40"/>
  <c r="J46" i="40"/>
  <c r="U7" i="40"/>
  <c r="AB7" i="40"/>
  <c r="T42" i="40"/>
  <c r="G42" i="40"/>
  <c r="F7" i="39"/>
  <c r="H7" i="39"/>
  <c r="J7" i="39"/>
  <c r="C38" i="11"/>
  <c r="C35" i="11"/>
  <c r="C33" i="11"/>
  <c r="Q48" i="67"/>
  <c r="Q53" i="67"/>
  <c r="L46" i="67"/>
  <c r="D2" i="67"/>
  <c r="C38" i="68"/>
  <c r="C35" i="68"/>
  <c r="F41" i="15"/>
  <c r="F41" i="80"/>
  <c r="F41" i="79"/>
  <c r="G46" i="40"/>
  <c r="H46" i="40"/>
  <c r="G47" i="40"/>
  <c r="H47" i="40"/>
  <c r="R43" i="40"/>
  <c r="E42" i="40"/>
  <c r="AC7" i="39"/>
  <c r="V47" i="39"/>
  <c r="I47" i="39"/>
  <c r="I51" i="39"/>
  <c r="J51" i="39"/>
  <c r="W7" i="39"/>
  <c r="AB7" i="39"/>
  <c r="T47" i="39"/>
  <c r="G47" i="39"/>
  <c r="U7" i="39"/>
  <c r="AA7" i="39"/>
  <c r="R47" i="39"/>
  <c r="S7" i="39"/>
  <c r="C40" i="80"/>
  <c r="C43" i="80"/>
  <c r="J29" i="80"/>
  <c r="F69" i="80"/>
  <c r="C68" i="80"/>
  <c r="F69" i="15"/>
  <c r="C68" i="15"/>
  <c r="C71" i="15"/>
  <c r="J29" i="15"/>
  <c r="C40" i="15"/>
  <c r="C83" i="15"/>
  <c r="C82" i="15"/>
  <c r="F69" i="79"/>
  <c r="C68" i="79"/>
  <c r="J29" i="79"/>
  <c r="C40" i="79"/>
  <c r="C43" i="79"/>
  <c r="C33" i="68"/>
  <c r="C39" i="68"/>
  <c r="C43" i="68"/>
  <c r="C39" i="11"/>
  <c r="C43" i="11"/>
  <c r="C42" i="11"/>
  <c r="B2" i="67"/>
  <c r="B3" i="67"/>
  <c r="G51" i="39"/>
  <c r="H51" i="39"/>
  <c r="G52" i="39"/>
  <c r="H52" i="39"/>
  <c r="I47" i="40"/>
  <c r="J47" i="40"/>
  <c r="E46" i="40"/>
  <c r="F46" i="40"/>
  <c r="E47" i="40"/>
  <c r="F47" i="40"/>
  <c r="C42" i="40"/>
  <c r="C43" i="40"/>
  <c r="E47" i="39"/>
  <c r="R48" i="39"/>
  <c r="C83" i="80"/>
  <c r="C82" i="80"/>
  <c r="C83" i="79"/>
  <c r="C82" i="79"/>
  <c r="B2" i="79"/>
  <c r="B3" i="79"/>
  <c r="F6" i="12"/>
  <c r="F8" i="12"/>
  <c r="C46" i="79"/>
  <c r="C46" i="80"/>
  <c r="Q47" i="80"/>
  <c r="Q53" i="80"/>
  <c r="Q56" i="80"/>
  <c r="Q62" i="80"/>
  <c r="C71" i="80"/>
  <c r="Q65" i="80"/>
  <c r="Q75" i="80"/>
  <c r="B2" i="80"/>
  <c r="B3" i="80"/>
  <c r="G6" i="12"/>
  <c r="G8" i="12"/>
  <c r="C43" i="15"/>
  <c r="Q47" i="15"/>
  <c r="Q53" i="15"/>
  <c r="Q56" i="15"/>
  <c r="Q62" i="15"/>
  <c r="B2" i="15"/>
  <c r="C71" i="79"/>
  <c r="Q56" i="79"/>
  <c r="Q62" i="79"/>
  <c r="Q65" i="15"/>
  <c r="Q75" i="15"/>
  <c r="Q47" i="79"/>
  <c r="Q53" i="79"/>
  <c r="Q65" i="79"/>
  <c r="Q75" i="79"/>
  <c r="C46" i="15"/>
  <c r="C42" i="68"/>
  <c r="C41" i="68"/>
  <c r="C41" i="11"/>
  <c r="C46" i="68"/>
  <c r="C45" i="68"/>
  <c r="C46" i="11"/>
  <c r="C45" i="11"/>
  <c r="AO9" i="1"/>
  <c r="AO10" i="1"/>
  <c r="AO8" i="1"/>
  <c r="I52" i="39"/>
  <c r="J52" i="39"/>
  <c r="E52" i="39"/>
  <c r="F52" i="39"/>
  <c r="E51" i="39"/>
  <c r="F51" i="39"/>
  <c r="B52" i="40"/>
  <c r="F52" i="40"/>
  <c r="B51" i="40"/>
  <c r="F51" i="40"/>
  <c r="F61" i="40"/>
  <c r="B2" i="40"/>
  <c r="B3" i="40"/>
  <c r="B58" i="40"/>
  <c r="F58" i="40"/>
  <c r="B54" i="40"/>
  <c r="F54" i="40"/>
  <c r="B53" i="40"/>
  <c r="F53" i="40"/>
  <c r="B56" i="40"/>
  <c r="F56" i="40"/>
  <c r="B59" i="40"/>
  <c r="F59" i="40"/>
  <c r="B57" i="40"/>
  <c r="F57" i="40"/>
  <c r="B60" i="40"/>
  <c r="F60" i="40"/>
  <c r="B55" i="40"/>
  <c r="F55" i="40"/>
  <c r="C48" i="39"/>
  <c r="C47" i="39"/>
  <c r="B9" i="70"/>
  <c r="B10" i="70"/>
  <c r="B8" i="70"/>
  <c r="B3" i="15"/>
  <c r="E6" i="12"/>
  <c r="E8" i="12"/>
  <c r="C4" i="12"/>
  <c r="C31" i="12"/>
  <c r="C49" i="11"/>
  <c r="C51" i="11"/>
  <c r="C52" i="11"/>
  <c r="B2" i="11"/>
  <c r="B3" i="11"/>
  <c r="C49" i="68"/>
  <c r="C51" i="68"/>
  <c r="B63" i="39"/>
  <c r="F63" i="39"/>
  <c r="B59" i="39"/>
  <c r="F59" i="39"/>
  <c r="B60" i="39"/>
  <c r="F60" i="39"/>
  <c r="B62" i="39"/>
  <c r="F62" i="39"/>
  <c r="B56" i="39"/>
  <c r="F56" i="39"/>
  <c r="B58" i="39"/>
  <c r="F58" i="39"/>
  <c r="B61" i="39"/>
  <c r="F61" i="39"/>
  <c r="B64" i="39"/>
  <c r="F64" i="39"/>
  <c r="B65" i="39"/>
  <c r="F65" i="39"/>
  <c r="B57" i="39"/>
  <c r="F57" i="39"/>
  <c r="B2" i="70"/>
  <c r="B3" i="70"/>
  <c r="C23" i="12"/>
  <c r="C27" i="12"/>
  <c r="C25" i="12"/>
  <c r="C56" i="11"/>
  <c r="C57" i="11"/>
  <c r="F66" i="39"/>
  <c r="C30" i="12"/>
  <c r="C28" i="12"/>
  <c r="C32" i="12"/>
  <c r="B2" i="12"/>
  <c r="B3" i="12"/>
  <c r="D19" i="9"/>
  <c r="D20" i="9"/>
  <c r="C6" i="68"/>
  <c r="C7" i="68"/>
  <c r="C5" i="68"/>
  <c r="B2" i="39"/>
  <c r="B3" i="39"/>
  <c r="D21" i="9"/>
  <c r="D102" i="9"/>
  <c r="D103" i="9"/>
  <c r="C23" i="68"/>
  <c r="C20" i="68"/>
  <c r="C25" i="68"/>
  <c r="C28" i="68"/>
  <c r="C27" i="68"/>
  <c r="C22" i="68"/>
  <c r="C31" i="68"/>
  <c r="C52" i="68"/>
  <c r="C57" i="68"/>
  <c r="C56" i="68"/>
  <c r="B2" i="68"/>
  <c r="C19" i="9"/>
  <c r="C21" i="9"/>
  <c r="G19" i="9"/>
  <c r="C32" i="9"/>
  <c r="D22" i="9"/>
  <c r="C102" i="9"/>
  <c r="B3" i="68"/>
  <c r="C20" i="9"/>
  <c r="D34" i="9"/>
  <c r="D35" i="9"/>
  <c r="G20" i="9"/>
  <c r="C103" i="9"/>
  <c r="G21" i="9"/>
  <c r="C35" i="9"/>
  <c r="F118" i="9"/>
  <c r="H118" i="9"/>
  <c r="C34" i="9"/>
  <c r="D118" i="9"/>
  <c r="D119" i="9"/>
  <c r="D5" i="52"/>
  <c r="B49" i="72"/>
  <c r="C104" i="9"/>
  <c r="H119" i="9"/>
  <c r="H5" i="52"/>
  <c r="H4" i="52"/>
  <c r="D14" i="74"/>
  <c r="H101" i="9"/>
  <c r="I118" i="9"/>
  <c r="F4" i="52"/>
  <c r="B51" i="72"/>
  <c r="F119" i="9"/>
  <c r="F5" i="52"/>
  <c r="B53" i="72"/>
  <c r="G118" i="9"/>
  <c r="G4" i="52"/>
  <c r="B52" i="72"/>
  <c r="D4" i="52"/>
  <c r="B47" i="72"/>
  <c r="F14" i="74"/>
  <c r="E14" i="74"/>
  <c r="H107" i="9"/>
  <c r="M48" i="9"/>
  <c r="D45" i="9"/>
  <c r="D5" i="53"/>
  <c r="I4" i="52"/>
  <c r="C105" i="9"/>
  <c r="H102" i="9"/>
  <c r="D7" i="53"/>
  <c r="B21" i="72"/>
  <c r="E118" i="9"/>
  <c r="E4" i="52"/>
  <c r="B48" i="72"/>
  <c r="D6" i="53"/>
  <c r="B22" i="72"/>
  <c r="B20" i="72"/>
  <c r="D13" i="53"/>
  <c r="M49" i="9"/>
  <c r="H108" i="9"/>
  <c r="D15" i="53"/>
  <c r="B31" i="72"/>
  <c r="D122" i="9"/>
  <c r="C72" i="9"/>
  <c r="D52" i="9"/>
  <c r="C78" i="9"/>
  <c r="C73" i="9"/>
  <c r="D53" i="9"/>
  <c r="C85" i="9"/>
  <c r="C93" i="9"/>
  <c r="C86" i="9"/>
  <c r="C64" i="9"/>
  <c r="C63" i="9"/>
  <c r="C67" i="9"/>
  <c r="C68" i="9"/>
  <c r="D54" i="9"/>
  <c r="D55" i="9"/>
  <c r="M53" i="9"/>
  <c r="G14" i="74"/>
  <c r="D8" i="52"/>
  <c r="D123" i="9"/>
  <c r="D9" i="52"/>
  <c r="L67" i="9"/>
  <c r="M67" i="9"/>
  <c r="L63" i="9"/>
  <c r="M63" i="9"/>
  <c r="L64" i="9"/>
  <c r="M64" i="9"/>
  <c r="L66" i="9"/>
  <c r="M66" i="9"/>
  <c r="L65" i="9"/>
  <c r="M65" i="9"/>
  <c r="L68" i="9"/>
  <c r="M68" i="9"/>
  <c r="C95" i="9"/>
  <c r="B30" i="72"/>
  <c r="D14" i="53"/>
  <c r="B32" i="72"/>
  <c r="C79" i="9"/>
  <c r="M69" i="9"/>
  <c r="N69" i="9"/>
  <c r="C96" i="9"/>
  <c r="E96" i="9"/>
  <c r="E97" i="9"/>
  <c r="C80" i="9"/>
  <c r="E80" i="9"/>
  <c r="E81" i="9"/>
  <c r="C81" i="9"/>
  <c r="C97" i="9"/>
  <c r="D58" i="9"/>
  <c r="D56" i="9"/>
  <c r="M54" i="9"/>
  <c r="N57" i="9"/>
  <c r="N58" i="9"/>
  <c r="N59" i="9"/>
  <c r="N61" i="9"/>
  <c r="P57" i="9"/>
  <c r="N60" i="9"/>
  <c r="F15" i="74"/>
  <c r="E15" i="74"/>
  <c r="G15" i="74"/>
  <c r="B6" i="74"/>
  <c r="D6" i="74"/>
  <c r="C6" i="74"/>
  <c r="E16" i="74"/>
  <c r="F16" i="74"/>
  <c r="B5"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<sst xmlns="http://schemas.openxmlformats.org/spreadsheetml/2006/main" count="8664" uniqueCount="3376">
  <si>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</si>
  <si>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</si>
  <si>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</si>
  <si>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</si>
  <si>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</si>
  <si>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</si>
  <si>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</si>
  <si>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</si>
  <si>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</si>
  <si>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</si>
  <si>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</si>
  <si>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</si>
  <si>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</si>
  <si>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</si>
  <si>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</si>
  <si>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</si>
  <si>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</si>
  <si>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</si>
  <si>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</si>
  <si>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</si>
  <si>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</si>
  <si>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</si>
  <si>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</si>
  <si>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</si>
  <si>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</si>
  <si>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</si>
  <si>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</si>
  <si>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</si>
  <si>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</si>
  <si>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</si>
  <si>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</si>
  <si>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</si>
  <si>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</si>
  <si>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</si>
  <si>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</si>
  <si>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</si>
  <si>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</si>
  <si>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</si>
  <si>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</si>
  <si>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</si>
  <si>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</si>
  <si>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</si>
  <si>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</si>
  <si>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</si>
  <si>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</si>
  <si>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</si>
  <si>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</si>
  <si>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</si>
  <si>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</si>
  <si>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</si>
  <si>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</si>
  <si>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</si>
  <si>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</si>
  <si>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</si>
  <si>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</si>
  <si>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</si>
  <si>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</si>
  <si>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</si>
  <si>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</si>
  <si>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</si>
  <si>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</si>
  <si>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</si>
  <si>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</si>
  <si>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</si>
  <si>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</si>
  <si>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</si>
  <si>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</si>
  <si>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</si>
  <si>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</si>
  <si>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</si>
  <si>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</si>
  <si>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</si>
  <si>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</si>
  <si>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</si>
  <si>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</si>
  <si>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</si>
  <si>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</si>
  <si>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</si>
  <si>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</si>
  <si>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</si>
  <si>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</si>
  <si>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</si>
  <si>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</si>
  <si>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</si>
  <si>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</si>
  <si>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</si>
  <si>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</si>
  <si>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</si>
  <si>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</si>
  <si>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</si>
  <si>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</si>
  <si>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</si>
  <si>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</si>
  <si>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</si>
  <si>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</si>
  <si>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</si>
  <si>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</si>
  <si>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</si>
  <si>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</si>
  <si>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</si>
  <si>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</si>
  <si>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</si>
  <si>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</si>
  <si>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</si>
  <si>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</si>
  <si>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</si>
  <si>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</si>
  <si>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</si>
  <si>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</si>
  <si>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</si>
  <si>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</si>
  <si>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</si>
  <si>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</si>
  <si>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</si>
  <si>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</si>
  <si>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</si>
  <si>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</si>
  <si>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</si>
  <si>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</si>
  <si>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</si>
  <si>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</si>
  <si>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</si>
  <si>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</si>
  <si>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</si>
  <si>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</si>
  <si>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</si>
  <si>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</si>
  <si>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</si>
  <si>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</si>
  <si>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</si>
  <si>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</si>
  <si>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</si>
  <si>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</si>
  <si>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</si>
  <si>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</si>
  <si>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</si>
  <si>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</si>
  <si>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</si>
  <si>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</si>
  <si>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</si>
  <si>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</si>
  <si>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</si>
  <si>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</si>
  <si>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</si>
  <si>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</si>
  <si>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</si>
  <si>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</si>
  <si>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</si>
  <si>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</si>
  <si>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</si>
  <si>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</si>
  <si>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</si>
  <si>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</si>
  <si>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</si>
  <si>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</si>
  <si>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</si>
  <si>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</si>
  <si>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</si>
  <si>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</si>
  <si>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</si>
  <si>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</si>
  <si>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</si>
  <si>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</si>
  <si>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</si>
  <si>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</si>
  <si>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</si>
  <si>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</si>
  <si>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</si>
  <si>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</si>
  <si>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</si>
  <si>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</si>
  <si>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</si>
  <si>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</si>
  <si>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</si>
  <si>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</si>
  <si>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</si>
  <si>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</si>
  <si>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</si>
  <si>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</si>
  <si>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</si>
  <si>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</si>
  <si>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</si>
  <si>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</si>
  <si>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</si>
  <si>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</si>
  <si>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</si>
  <si>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</si>
  <si>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</si>
  <si>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</si>
  <si>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</si>
  <si>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</si>
  <si>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</si>
  <si>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</si>
  <si>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</si>
  <si>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</si>
  <si>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</si>
  <si>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</si>
  <si>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</si>
  <si>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</si>
  <si>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</si>
  <si>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</si>
  <si>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</si>
  <si>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</si>
  <si>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</si>
  <si>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</si>
  <si>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</si>
  <si>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</si>
  <si>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</si>
  <si>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</si>
  <si>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</si>
  <si>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</si>
  <si>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</si>
  <si>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</si>
  <si>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</si>
  <si>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</si>
  <si>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</si>
  <si>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</si>
  <si>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</si>
  <si>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</si>
  <si>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</si>
  <si>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</si>
  <si>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</si>
  <si>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</si>
  <si>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</si>
  <si>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</si>
  <si>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</si>
  <si>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</si>
  <si>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</si>
  <si>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</si>
  <si>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</si>
  <si>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</si>
  <si>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</si>
  <si>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</si>
  <si>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</si>
  <si>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</si>
  <si>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</si>
  <si>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</si>
  <si>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</si>
  <si>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</si>
  <si>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</si>
  <si>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</si>
  <si>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</si>
  <si>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</si>
  <si>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</si>
  <si>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</si>
  <si>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</si>
  <si>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</si>
  <si>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</si>
  <si>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</si>
  <si>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</si>
  <si>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</si>
  <si>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</si>
  <si>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</si>
  <si>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</si>
  <si>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</si>
  <si>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</si>
  <si>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</si>
  <si>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</si>
  <si>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</si>
  <si>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</si>
  <si>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</si>
  <si>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</si>
  <si>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</si>
  <si>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</si>
  <si>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</si>
  <si>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</si>
  <si>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</si>
  <si>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</si>
  <si>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</si>
  <si>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</si>
  <si>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</si>
  <si>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</si>
  <si>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</si>
  <si>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</si>
  <si>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</si>
  <si>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</si>
  <si>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</si>
  <si>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</si>
  <si>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</si>
  <si>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</si>
  <si>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</si>
  <si>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</si>
  <si>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</si>
  <si>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</si>
  <si>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</si>
  <si>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</si>
  <si>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</si>
  <si>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</si>
  <si>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</si>
  <si>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</si>
  <si>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</si>
  <si>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</si>
  <si>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</si>
  <si>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</si>
  <si>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</si>
  <si>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</si>
  <si>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</si>
  <si>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</si>
  <si>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</si>
  <si>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</si>
  <si>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</si>
  <si>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</si>
  <si>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</si>
  <si>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</si>
  <si>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</si>
  <si>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</si>
  <si>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</si>
  <si>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</si>
  <si>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</si>
  <si>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</si>
  <si>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</si>
  <si>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</si>
  <si>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</si>
  <si>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</si>
  <si>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</si>
  <si>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</si>
  <si>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</si>
  <si>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</si>
  <si>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</si>
  <si>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</si>
  <si>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</si>
  <si>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</si>
  <si>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</si>
  <si>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</si>
  <si>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</si>
  <si>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</si>
  <si>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</si>
  <si>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</si>
  <si>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</si>
  <si>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</si>
  <si>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</si>
  <si>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</si>
  <si>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</si>
  <si>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</si>
  <si>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</si>
  <si>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</si>
  <si>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</si>
  <si>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</si>
  <si>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</si>
  <si>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</si>
  <si>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</si>
  <si>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</si>
  <si>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</si>
  <si>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</si>
  <si>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</si>
  <si>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</si>
  <si>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</si>
  <si>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</si>
  <si>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</si>
  <si>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</si>
  <si>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</si>
  <si>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</si>
  <si>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</si>
  <si>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</si>
  <si>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</si>
  <si>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</si>
  <si>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</si>
  <si>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</si>
  <si>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</si>
  <si>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</si>
  <si>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</si>
  <si>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</si>
  <si>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</si>
  <si>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</si>
  <si>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</si>
  <si>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</si>
  <si>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</si>
  <si>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</si>
  <si>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</si>
  <si>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</si>
  <si>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</si>
  <si>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</si>
  <si>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</si>
  <si>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</si>
  <si>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</si>
  <si>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</si>
  <si>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</si>
  <si>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</si>
  <si>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</si>
  <si>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</si>
  <si>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</si>
  <si>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</si>
  <si>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</si>
  <si>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</si>
  <si>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</si>
  <si>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</si>
  <si>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</si>
  <si>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</si>
  <si>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</si>
  <si>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</si>
  <si>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</si>
  <si>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</si>
  <si>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</si>
  <si>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</si>
  <si>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</si>
  <si>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</si>
  <si>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</si>
  <si>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</si>
  <si>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</si>
  <si>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</si>
  <si>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</si>
  <si>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</si>
  <si>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</si>
  <si>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</si>
  <si>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</si>
  <si>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</si>
  <si>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</si>
  <si>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</si>
  <si>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</si>
  <si>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</si>
  <si>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</si>
  <si>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</si>
  <si>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</si>
  <si>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</si>
  <si>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</si>
  <si>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</si>
  <si>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</si>
  <si>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</si>
  <si>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</si>
  <si>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</si>
  <si>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</si>
  <si>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</si>
  <si>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</si>
  <si>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</si>
  <si>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</si>
  <si>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</si>
  <si>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</si>
  <si>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</si>
  <si>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</si>
  <si>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</si>
  <si>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</si>
  <si>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</si>
  <si>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</si>
  <si>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</si>
  <si>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</si>
  <si>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</si>
  <si>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</si>
  <si>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</si>
  <si>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</si>
  <si>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</si>
  <si>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</si>
  <si>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</si>
  <si>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</si>
  <si>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</si>
  <si>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</si>
  <si>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</si>
  <si>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</si>
  <si>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</si>
  <si>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</si>
  <si>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</si>
  <si>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</si>
  <si>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</si>
  <si>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</si>
  <si>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</si>
  <si>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</si>
  <si>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</si>
  <si>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</si>
  <si>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</si>
  <si>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</si>
  <si>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</si>
  <si>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</si>
  <si>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</si>
  <si>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</si>
  <si>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</si>
  <si>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</si>
  <si>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</si>
  <si>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</si>
  <si>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</si>
  <si>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</si>
  <si>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</si>
  <si>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</si>
  <si>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</si>
  <si>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</si>
  <si>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</si>
  <si>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</si>
  <si>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</si>
  <si>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</si>
  <si>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</si>
  <si>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</si>
  <si>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</si>
  <si>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</si>
  <si>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</si>
  <si>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</si>
  <si>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</si>
  <si>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</si>
  <si>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</si>
  <si>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</si>
  <si>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</si>
  <si>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</si>
  <si>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</si>
  <si>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</si>
  <si>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</si>
  <si>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</si>
  <si>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</si>
  <si>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</si>
  <si>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</si>
  <si>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</si>
  <si>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</si>
  <si>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</si>
  <si>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</si>
  <si>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</si>
  <si>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</si>
  <si>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</si>
  <si>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</si>
  <si>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</si>
  <si>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</si>
  <si>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</si>
  <si>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</si>
  <si>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</si>
  <si>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</si>
  <si>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</si>
  <si>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</si>
  <si>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</si>
  <si>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</si>
  <si>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</si>
  <si>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</si>
  <si>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</si>
  <si>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</si>
  <si>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</si>
  <si>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</si>
  <si>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</si>
  <si>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</si>
  <si>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</si>
  <si>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</si>
  <si>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</si>
  <si>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</si>
  <si>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</si>
  <si>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</si>
  <si>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</si>
  <si>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</si>
  <si>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</si>
  <si>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</si>
  <si>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</si>
  <si>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</si>
  <si>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</si>
  <si>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</si>
  <si>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</si>
  <si>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</si>
  <si>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</si>
  <si>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</si>
  <si>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</si>
  <si>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</si>
  <si>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</si>
  <si>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</si>
  <si>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</si>
  <si>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</si>
  <si>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</si>
  <si>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</si>
  <si>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</si>
  <si>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</si>
  <si>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</si>
  <si>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</si>
  <si>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</si>
  <si>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</si>
  <si>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</si>
  <si>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</si>
  <si>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</si>
  <si>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</si>
  <si>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</si>
  <si>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</si>
  <si>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</si>
  <si>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</si>
  <si>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</si>
  <si>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</si>
  <si>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</si>
  <si>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</si>
  <si>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</si>
  <si>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</si>
  <si>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</si>
  <si>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</si>
  <si>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</si>
  <si>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</si>
  <si>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</si>
  <si>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</si>
  <si>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</si>
  <si>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</si>
  <si>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</si>
  <si>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</si>
  <si>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</si>
  <si>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</si>
  <si>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</si>
  <si>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</si>
  <si>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</si>
  <si>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</si>
  <si>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</si>
  <si>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</si>
  <si>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</si>
  <si>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</si>
  <si>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</si>
  <si>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</si>
  <si>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</si>
  <si>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</si>
  <si>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</si>
  <si>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</si>
  <si>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</si>
  <si>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</si>
  <si>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</si>
  <si>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</si>
  <si>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</si>
  <si>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</si>
  <si>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</si>
  <si>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</si>
  <si>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</si>
  <si>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</si>
  <si>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</si>
  <si>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</si>
  <si>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</si>
  <si>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</si>
  <si>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</si>
  <si>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</si>
  <si>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</si>
  <si>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</si>
  <si>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</si>
  <si>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</si>
  <si>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</si>
  <si>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</si>
  <si>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</si>
  <si>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</si>
  <si>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</si>
  <si>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</si>
  <si>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</si>
  <si>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</si>
  <si>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</si>
  <si>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</si>
  <si>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</si>
  <si>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</si>
  <si>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</si>
  <si>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</si>
  <si>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</si>
  <si>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</si>
  <si>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</si>
  <si>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</si>
  <si>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</si>
  <si>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</si>
  <si>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</si>
  <si>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</si>
  <si>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</si>
  <si>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</si>
  <si>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</si>
  <si>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</si>
  <si>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</si>
  <si>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</si>
  <si>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</si>
  <si>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</si>
  <si>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</si>
  <si>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</si>
  <si>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</si>
  <si>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</si>
  <si>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</si>
  <si>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</si>
  <si>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</si>
  <si>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</si>
  <si>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</si>
  <si>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</si>
  <si>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</si>
  <si>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</si>
  <si>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</si>
  <si>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</si>
  <si>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</si>
  <si>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</si>
  <si>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</si>
  <si>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</si>
  <si>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</si>
  <si>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</si>
  <si>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</si>
  <si>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</si>
  <si>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</si>
  <si>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</si>
  <si>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</si>
  <si>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</si>
  <si>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</si>
  <si>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</si>
  <si>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</si>
  <si>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</si>
  <si>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</si>
  <si>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</si>
  <si>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</si>
  <si>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</si>
  <si>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</si>
  <si>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</si>
  <si>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</si>
  <si>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</si>
  <si>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</si>
  <si>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</si>
  <si>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</si>
  <si>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</si>
  <si>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</si>
  <si>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</si>
  <si>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</si>
  <si>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</si>
  <si>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</si>
  <si>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</si>
  <si>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</si>
  <si>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</si>
  <si>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</si>
  <si>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</si>
  <si>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</si>
  <si>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</si>
  <si>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</si>
  <si>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</si>
  <si>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</si>
  <si>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</si>
  <si>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</si>
  <si>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</si>
  <si>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</si>
  <si>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</si>
  <si>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</si>
  <si>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</si>
  <si>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</si>
  <si>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</si>
  <si>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</si>
  <si>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</si>
  <si>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</si>
  <si>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</si>
  <si>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</si>
  <si>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</si>
  <si>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</si>
  <si>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</si>
  <si>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</si>
  <si>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</si>
  <si>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</si>
  <si>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</si>
  <si>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</si>
  <si>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</si>
  <si>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</si>
  <si>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</si>
  <si>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</si>
  <si>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</si>
  <si>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</si>
  <si>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</si>
  <si>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</si>
  <si>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</si>
  <si>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</si>
  <si>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</si>
  <si>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</si>
  <si>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</si>
  <si>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</si>
  <si>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</si>
  <si>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</si>
  <si>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</si>
  <si>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</si>
  <si>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</si>
  <si>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</si>
  <si>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</si>
  <si>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</si>
  <si>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</si>
  <si>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</si>
  <si>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</si>
  <si>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</si>
  <si>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</si>
  <si>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</si>
  <si>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</si>
  <si>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</si>
  <si>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</si>
  <si>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</si>
  <si>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</si>
  <si>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</si>
  <si>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</si>
  <si>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</si>
  <si>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</si>
  <si>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</si>
  <si>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</si>
  <si>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</si>
  <si>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</si>
  <si>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</si>
  <si>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</si>
  <si>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</si>
  <si>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</si>
  <si>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</si>
  <si>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</si>
  <si>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</si>
  <si>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</si>
  <si>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</si>
  <si>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</si>
  <si>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</si>
  <si>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</si>
  <si>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</si>
  <si>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</si>
  <si>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</si>
  <si>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</si>
  <si>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</si>
  <si>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</si>
  <si>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</si>
  <si>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</si>
  <si>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</si>
  <si>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</si>
  <si>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</si>
  <si>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</si>
  <si>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</si>
  <si>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</si>
  <si>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</si>
  <si>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</si>
  <si>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</si>
  <si>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</si>
  <si>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</si>
  <si>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</si>
  <si>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</si>
  <si>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</si>
  <si>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</si>
  <si>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</si>
  <si>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</si>
  <si>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</si>
  <si>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</si>
  <si>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</si>
  <si>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</si>
  <si>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</si>
  <si>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</si>
  <si>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</si>
  <si>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</si>
  <si>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</si>
  <si>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</si>
  <si>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</si>
  <si>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</si>
  <si>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</si>
  <si>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</si>
  <si>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</si>
  <si>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</si>
  <si>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</si>
  <si>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</si>
  <si>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</si>
  <si>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</si>
  <si>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</si>
  <si>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</si>
  <si>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</si>
  <si>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</si>
  <si>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</si>
  <si>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</si>
  <si>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</si>
  <si>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</si>
  <si>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</si>
  <si>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</si>
  <si>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</si>
  <si>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</si>
  <si>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</si>
  <si>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</si>
  <si>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</si>
  <si>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</si>
  <si>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</si>
  <si>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</si>
  <si>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</si>
  <si>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</si>
  <si>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</si>
  <si>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</si>
  <si>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</si>
  <si>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</si>
  <si>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</si>
  <si>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</si>
  <si>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</si>
  <si>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</si>
  <si>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</si>
  <si>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</si>
  <si>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</si>
  <si>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</si>
  <si>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</si>
  <si>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</si>
  <si>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</si>
  <si>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</si>
  <si>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</si>
  <si>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</si>
  <si>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</si>
  <si>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</si>
  <si>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</si>
  <si>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</si>
  <si>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</si>
  <si>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</si>
  <si>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</si>
  <si>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</si>
  <si>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</si>
  <si>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</si>
  <si>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</si>
  <si>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</si>
  <si>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</si>
  <si>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</si>
  <si>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</si>
  <si>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</si>
  <si>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</si>
  <si>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</si>
  <si>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</si>
  <si>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</si>
  <si>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</si>
  <si>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</si>
  <si>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</si>
  <si>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</si>
  <si>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</si>
  <si>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</si>
  <si>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</si>
  <si>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</si>
  <si>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</si>
  <si>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</si>
  <si>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</si>
  <si>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</si>
  <si>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</si>
  <si>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</si>
  <si>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</si>
  <si>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</si>
  <si>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</si>
  <si>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</si>
  <si>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</si>
  <si>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</si>
  <si>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</si>
  <si>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</si>
  <si>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</si>
  <si>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</si>
  <si>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</si>
  <si>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</si>
  <si>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</si>
  <si>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</si>
  <si>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</si>
  <si>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</si>
  <si>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</si>
  <si>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</si>
  <si>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</si>
  <si>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</si>
  <si>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</si>
  <si>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</si>
  <si>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</si>
  <si>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</si>
  <si>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</si>
  <si>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</si>
  <si>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</si>
  <si>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</si>
  <si>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</si>
  <si>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</si>
  <si>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</si>
  <si>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</si>
  <si>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</si>
  <si>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</si>
  <si>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</si>
  <si>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</si>
  <si>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</si>
  <si>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</si>
  <si>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</si>
  <si>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</si>
  <si>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</si>
  <si>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</si>
  <si>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</si>
  <si>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</si>
  <si>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</si>
  <si>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</si>
  <si>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</si>
  <si>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</si>
  <si>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</si>
  <si>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</si>
  <si>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</si>
  <si>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</si>
  <si>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</si>
  <si>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</si>
  <si>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</si>
  <si>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</si>
  <si>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</si>
  <si>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</si>
  <si>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</si>
  <si>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</si>
  <si>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</si>
  <si>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</si>
  <si>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</si>
  <si>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</si>
  <si>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</si>
  <si>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</si>
  <si>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</si>
  <si>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</si>
  <si>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</si>
  <si>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</si>
  <si>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</si>
  <si>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</si>
  <si>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</si>
  <si>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</si>
  <si>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</si>
  <si>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</si>
  <si>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</si>
  <si>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</si>
  <si>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</si>
  <si>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</si>
  <si>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</si>
  <si>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</si>
  <si>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</si>
  <si>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</si>
  <si>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</si>
  <si>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</si>
  <si>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</si>
  <si>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</si>
  <si>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</si>
  <si>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</si>
  <si>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</si>
  <si>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</si>
  <si>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</si>
  <si>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</si>
  <si>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</si>
  <si>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</si>
  <si>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</si>
  <si>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</si>
  <si>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</si>
  <si>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</si>
  <si>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</si>
  <si>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</si>
  <si>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</si>
  <si>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</si>
  <si>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</si>
  <si>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</si>
  <si>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</si>
  <si>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</si>
  <si>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</si>
  <si>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</si>
  <si>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</si>
  <si>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</si>
  <si>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</si>
  <si>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</si>
  <si>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</si>
  <si>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</si>
  <si>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</si>
  <si>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</si>
  <si>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</si>
  <si>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</si>
  <si>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</si>
  <si>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</si>
  <si>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</si>
  <si>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</si>
  <si>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</si>
  <si>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</si>
  <si>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</si>
  <si>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</si>
  <si>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</si>
  <si>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</si>
  <si>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</si>
  <si>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</si>
  <si>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</si>
  <si>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</si>
  <si>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</si>
  <si>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</si>
  <si>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</si>
  <si>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</si>
  <si>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</si>
  <si>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</si>
  <si>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</si>
  <si>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</si>
  <si>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</si>
  <si>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</si>
  <si>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</si>
  <si>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</si>
  <si>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</si>
  <si>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</si>
  <si>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</si>
  <si>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</si>
  <si>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</si>
  <si>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</si>
  <si>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</si>
  <si>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</si>
  <si>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</si>
  <si>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</si>
  <si>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</si>
  <si>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</si>
  <si>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</si>
  <si>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</si>
  <si>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</si>
  <si>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</si>
  <si>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</si>
  <si>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</si>
  <si>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</si>
  <si>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</si>
  <si>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</si>
  <si>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</si>
  <si>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</si>
  <si>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</si>
  <si>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</si>
  <si>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</si>
  <si>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</si>
  <si>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</si>
  <si>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</si>
  <si>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</si>
  <si>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</si>
  <si>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</si>
  <si>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</si>
  <si>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</si>
  <si>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</si>
  <si>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</si>
  <si>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</si>
  <si>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</si>
  <si>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</si>
  <si>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</si>
  <si>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</si>
  <si>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</si>
  <si>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</si>
  <si>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</si>
  <si>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</si>
  <si>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</si>
  <si>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</si>
  <si>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</si>
  <si>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</si>
  <si>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</si>
  <si>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</si>
  <si>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</si>
  <si>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</si>
  <si>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</si>
  <si>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</si>
  <si>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</si>
  <si>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</si>
  <si>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</si>
  <si>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</si>
  <si>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</si>
  <si>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</si>
  <si>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</si>
  <si>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</si>
  <si>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</si>
  <si>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</si>
  <si>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</si>
  <si>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</si>
  <si>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</si>
  <si>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</si>
  <si>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</si>
  <si>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</si>
  <si>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</si>
  <si>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</si>
  <si>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</si>
  <si>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</si>
  <si>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</si>
  <si>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</si>
  <si>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</si>
  <si>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</si>
  <si>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</si>
  <si>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</si>
  <si>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</si>
  <si>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</si>
  <si>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</si>
  <si>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</si>
  <si>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</si>
  <si>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</si>
  <si>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</si>
  <si>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</si>
  <si>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</si>
  <si>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</si>
  <si>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</si>
  <si>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</si>
  <si>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</si>
  <si>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</si>
  <si>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</si>
  <si>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</si>
  <si>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</si>
  <si>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</si>
  <si>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</si>
  <si>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</si>
  <si>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</si>
  <si>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</si>
  <si>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</si>
  <si>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</si>
  <si>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</si>
  <si>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</si>
  <si>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</si>
  <si>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</si>
  <si>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</si>
  <si>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</si>
  <si>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</si>
  <si>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</si>
  <si>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</si>
  <si>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</si>
  <si>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</si>
  <si>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</si>
  <si>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</si>
  <si>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</si>
  <si>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</si>
  <si>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</si>
  <si>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</si>
  <si>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</si>
  <si>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</si>
  <si>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</si>
  <si>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</si>
  <si>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</si>
  <si>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</si>
  <si>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</si>
  <si>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</si>
  <si>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</si>
  <si>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</si>
  <si>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</si>
  <si>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</si>
  <si>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</si>
  <si>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</si>
  <si>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</si>
  <si>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</si>
  <si>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</si>
  <si>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</si>
  <si>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</si>
  <si>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</si>
  <si>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</si>
  <si>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</si>
  <si>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</si>
  <si>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</si>
  <si>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</si>
  <si>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</si>
  <si>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</si>
  <si>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</si>
  <si>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</si>
  <si>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</si>
  <si>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</si>
  <si>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</si>
  <si>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</si>
  <si>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</si>
  <si>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</si>
  <si>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</si>
  <si>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</si>
  <si>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</si>
  <si>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</si>
  <si>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</si>
  <si>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</si>
  <si>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</si>
  <si>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</si>
  <si>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</si>
  <si>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</si>
  <si>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</si>
  <si>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</si>
  <si>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</si>
  <si>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</si>
  <si>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</si>
  <si>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</si>
  <si>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</si>
  <si>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</si>
  <si>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</si>
  <si>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</si>
  <si>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</si>
  <si>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</si>
  <si>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</si>
  <si>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</si>
  <si>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</si>
  <si>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</si>
  <si>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</si>
  <si>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</si>
  <si>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</si>
  <si>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</si>
  <si>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</si>
  <si>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</si>
  <si>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</si>
  <si>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</si>
  <si>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</si>
  <si>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</si>
  <si>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</si>
  <si>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</si>
  <si>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</si>
  <si>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</si>
  <si>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</si>
  <si>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</si>
  <si>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</si>
  <si>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</si>
  <si>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</si>
  <si>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</si>
  <si>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</si>
  <si>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</si>
  <si>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</si>
  <si>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</si>
  <si>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</si>
  <si>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</si>
  <si>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</si>
  <si>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</si>
  <si>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</si>
  <si>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</si>
  <si>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</si>
  <si>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</si>
  <si>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</si>
  <si>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</si>
  <si>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</si>
  <si>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</si>
  <si>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</si>
  <si>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</si>
  <si>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</si>
  <si>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</si>
  <si>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</si>
  <si>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</si>
  <si>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</si>
  <si>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</si>
  <si>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</si>
  <si>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</si>
  <si>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</si>
  <si>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</si>
  <si>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</si>
  <si>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</si>
  <si>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</si>
  <si>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</si>
  <si>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</si>
  <si>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</si>
  <si>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</si>
  <si>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</si>
  <si>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</si>
  <si>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</si>
  <si>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</si>
  <si>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</si>
  <si>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</si>
  <si>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</si>
  <si>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</si>
  <si>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</si>
  <si>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</si>
  <si>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</si>
  <si>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</si>
  <si>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</si>
  <si>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</si>
  <si>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</si>
  <si>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</si>
  <si>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</si>
  <si>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</si>
  <si>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</si>
  <si>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</si>
  <si>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</si>
  <si>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</si>
  <si>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</si>
  <si>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</si>
  <si>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</si>
  <si>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</si>
  <si>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</si>
  <si>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</si>
  <si>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</si>
  <si>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</si>
  <si>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</si>
  <si>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</si>
  <si>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</si>
  <si>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</si>
  <si>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</si>
  <si>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</si>
  <si>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</si>
  <si>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</si>
  <si>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</si>
  <si>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</si>
  <si>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</si>
  <si>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</si>
  <si>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</si>
  <si>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</si>
  <si>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</si>
  <si>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</si>
  <si>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</si>
  <si>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</si>
  <si>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</si>
  <si>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</si>
  <si>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</si>
  <si>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</si>
  <si>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</si>
  <si>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</si>
  <si>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</si>
  <si>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</si>
  <si>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</si>
  <si>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</si>
  <si>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</si>
  <si>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</si>
  <si>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</si>
  <si>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</si>
  <si>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</si>
  <si>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</si>
  <si>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</si>
  <si>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</si>
  <si>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</si>
  <si>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</si>
  <si>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</si>
  <si>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</si>
  <si>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</si>
  <si>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</si>
  <si>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</si>
  <si>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</si>
  <si>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</si>
  <si>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</si>
  <si>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</si>
  <si>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</si>
  <si>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</si>
  <si>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</si>
  <si>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</si>
  <si>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</si>
  <si>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</si>
  <si>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</si>
  <si>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</si>
  <si>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</si>
  <si>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</si>
  <si>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</si>
  <si>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</si>
  <si>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</si>
  <si>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</si>
  <si>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</si>
  <si>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</si>
  <si>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</si>
  <si>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</si>
  <si>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</si>
  <si>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</si>
  <si>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</si>
  <si>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</si>
  <si>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</si>
  <si>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</si>
  <si>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</si>
  <si>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</si>
  <si>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</si>
  <si>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</si>
  <si>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</si>
  <si>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</si>
  <si>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</si>
  <si>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</si>
  <si>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</si>
  <si>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</si>
  <si>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</si>
  <si>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</si>
  <si>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</si>
  <si>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</si>
  <si>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</si>
  <si>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</si>
  <si>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</si>
  <si>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</si>
  <si>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</si>
  <si>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</si>
  <si>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</si>
  <si>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</si>
  <si>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</si>
  <si>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</si>
  <si>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</si>
  <si>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</si>
  <si>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</si>
  <si>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</si>
  <si>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</si>
  <si>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</si>
  <si>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</si>
  <si>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</si>
  <si>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</si>
  <si>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</si>
  <si>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</si>
  <si>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</si>
  <si>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</si>
  <si>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</si>
  <si>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</si>
  <si>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</si>
  <si>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</si>
  <si>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</si>
  <si>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</si>
  <si>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</si>
  <si>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</si>
  <si>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</si>
  <si>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</si>
  <si>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</si>
  <si>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</si>
  <si>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</si>
  <si>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</si>
  <si>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</si>
  <si>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</si>
  <si>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</si>
  <si>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</si>
  <si>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</si>
  <si>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</si>
  <si>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</si>
  <si>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</si>
  <si>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</si>
  <si>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</si>
  <si>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</si>
  <si>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</si>
  <si>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</si>
  <si>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</si>
  <si>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</si>
  <si>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</si>
  <si>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</si>
  <si>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</si>
  <si>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</si>
  <si>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</si>
  <si>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</si>
  <si>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</si>
  <si>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</si>
  <si>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</si>
  <si>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</si>
  <si>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</si>
  <si>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</si>
  <si>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</si>
  <si>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</si>
  <si>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</si>
  <si>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</si>
  <si>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</si>
  <si>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</si>
  <si>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</si>
  <si>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</si>
  <si>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</si>
  <si>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</si>
  <si>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</si>
  <si>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</si>
  <si>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</si>
  <si>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</si>
  <si>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</si>
  <si>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</si>
  <si>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</si>
  <si>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</si>
  <si>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</si>
  <si>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</si>
  <si>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</si>
  <si>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</si>
  <si>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</si>
  <si>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</si>
  <si>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</si>
  <si>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</si>
  <si>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</si>
  <si>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</si>
  <si>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</si>
  <si>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</si>
  <si>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</si>
  <si>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</si>
  <si>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</si>
  <si>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</si>
  <si>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</si>
  <si>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</si>
  <si>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</si>
  <si>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</si>
  <si>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</si>
  <si>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</si>
  <si>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</si>
  <si>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</si>
  <si>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</si>
  <si>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</si>
  <si>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</si>
  <si>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</si>
  <si>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</si>
  <si>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</si>
  <si>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</si>
  <si>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</si>
  <si>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</si>
  <si>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</si>
  <si>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</si>
  <si>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</si>
  <si>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</si>
  <si>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</si>
  <si>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</si>
  <si>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</si>
  <si>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</si>
  <si>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</si>
  <si>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</si>
  <si>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</si>
  <si>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</si>
  <si>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</si>
  <si>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</si>
  <si>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</si>
  <si>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</si>
  <si>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</si>
  <si>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</si>
  <si>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</si>
  <si>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</si>
  <si>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</si>
  <si>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</si>
  <si>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</si>
  <si>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</si>
  <si>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</si>
  <si>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</si>
  <si>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</si>
  <si>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</si>
  <si>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</si>
  <si>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</si>
  <si>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</si>
  <si>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</si>
  <si>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</si>
  <si>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</si>
  <si>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</si>
  <si>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</si>
  <si>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</si>
  <si>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</si>
  <si>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</si>
  <si>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</si>
  <si>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</si>
  <si>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</si>
  <si>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</si>
  <si>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</si>
  <si>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</si>
  <si>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</si>
  <si>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</si>
  <si>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</si>
  <si>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</si>
  <si>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</si>
  <si>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</si>
  <si>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</si>
  <si>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</si>
  <si>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</si>
  <si>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</si>
  <si>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</si>
  <si>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</si>
  <si>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</si>
  <si>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</si>
  <si>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</si>
  <si>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</si>
  <si>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</si>
  <si>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</si>
  <si>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</si>
  <si>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</si>
  <si>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</si>
  <si>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</si>
  <si>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</si>
  <si>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</si>
  <si>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</si>
  <si>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</si>
  <si>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</si>
  <si>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</si>
  <si>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</si>
  <si>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</si>
  <si>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</si>
  <si>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</si>
  <si>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</si>
  <si>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</si>
  <si>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</si>
  <si>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</si>
  <si>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</si>
  <si>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</si>
  <si>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</si>
  <si>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</si>
  <si>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</si>
  <si>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</si>
  <si>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</si>
  <si>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</si>
  <si>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</si>
  <si>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</si>
  <si>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</si>
  <si>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</si>
  <si>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</si>
  <si>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</si>
  <si>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</si>
  <si>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</si>
  <si>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</si>
  <si>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</si>
  <si>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</si>
  <si>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</si>
  <si>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</si>
  <si>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</si>
  <si>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</si>
  <si>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</si>
  <si>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</si>
  <si>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</si>
  <si>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</si>
  <si>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</si>
  <si>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</si>
  <si>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</si>
  <si>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</si>
  <si>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</si>
  <si>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</si>
  <si>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</si>
  <si>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</si>
  <si>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</si>
  <si>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</si>
  <si>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</si>
  <si>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</si>
  <si>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</si>
  <si>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</si>
  <si>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</si>
  <si>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</si>
  <si>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</si>
  <si>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</si>
  <si>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</si>
  <si>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</si>
  <si>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</si>
  <si>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</si>
  <si>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</si>
  <si>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</si>
  <si>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</si>
  <si>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</si>
  <si>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</si>
  <si>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</si>
  <si>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</si>
  <si>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</si>
  <si>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</si>
  <si>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</si>
  <si>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</si>
  <si>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</si>
  <si>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</si>
  <si>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</si>
  <si>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</si>
  <si>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</si>
  <si>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</si>
  <si>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</si>
  <si>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</si>
  <si>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</si>
  <si>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</si>
  <si>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</si>
  <si>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</si>
  <si>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</si>
  <si>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</si>
  <si>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</si>
  <si>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</si>
  <si>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</si>
  <si>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</si>
  <si>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</si>
  <si>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</si>
  <si>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</si>
  <si>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</si>
  <si>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</si>
  <si>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</si>
  <si>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</si>
  <si>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</si>
  <si>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</si>
  <si>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</si>
  <si>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</si>
  <si>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</si>
  <si>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</si>
  <si>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</si>
  <si>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</si>
  <si>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</si>
  <si>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</si>
  <si>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</si>
  <si>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</si>
  <si>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</si>
  <si>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</si>
  <si>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</si>
  <si>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</si>
  <si>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</si>
  <si>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</si>
  <si>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</si>
  <si>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</si>
  <si>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</si>
  <si>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</si>
  <si>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</si>
  <si>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</si>
  <si>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</si>
  <si>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</si>
  <si>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</si>
  <si>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</si>
  <si>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</si>
  <si>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</si>
  <si>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</si>
  <si>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</si>
  <si>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</si>
  <si>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</si>
  <si>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</si>
  <si>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</si>
  <si>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</si>
  <si>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</si>
  <si>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</si>
  <si>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</si>
  <si>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</si>
  <si>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</si>
  <si>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</si>
  <si>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</si>
  <si>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</si>
  <si>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</si>
  <si>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</si>
  <si>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</si>
  <si>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</si>
  <si>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</si>
  <si>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</si>
  <si>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</si>
  <si>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</si>
  <si>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</si>
  <si>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</si>
  <si>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</si>
  <si>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</si>
  <si>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</si>
  <si>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</si>
  <si>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</si>
  <si>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</si>
  <si>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</si>
  <si>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</si>
  <si>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</si>
  <si>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</si>
  <si>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</si>
  <si>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</si>
  <si>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</si>
  <si>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</si>
  <si>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</si>
  <si>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</si>
  <si>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</si>
  <si>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</si>
  <si>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</si>
  <si>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</si>
  <si>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</si>
  <si>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</si>
  <si>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</si>
  <si>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</si>
  <si>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</si>
  <si>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</si>
  <si>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</si>
  <si>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</si>
  <si>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</si>
  <si>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</si>
  <si>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</si>
  <si>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</si>
  <si>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</si>
  <si>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</si>
  <si>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</si>
  <si>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</si>
  <si>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</si>
  <si>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</si>
  <si>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</si>
  <si>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</si>
  <si>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</si>
  <si>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</si>
  <si>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</si>
  <si>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</si>
  <si>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</si>
  <si>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</si>
  <si>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</si>
  <si>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</si>
  <si>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</si>
  <si>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</si>
  <si>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</si>
  <si>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</si>
  <si>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</si>
  <si>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</si>
  <si>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</si>
  <si>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</si>
  <si>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</si>
  <si>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</si>
  <si>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</si>
  <si>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</si>
  <si>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</si>
  <si>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</si>
  <si>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</si>
  <si>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</si>
  <si>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</si>
  <si>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</si>
  <si>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</si>
  <si>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</si>
  <si>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</si>
  <si>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</si>
  <si>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</si>
  <si>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</si>
  <si>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</si>
  <si>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</si>
  <si>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</si>
  <si>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</si>
  <si>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</si>
  <si>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</si>
  <si>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</si>
  <si>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</si>
  <si>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</si>
  <si>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</si>
  <si>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</si>
  <si>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</si>
  <si>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</si>
  <si>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</si>
  <si>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</si>
  <si>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</si>
  <si>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</si>
  <si>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</si>
  <si>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</si>
  <si>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</si>
  <si>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</si>
  <si>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</si>
  <si>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</si>
  <si>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</si>
  <si>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</si>
  <si>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</si>
  <si>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</si>
  <si>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</si>
  <si>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</si>
  <si>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</si>
  <si>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</si>
  <si>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</si>
  <si>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</si>
  <si>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</si>
  <si>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</si>
  <si>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</si>
  <si>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</si>
  <si>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</si>
  <si>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</si>
  <si>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</si>
  <si>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</si>
  <si>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</si>
  <si>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</si>
  <si>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</si>
  <si>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</si>
  <si>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</si>
  <si>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</si>
  <si>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</si>
  <si>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</si>
  <si>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</si>
  <si>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</si>
  <si>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</si>
  <si>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</si>
  <si>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</si>
  <si>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</si>
  <si>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</si>
  <si>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</si>
  <si>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</si>
  <si>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</si>
  <si>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</si>
  <si>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</si>
  <si>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</si>
  <si>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</si>
  <si>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</si>
  <si>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</si>
  <si>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</si>
  <si>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</si>
  <si>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</si>
  <si>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</si>
  <si>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</si>
  <si>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</si>
  <si>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</si>
  <si>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</si>
  <si>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</si>
  <si>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</si>
  <si>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</si>
  <si>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</si>
  <si>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</si>
  <si>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</si>
  <si>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</si>
  <si>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</si>
  <si>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</si>
  <si>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</si>
  <si>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</si>
  <si>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</si>
  <si>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</si>
  <si>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</si>
  <si>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</si>
  <si>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</si>
  <si>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</si>
  <si>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</si>
  <si>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</si>
  <si>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</si>
  <si>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</si>
  <si>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</si>
  <si>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</si>
  <si>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</si>
  <si>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</si>
  <si>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</si>
  <si>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</si>
  <si>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</si>
  <si>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</si>
  <si>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</si>
  <si>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</si>
  <si>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</si>
  <si>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</si>
  <si>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</si>
  <si>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</si>
  <si>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</si>
  <si>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</si>
  <si>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</si>
  <si>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</si>
  <si>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</si>
  <si>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</si>
  <si>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</si>
  <si>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</si>
  <si>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</si>
  <si>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</si>
  <si>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</si>
  <si>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</si>
  <si>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</si>
  <si>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</si>
  <si>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</si>
  <si>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</si>
  <si>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</si>
  <si>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</si>
  <si>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</si>
  <si>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</si>
  <si>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</si>
  <si>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</si>
  <si>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</si>
  <si>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</si>
  <si>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</si>
  <si>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</si>
  <si>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</si>
  <si>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</si>
  <si>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</si>
  <si>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</si>
  <si>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</si>
  <si>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</si>
  <si>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</si>
  <si>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</si>
  <si>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</si>
  <si>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</si>
  <si>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</si>
  <si>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</si>
  <si>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</si>
  <si>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</si>
  <si>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</si>
  <si>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</si>
  <si>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</si>
  <si>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</si>
  <si>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</si>
  <si>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</si>
  <si>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</si>
  <si>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</si>
  <si>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</si>
  <si>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</si>
  <si>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</si>
  <si>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</si>
  <si>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</si>
  <si>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</si>
  <si>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</si>
  <si>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</si>
  <si>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</si>
  <si>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</si>
  <si>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</si>
  <si>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</si>
  <si>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</si>
  <si>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</si>
  <si>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</si>
  <si>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</si>
  <si>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</si>
  <si>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</si>
  <si>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</si>
  <si>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</si>
  <si>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</si>
  <si>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</si>
  <si>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</si>
  <si>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</si>
  <si>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</si>
  <si>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</si>
  <si>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</si>
  <si>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</si>
  <si>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</si>
  <si>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</si>
  <si>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</si>
  <si>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</si>
  <si>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</si>
  <si>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</si>
  <si>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</si>
  <si>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</si>
  <si>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</si>
  <si>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</si>
  <si>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</si>
  <si>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</si>
  <si>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</si>
  <si>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</si>
  <si>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</si>
  <si>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</si>
  <si>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</si>
  <si>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</si>
  <si>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</si>
  <si>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</si>
  <si>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</si>
  <si>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</si>
  <si>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</si>
  <si>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</si>
  <si>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</si>
  <si>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</si>
  <si>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</si>
  <si>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</si>
  <si>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</si>
  <si>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</si>
  <si>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</si>
  <si>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</si>
  <si>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</si>
  <si>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</si>
  <si>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</si>
  <si>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</si>
  <si>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</si>
  <si>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</si>
  <si>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</si>
  <si>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</si>
  <si>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</si>
  <si>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</si>
  <si>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</si>
  <si>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</si>
  <si>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</si>
  <si>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</si>
  <si>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</si>
  <si>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</si>
  <si>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</si>
  <si>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</si>
  <si>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</si>
  <si>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</si>
  <si>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</si>
  <si>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</si>
  <si>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</si>
  <si>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</si>
  <si>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</si>
  <si>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</si>
  <si>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</si>
  <si>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</si>
  <si>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</si>
  <si>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</si>
  <si>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</si>
  <si>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</si>
  <si>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</si>
  <si>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</si>
  <si>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</si>
  <si>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</si>
  <si>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</si>
  <si>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</si>
  <si>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</si>
  <si>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</si>
  <si>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</si>
  <si>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</si>
  <si>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</si>
  <si>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</si>
  <si>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</si>
  <si>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</si>
  <si>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</si>
  <si>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</si>
  <si>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</si>
  <si>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</si>
  <si>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</si>
  <si>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</si>
  <si>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</si>
  <si>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</si>
  <si>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</si>
  <si>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</si>
  <si>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</si>
  <si>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</si>
  <si>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</si>
  <si>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</si>
  <si>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</si>
  <si>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</si>
  <si>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</si>
  <si>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</si>
  <si>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</si>
  <si>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</si>
  <si>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</si>
  <si>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</si>
  <si>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</si>
  <si>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</si>
  <si>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</si>
  <si>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</si>
  <si>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</si>
  <si>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</si>
  <si>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</si>
  <si>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</si>
  <si>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</si>
  <si>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</si>
  <si>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</si>
  <si>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</si>
  <si>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</si>
  <si>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</si>
  <si>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</si>
  <si>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</si>
  <si>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</si>
  <si>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</si>
  <si>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</si>
  <si>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</si>
  <si>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</si>
  <si>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</si>
  <si>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</si>
  <si>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</si>
  <si>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</si>
  <si>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</si>
  <si>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</si>
  <si>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</si>
  <si>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</si>
  <si>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</si>
  <si>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</si>
  <si>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</si>
  <si>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</si>
  <si>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</si>
  <si>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</si>
  <si>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</si>
  <si>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</si>
  <si>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</si>
  <si>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</si>
  <si>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</si>
  <si>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</si>
  <si>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</si>
  <si>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</si>
  <si>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</si>
  <si>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</si>
  <si>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</si>
  <si>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</si>
  <si>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</si>
  <si>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</si>
  <si>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</si>
  <si>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</si>
  <si>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</si>
  <si>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</si>
  <si>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</si>
  <si>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</si>
  <si>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</si>
  <si>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</si>
  <si>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</si>
  <si>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</si>
  <si>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</si>
  <si>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</si>
  <si>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</si>
  <si>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</si>
  <si>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</si>
  <si>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</si>
  <si>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</si>
  <si>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</si>
  <si>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</si>
  <si>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</si>
  <si>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</si>
  <si>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</si>
  <si>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</si>
  <si>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</si>
  <si>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</si>
  <si>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</si>
  <si>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</si>
  <si>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</si>
  <si>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</si>
  <si>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</si>
  <si>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</si>
  <si>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</si>
  <si>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</si>
  <si>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</si>
  <si>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</si>
  <si>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</si>
  <si>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</si>
  <si>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</si>
  <si>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</si>
  <si>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</si>
  <si>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</si>
  <si>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</si>
  <si>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</si>
  <si>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</si>
  <si>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</si>
  <si>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</si>
  <si>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</si>
  <si>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</si>
  <si>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</si>
  <si>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</si>
  <si>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</si>
  <si>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</si>
  <si>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</si>
  <si>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</si>
  <si>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</si>
  <si>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</si>
  <si>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</si>
  <si>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</si>
  <si>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</si>
  <si>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</si>
  <si>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</si>
  <si>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</si>
  <si>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</si>
  <si>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</si>
  <si>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</si>
  <si>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</si>
  <si>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</si>
  <si>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</si>
  <si>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</si>
  <si>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</si>
  <si>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</si>
  <si>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</si>
  <si>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</si>
  <si>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</si>
  <si>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</si>
  <si>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</si>
  <si>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</si>
  <si>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</si>
  <si>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</si>
  <si>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</si>
  <si>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</si>
  <si>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</si>
  <si>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</si>
  <si>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</si>
  <si>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</si>
  <si>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</si>
  <si>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</si>
  <si>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</si>
  <si>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</si>
  <si>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</si>
  <si>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</si>
  <si>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</si>
  <si>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</si>
  <si>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</si>
  <si>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</si>
  <si>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</si>
  <si>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</si>
  <si>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</si>
  <si>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</si>
  <si>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</si>
  <si>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</si>
  <si>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</si>
  <si>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</si>
  <si>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</si>
  <si>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</si>
  <si>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</si>
  <si>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</si>
  <si>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</si>
  <si>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</si>
  <si>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</si>
  <si>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</si>
  <si>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</si>
  <si>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</si>
  <si>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</si>
  <si>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</si>
  <si>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</si>
  <si>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</si>
  <si>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</si>
  <si>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</si>
  <si>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</si>
  <si>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</si>
  <si>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</si>
  <si>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</si>
  <si>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</si>
  <si>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</si>
  <si>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</si>
  <si>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</si>
  <si>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</si>
  <si>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</si>
  <si>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</si>
  <si>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</si>
  <si>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</si>
  <si>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</si>
  <si>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</si>
  <si>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</si>
  <si>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</si>
  <si>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</si>
  <si>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</si>
  <si>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</si>
  <si>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</si>
  <si>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</si>
  <si>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</si>
  <si>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</si>
  <si>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</si>
  <si>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</si>
  <si>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</si>
  <si>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</si>
  <si>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</si>
  <si>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</si>
  <si>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</si>
  <si>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</si>
  <si>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</si>
  <si>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</si>
  <si>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</si>
  <si>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</si>
  <si>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</si>
  <si>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</si>
  <si>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</si>
  <si>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</si>
  <si>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</si>
  <si>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</si>
  <si>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</si>
  <si>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</si>
  <si>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</si>
  <si>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</si>
  <si>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</si>
  <si>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</si>
  <si>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</si>
  <si>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</si>
  <si>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</si>
  <si>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</si>
  <si>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</si>
  <si>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</si>
  <si>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</si>
  <si>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</si>
  <si>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</si>
  <si>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</si>
  <si>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</si>
  <si>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</si>
  <si>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</si>
  <si>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</si>
  <si>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</si>
  <si>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</si>
  <si>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</si>
  <si>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</si>
  <si>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</si>
  <si>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</si>
  <si>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</si>
  <si>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</si>
  <si>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</si>
  <si>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</si>
  <si>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</si>
  <si>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</si>
  <si>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</si>
  <si>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</si>
  <si>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</si>
  <si>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</si>
  <si>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</si>
  <si>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</si>
  <si>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</si>
  <si>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</si>
  <si>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</si>
  <si>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</si>
  <si>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</si>
  <si>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</si>
  <si>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</si>
  <si>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</si>
  <si>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</si>
  <si>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</si>
  <si>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</si>
  <si>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</si>
  <si>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</si>
  <si>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</si>
  <si>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</si>
  <si>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</si>
  <si>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</si>
  <si>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</si>
  <si>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</si>
  <si>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</si>
  <si>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</si>
  <si>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</si>
  <si>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</si>
  <si>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</si>
  <si>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</si>
  <si>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</si>
  <si>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</si>
  <si>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</si>
  <si>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</si>
  <si>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</si>
  <si>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</si>
  <si>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</si>
  <si>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</si>
  <si>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</si>
  <si>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</si>
  <si>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</si>
  <si>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</si>
  <si>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</si>
  <si>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</si>
  <si>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</si>
  <si>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</si>
  <si>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</si>
  <si>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</si>
  <si>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</si>
  <si>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</si>
  <si>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</si>
  <si>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</si>
  <si>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</si>
  <si>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</si>
  <si>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</si>
  <si>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</si>
  <si>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</si>
  <si>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</si>
  <si>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</si>
  <si>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</si>
  <si>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</si>
  <si>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</si>
  <si>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</si>
  <si>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</si>
  <si>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</si>
  <si>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</si>
  <si>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</si>
  <si>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</si>
  <si>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</si>
  <si>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</si>
  <si>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</si>
  <si>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</si>
  <si>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</si>
  <si>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</si>
  <si>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</si>
  <si>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</si>
  <si>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</si>
  <si>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</si>
  <si>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</si>
  <si>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</si>
  <si>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</si>
  <si>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</si>
  <si>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</si>
  <si>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</si>
  <si>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</si>
  <si>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</si>
  <si>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</si>
  <si>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</si>
  <si>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</si>
  <si>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</si>
  <si>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</si>
  <si>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</si>
  <si>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</si>
  <si>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</si>
  <si>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</si>
  <si>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</si>
  <si>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</si>
  <si>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</si>
  <si>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</si>
  <si>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</si>
  <si>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</si>
  <si>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</si>
  <si>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</si>
  <si>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</si>
  <si>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</si>
  <si>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</si>
  <si>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</si>
  <si>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</si>
  <si>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</si>
  <si>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</si>
  <si>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</si>
  <si>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</si>
  <si>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</si>
  <si>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</si>
  <si>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</si>
  <si>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</si>
  <si>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</si>
  <si>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</si>
  <si>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</si>
  <si>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</si>
  <si>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</si>
  <si>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</si>
  <si>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</si>
  <si>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</si>
  <si>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</si>
  <si>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</si>
  <si>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</si>
  <si>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</si>
  <si>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</si>
  <si>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</si>
  <si>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</si>
  <si>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</si>
  <si>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</si>
  <si>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</si>
  <si>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</si>
  <si>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</si>
  <si>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</si>
  <si>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</si>
  <si>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</si>
  <si>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</si>
  <si>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</si>
  <si>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</si>
  <si>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</si>
  <si>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</si>
  <si>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</si>
  <si>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</si>
  <si>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</si>
  <si>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</si>
  <si>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</si>
  <si>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</si>
  <si>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</si>
  <si>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</si>
  <si>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</si>
  <si>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</si>
  <si>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</si>
  <si>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</si>
  <si>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</si>
  <si>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</si>
  <si>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</si>
  <si>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</si>
  <si>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</si>
  <si>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</si>
  <si>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</si>
  <si>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</si>
  <si>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</si>
  <si>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</si>
  <si>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</si>
  <si>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</si>
  <si>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</si>
  <si>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</si>
  <si>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</si>
  <si>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</si>
  <si>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</si>
  <si>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</si>
  <si>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</si>
  <si>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</si>
  <si>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</si>
  <si>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</si>
  <si>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</si>
  <si>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</si>
  <si>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</si>
  <si>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</si>
  <si>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</si>
  <si>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</si>
  <si>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</si>
  <si>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</si>
  <si>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</si>
  <si>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</si>
  <si>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</si>
  <si>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</si>
  <si>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</si>
  <si>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</si>
  <si>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</si>
  <si>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</si>
  <si>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</si>
  <si>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</si>
  <si>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</si>
  <si>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</si>
  <si>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</si>
  <si>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</si>
  <si>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</si>
  <si>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</si>
  <si>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</si>
  <si>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</si>
  <si>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</si>
  <si>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</si>
  <si>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</si>
  <si>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</si>
  <si>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</si>
  <si>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</si>
  <si>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</si>
  <si>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</si>
  <si>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</si>
  <si>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</si>
  <si>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</si>
  <si>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</si>
  <si>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</si>
  <si>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</si>
  <si>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</si>
  <si>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</si>
  <si>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</si>
  <si>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</si>
  <si>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</si>
  <si>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</si>
  <si>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</si>
  <si>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</si>
  <si>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</si>
  <si>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</si>
  <si>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</si>
  <si>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</si>
  <si>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</si>
  <si>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</si>
  <si>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</si>
  <si>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</si>
  <si>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</si>
  <si>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</si>
  <si>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</si>
  <si>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</si>
  <si>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</si>
  <si>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</si>
  <si>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</si>
  <si>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</si>
  <si>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</si>
  <si>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</si>
  <si>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</si>
  <si>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</si>
  <si>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</si>
  <si>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</si>
  <si>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</si>
  <si>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</si>
  <si>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</si>
  <si>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</si>
  <si>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</si>
  <si>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</si>
  <si>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</si>
  <si>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</si>
  <si>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</si>
  <si>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</si>
  <si>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</si>
  <si>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</si>
  <si>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</si>
  <si>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</si>
  <si>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</si>
  <si>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</si>
  <si>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</si>
  <si>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</si>
  <si>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</si>
  <si>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</si>
  <si>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</si>
  <si>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</si>
  <si>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</si>
  <si>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</si>
  <si>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</si>
  <si>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</si>
  <si>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</si>
  <si>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</si>
  <si>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</si>
  <si>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</si>
  <si>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</si>
  <si>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</si>
  <si>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</si>
  <si>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</si>
  <si>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</si>
  <si>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</si>
  <si>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</si>
  <si>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</si>
  <si>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</si>
  <si>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</si>
  <si>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</si>
  <si>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</si>
  <si>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</si>
  <si>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</si>
  <si>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</si>
  <si>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</si>
  <si>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</si>
  <si>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</si>
  <si>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</si>
  <si>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</si>
  <si>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</si>
  <si>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</si>
  <si>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</si>
  <si>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</si>
  <si>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</si>
  <si>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</si>
  <si>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</si>
  <si>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</si>
  <si>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</si>
  <si>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</si>
  <si>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</si>
  <si>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</si>
  <si>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</si>
  <si>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</si>
  <si>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</si>
  <si>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</si>
  <si>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</si>
  <si>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</si>
  <si>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</si>
  <si>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</si>
  <si>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</si>
  <si>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</si>
  <si>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</si>
  <si>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</si>
  <si>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</si>
  <si>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</si>
  <si>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</si>
  <si>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</si>
  <si>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</si>
  <si>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</si>
  <si>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</si>
  <si>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</si>
  <si>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</si>
  <si>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</si>
  <si>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</si>
  <si>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</si>
  <si>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</si>
  <si>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</si>
  <si>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</si>
  <si>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</si>
  <si>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</si>
  <si>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</si>
  <si>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</si>
  <si>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</si>
  <si>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</si>
  <si>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</si>
  <si>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</si>
  <si>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</si>
  <si>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</si>
  <si>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</si>
  <si>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</si>
  <si>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</si>
  <si>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</si>
  <si>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</si>
  <si>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</si>
  <si>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</si>
  <si>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</si>
  <si>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</si>
  <si>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</si>
  <si>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</si>
  <si>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</si>
  <si>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</si>
  <si>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</si>
  <si>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</si>
  <si>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</si>
  <si>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</si>
  <si>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</si>
  <si>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</si>
  <si>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</si>
  <si>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</si>
  <si>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</si>
  <si>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</si>
  <si>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</si>
  <si>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</si>
  <si>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</si>
  <si>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</si>
  <si>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</si>
  <si>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</si>
  <si>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</si>
  <si>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</si>
  <si>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</si>
  <si>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</si>
  <si>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</si>
  <si>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</si>
  <si>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</si>
  <si>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</si>
  <si>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</si>
  <si>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</si>
  <si>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</si>
  <si>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</si>
  <si>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</si>
  <si>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</si>
  <si>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</si>
  <si>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</si>
  <si>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</si>
  <si>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</si>
  <si>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</si>
  <si>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</si>
  <si>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</si>
  <si>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</si>
  <si>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</si>
  <si>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</si>
  <si>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</si>
  <si>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</si>
  <si>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</si>
  <si>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</si>
  <si>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</si>
  <si>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</si>
  <si>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</si>
  <si>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</si>
  <si>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</si>
  <si>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</si>
  <si>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</si>
  <si>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</si>
  <si>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</si>
  <si>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</si>
  <si>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</si>
  <si>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</si>
  <si>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</si>
  <si>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</si>
  <si>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</si>
  <si>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</si>
  <si>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</si>
  <si>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</si>
  <si>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</si>
  <si>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</si>
  <si>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</si>
  <si>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</si>
  <si>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</si>
  <si>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</si>
  <si>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</si>
  <si>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</si>
  <si>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</si>
  <si>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</si>
  <si>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</si>
  <si>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</si>
  <si>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</si>
  <si>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</si>
  <si>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</si>
  <si>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</si>
  <si>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</si>
  <si>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</si>
  <si>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</si>
  <si>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</si>
  <si>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</si>
  <si>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</si>
  <si>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</si>
  <si>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</si>
  <si>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</si>
  <si>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</si>
  <si>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</si>
  <si>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</si>
  <si>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</si>
  <si>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</si>
  <si>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</si>
  <si>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</si>
  <si>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</si>
  <si>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</si>
  <si>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</si>
  <si>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</si>
  <si>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</si>
  <si>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</si>
  <si>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</si>
  <si>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</si>
  <si>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</si>
  <si>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</si>
  <si>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</si>
  <si>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</si>
  <si>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</si>
  <si>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</si>
  <si>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</si>
  <si>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</si>
  <si>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</si>
  <si>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</si>
  <si>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</si>
  <si>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</si>
  <si>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</si>
  <si>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</si>
  <si>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</si>
  <si>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</si>
  <si>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</si>
  <si>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</si>
  <si>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</si>
  <si>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</si>
  <si>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</si>
  <si>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</si>
  <si>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</si>
  <si>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</si>
  <si>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</si>
  <si>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</si>
  <si>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</si>
  <si>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</si>
  <si>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</si>
  <si>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</si>
  <si>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</si>
  <si>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</si>
  <si>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</si>
  <si>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</si>
  <si>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</si>
  <si>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</si>
  <si>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</si>
  <si>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</si>
  <si>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</si>
  <si>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</si>
  <si>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</si>
  <si>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</si>
  <si>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</si>
  <si>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</si>
  <si>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</si>
  <si>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</si>
  <si>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</si>
  <si>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</si>
  <si>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</si>
  <si>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</si>
  <si>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</si>
  <si>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</si>
  <si>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</si>
  <si>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</si>
  <si>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</si>
  <si>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</si>
  <si>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</si>
  <si>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</si>
  <si>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</si>
  <si>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</si>
  <si>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</si>
  <si>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</si>
  <si>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</si>
  <si>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</si>
  <si>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</si>
  <si>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</si>
  <si>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</si>
  <si>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</si>
  <si>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</si>
  <si>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</si>
  <si>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</si>
  <si>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</si>
  <si>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</si>
  <si>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</si>
  <si>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</si>
  <si>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</si>
  <si>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</si>
  <si>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</si>
  <si>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</si>
  <si>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</si>
  <si>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</si>
  <si>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</si>
  <si>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</si>
  <si>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</si>
  <si>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</si>
  <si>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</si>
  <si>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</si>
  <si>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</si>
  <si>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</si>
  <si>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</si>
  <si>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</si>
  <si>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</si>
  <si>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</si>
  <si>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</si>
  <si>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</si>
  <si>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</si>
  <si>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</si>
  <si>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</si>
  <si>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</si>
  <si>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</si>
  <si>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</si>
  <si>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</si>
  <si>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</si>
  <si>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</si>
  <si>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</si>
  <si>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</si>
  <si>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</si>
  <si>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</si>
  <si>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</si>
  <si>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</si>
  <si>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</si>
  <si>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</si>
  <si>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</si>
  <si>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</si>
  <si>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</si>
  <si>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</si>
  <si>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</si>
  <si>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</si>
  <si>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</si>
  <si>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</si>
  <si>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</si>
  <si>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</si>
  <si>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</si>
  <si>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</si>
  <si>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</si>
  <si>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</si>
  <si>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</si>
  <si>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</si>
  <si>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</si>
  <si>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</si>
  <si>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</si>
  <si>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</si>
  <si>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</si>
  <si>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</si>
  <si>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</si>
  <si>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</si>
  <si>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</si>
  <si>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</si>
  <si>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</si>
  <si>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</si>
  <si>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</si>
  <si>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</si>
  <si>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</si>
  <si>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</si>
  <si>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</si>
  <si>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</si>
  <si>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</si>
  <si>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</si>
  <si>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</si>
  <si>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</si>
  <si>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</si>
  <si>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</si>
  <si>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</si>
  <si>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</si>
  <si>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</si>
  <si>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</si>
  <si>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</si>
  <si>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</si>
  <si>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</si>
  <si>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</si>
  <si>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</si>
  <si>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</si>
  <si>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</si>
  <si>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</si>
  <si>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</si>
  <si>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</si>
  <si>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</si>
  <si>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</si>
  <si>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</si>
  <si>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</si>
  <si>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</si>
  <si>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</si>
  <si>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</si>
  <si>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</si>
  <si>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</si>
  <si>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</si>
  <si>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</si>
  <si>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</si>
  <si>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</si>
  <si>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</si>
  <si>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</si>
  <si>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</si>
  <si>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</si>
  <si>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</si>
  <si>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</si>
  <si>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</si>
  <si>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</si>
  <si>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</si>
  <si>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</si>
  <si>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</si>
  <si>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</si>
  <si>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</si>
  <si>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</si>
  <si>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</si>
  <si>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</si>
  <si>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</si>
  <si>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</si>
  <si>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</si>
  <si>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</si>
  <si>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</si>
  <si>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</si>
  <si>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</si>
  <si>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</si>
  <si>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</si>
  <si>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</si>
  <si>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</si>
  <si>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</si>
  <si>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</si>
  <si>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</si>
  <si>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</si>
  <si>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</si>
  <si>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</si>
  <si>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</si>
  <si>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</si>
  <si>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</si>
  <si>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</si>
  <si>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</si>
  <si>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</si>
  <si>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</si>
  <si>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</si>
  <si>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</si>
  <si>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</si>
  <si>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</si>
  <si>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</si>
  <si>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</si>
  <si>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</si>
  <si>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</si>
  <si>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</si>
  <si>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</si>
  <si>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</si>
  <si>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</si>
  <si>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</si>
  <si>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</si>
  <si>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</si>
  <si>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</si>
  <si>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</si>
  <si>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</si>
  <si>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</si>
  <si>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</si>
  <si>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</si>
  <si>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</si>
  <si>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</si>
  <si>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</si>
  <si>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</si>
  <si>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</si>
  <si>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</si>
  <si>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</si>
  <si>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</si>
  <si>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</si>
  <si>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</si>
  <si>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</si>
  <si>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</si>
  <si>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</si>
  <si>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</si>
  <si>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</si>
  <si>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</si>
  <si>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</si>
  <si>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</si>
  <si>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</si>
  <si>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</si>
  <si>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</si>
  <si>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</si>
  <si>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</si>
  <si>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</si>
  <si>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</si>
  <si>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</si>
  <si>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</si>
  <si>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</si>
  <si>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</si>
  <si>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</si>
  <si>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</si>
  <si>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</si>
  <si>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</si>
  <si>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</si>
  <si>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</si>
  <si>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</si>
  <si>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</si>
  <si>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</si>
  <si>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</si>
  <si>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</si>
  <si>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</si>
  <si>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</si>
  <si>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</si>
  <si>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</si>
  <si>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</si>
  <si>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</si>
  <si>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</si>
  <si>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</si>
  <si>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</si>
  <si>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</si>
  <si>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</si>
  <si>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</si>
  <si>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</si>
  <si>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</si>
  <si>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</si>
  <si>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</si>
  <si>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</si>
  <si>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</si>
  <si>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</si>
  <si>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</si>
  <si>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</si>
  <si>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</si>
  <si>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</si>
  <si>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</si>
  <si>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</si>
  <si>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</si>
  <si>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</si>
  <si>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</si>
  <si>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</si>
  <si>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</si>
  <si>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</si>
  <si>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</si>
  <si>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</si>
  <si>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</si>
  <si>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</si>
  <si>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</si>
  <si>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</si>
  <si>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</si>
  <si>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</si>
  <si>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</si>
  <si>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</si>
  <si>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</si>
  <si>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</si>
  <si>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</si>
  <si>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</si>
  <si>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</si>
  <si>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</si>
  <si>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</si>
  <si>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</si>
  <si>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</si>
  <si>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</si>
  <si>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</si>
  <si>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</si>
  <si>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</si>
  <si>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</si>
  <si>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</si>
  <si>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</si>
  <si>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</si>
  <si>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</si>
  <si>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</si>
  <si>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</si>
  <si>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</si>
  <si>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</si>
  <si>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</si>
  <si>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</si>
  <si>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</si>
  <si>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</si>
  <si>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</si>
  <si>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</si>
  <si>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</si>
  <si>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</si>
  <si>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</si>
  <si>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</si>
  <si>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</si>
  <si>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</si>
  <si>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</si>
  <si>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</si>
  <si>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</si>
  <si>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</si>
  <si>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</si>
  <si>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</si>
  <si>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</si>
  <si>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</si>
  <si>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</si>
  <si>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</si>
  <si>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</si>
  <si>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</si>
  <si>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</si>
  <si>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</si>
  <si>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</si>
  <si>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</si>
  <si>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</si>
  <si>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</si>
  <si>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</si>
  <si>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</si>
  <si>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</si>
  <si>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</si>
  <si>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</si>
  <si>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</si>
  <si>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</si>
  <si>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</si>
  <si>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</si>
  <si>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</si>
  <si>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</si>
  <si>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</si>
  <si>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</si>
  <si>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</si>
  <si>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</si>
  <si>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</si>
  <si>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</si>
  <si>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</si>
  <si>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</si>
  <si>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</si>
  <si>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</si>
  <si>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</si>
  <si>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</si>
  <si>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</si>
  <si>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</si>
  <si>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</si>
  <si>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</si>
  <si>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</si>
  <si>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</si>
  <si>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</si>
  <si>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</si>
  <si>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</si>
  <si>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</si>
  <si>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</si>
  <si>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</si>
  <si>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</si>
  <si>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</si>
  <si>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</si>
  <si>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</si>
  <si>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</si>
  <si>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</si>
  <si>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</si>
  <si>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</si>
  <si>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</si>
  <si>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</si>
  <si>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</si>
  <si>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</si>
  <si>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</si>
  <si>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</si>
  <si>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</si>
  <si>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</si>
  <si>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</si>
  <si>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</si>
  <si>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</si>
  <si>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</si>
  <si>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</si>
  <si>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</si>
  <si>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</si>
  <si>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</si>
  <si>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</si>
  <si>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</si>
  <si>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</si>
  <si>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</si>
  <si>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</si>
  <si>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</si>
  <si>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</si>
  <si>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</si>
  <si>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</si>
  <si>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</si>
  <si>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</si>
  <si>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</si>
  <si>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</si>
  <si>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</si>
  <si>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</si>
  <si>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</si>
  <si>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</si>
  <si>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</si>
  <si>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</si>
  <si>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</si>
  <si>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</si>
  <si>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</si>
  <si>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</si>
  <si>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</si>
  <si>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</si>
  <si>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</si>
  <si>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</si>
  <si>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</si>
  <si>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</si>
  <si>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</si>
  <si>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</si>
  <si>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</si>
  <si>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</si>
  <si>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</si>
  <si>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</si>
  <si>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</si>
  <si>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</si>
  <si>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</si>
  <si>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</si>
  <si>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</si>
  <si>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</si>
  <si>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</si>
  <si>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</si>
  <si>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</si>
  <si>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</si>
  <si>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</si>
  <si>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</si>
  <si>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</si>
  <si>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</si>
  <si>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</si>
  <si>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</si>
  <si>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</si>
  <si>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</si>
  <si>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</si>
  <si>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</si>
  <si>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</si>
  <si>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</si>
  <si>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</si>
  <si>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</si>
  <si>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</si>
  <si>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</si>
  <si>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</si>
  <si>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</si>
  <si>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</si>
  <si>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</si>
  <si>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</si>
  <si>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</si>
  <si>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</si>
  <si>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</si>
  <si>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</si>
  <si>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</si>
  <si>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</si>
  <si>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</si>
  <si>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</si>
  <si>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</si>
  <si>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</si>
  <si>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</si>
  <si>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</si>
  <si>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</si>
  <si>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</si>
  <si>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</si>
  <si>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</si>
  <si>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</si>
  <si>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</si>
  <si>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</si>
  <si>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</si>
  <si>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</si>
  <si>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</si>
  <si>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</si>
  <si>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</si>
  <si>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</si>
  <si>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</si>
  <si>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</si>
  <si>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</si>
  <si>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</si>
  <si>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</si>
  <si>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</si>
  <si>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</si>
  <si>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</si>
  <si>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</si>
  <si>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</si>
  <si>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</si>
  <si>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</si>
  <si>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</si>
  <si>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</si>
  <si>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</si>
  <si>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</si>
  <si>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</si>
  <si>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</si>
  <si>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</si>
  <si>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</si>
  <si>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</si>
  <si>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</si>
  <si>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</si>
  <si>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</si>
  <si>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</si>
  <si>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</si>
  <si>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</si>
  <si>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</si>
  <si>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</si>
  <si>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</si>
  <si>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</si>
  <si>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</si>
  <si>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</si>
  <si>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</si>
  <si>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</si>
  <si>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</si>
  <si>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</si>
  <si>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</si>
  <si>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</si>
  <si>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</si>
  <si>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</si>
  <si>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</si>
  <si>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</si>
  <si>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</si>
  <si>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</si>
  <si>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</si>
  <si>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</si>
  <si>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</si>
  <si>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</si>
  <si>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</si>
  <si>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</si>
  <si>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</si>
  <si>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</si>
  <si>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</si>
  <si>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</si>
  <si>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</si>
  <si>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</si>
  <si>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</si>
  <si>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</si>
  <si>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</si>
  <si>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200以下</t>
    <phoneticPr fontId="3" type="noConversion"/>
  </si>
  <si>
    <t>100以下</t>
    <phoneticPr fontId="3" type="noConversion"/>
  </si>
  <si>
    <t>100以下</t>
    <phoneticPr fontId="3" type="noConversion"/>
  </si>
  <si>
    <t>100以下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</si>
</sst>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2" customWidth="1"/>
    <col min="2" max="2" width="81" style="1579" customWidth="1"/>
    <col min="3" max="16384" width="9" style="1577"/>
  </cols>
  <sheetData>
    <row r="1" spans="1:2" s="1565" customFormat="1" ht="16.5" thickBot="1">
      <c r="A1" s="1564" t="s">
        <v>1214</v>
      </c>
      <c r="B1" s="1563" t="s">
        <v>1293</v>
      </c>
    </row>
    <row r="2" spans="1:2" s="1568" customFormat="1" ht="15"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5" thickBot="1">
      <c r="A5" s="1572" t="s">
        <v>1218</v>
      </c>
      <c r="B5" s="1573" t="str">
        <f>'预评函-封皮'!B49</f>
        <v>康正预评字号</v>
      </c>
    </row>
    <row r="6" spans="1:2" s="1568" customFormat="1" ht="15"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2020年5月25日（评估专业人员实地查勘之日）</v>
      </c>
    </row>
    <row r="13" spans="1:2" s="1571" customFormat="1">
      <c r="A13" s="1569" t="s">
        <v>1222</v>
      </c>
      <c r="B13" s="1570" t="str">
        <f>'预评函-1'!A18</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5" thickBot="1">
      <c r="A18" s="1572" t="s">
        <v>1227</v>
      </c>
      <c r="B18" s="1573" t="str">
        <f>'预评函-1'!A24</f>
        <v>本次评估采用的主估价方法为成本法和假设开发法。</v>
      </c>
    </row>
    <row r="19" spans="1:2" s="1568" customFormat="1" ht="15"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63704</v>
      </c>
    </row>
    <row r="21" spans="1:2" s="1571" customFormat="1">
      <c r="A21" s="1569" t="s">
        <v>1230</v>
      </c>
      <c r="B21" s="1570">
        <f ca="1">'预评函-2'!D7</f>
        <v>25675</v>
      </c>
    </row>
    <row r="22" spans="1:2" s="1571" customFormat="1">
      <c r="A22" s="1569" t="s">
        <v>1231</v>
      </c>
      <c r="B22" s="1570" t="str">
        <f ca="1">'预评函-2'!D6</f>
        <v>陆亿叁仟柒佰零肆万元整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63704</v>
      </c>
    </row>
    <row r="31" spans="1:2" s="1571" customFormat="1">
      <c r="A31" s="1569" t="s">
        <v>1269</v>
      </c>
      <c r="B31" s="1570">
        <f ca="1">'预评函-2'!D15</f>
        <v>25675</v>
      </c>
    </row>
    <row r="32" spans="1:2" s="1571" customFormat="1">
      <c r="A32" s="1569" t="s">
        <v>1236</v>
      </c>
      <c r="B32" s="1570" t="str">
        <f ca="1">'预评函-2'!D14</f>
        <v>陆亿叁仟柒佰零肆万元整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c r="A42" s="1569" t="s">
        <v>1283</v>
      </c>
      <c r="B42" s="1570" t="str">
        <f>'预评函-3'!B2</f>
        <v>建筑面积</v>
      </c>
    </row>
    <row r="43" spans="1:2" s="1571" customFormat="1">
      <c r="A43" s="1569" t="s">
        <v>1284</v>
      </c>
      <c r="B43" s="1570">
        <f>'预评函-3'!B4</f>
        <v>24811.999999999996</v>
      </c>
    </row>
    <row r="44" spans="1:2" s="1571" customFormat="1">
      <c r="A44" s="1569" t="s">
        <v>1268</v>
      </c>
      <c r="B44" s="1570" t="str">
        <f>'预评函-3'!C2</f>
        <v>(分摊)土地面积</v>
      </c>
    </row>
    <row r="45" spans="1:2" s="1571" customFormat="1">
      <c r="A45" s="1569" t="s">
        <v>1240</v>
      </c>
      <c r="B45" s="1570">
        <f>'预评函-3'!C4</f>
        <v>11141.12</v>
      </c>
    </row>
    <row r="46" spans="1:2" s="1571" customFormat="1">
      <c r="A46" s="1569" t="s">
        <v>1266</v>
      </c>
      <c r="B46" s="1570" t="str">
        <f>'预评函-3'!D2</f>
        <v>出让国有建设用地使用权价值</v>
      </c>
    </row>
    <row r="47" spans="1:2" s="1571" customFormat="1">
      <c r="A47" s="1569" t="s">
        <v>1241</v>
      </c>
      <c r="B47" s="1570">
        <f ca="1">'预评函-3'!D4</f>
        <v>57397</v>
      </c>
    </row>
    <row r="48" spans="1:2" s="1571" customFormat="1">
      <c r="A48" s="1569" t="s">
        <v>1242</v>
      </c>
      <c r="B48" s="1570">
        <f ca="1">'预评函-3'!E4</f>
        <v>23133</v>
      </c>
    </row>
    <row r="49" spans="1:2" s="1571" customFormat="1">
      <c r="A49" s="1569" t="s">
        <v>1243</v>
      </c>
      <c r="B49" s="1570" t="str">
        <f ca="1">'预评函-3'!D5</f>
        <v>伍亿柒仟叁佰玖拾柒万元整</v>
      </c>
    </row>
    <row r="50" spans="1:2" s="1571" customFormat="1">
      <c r="A50" s="1569" t="s">
        <v>1267</v>
      </c>
      <c r="B50" s="1570" t="str">
        <f>'预评函-3'!F2</f>
        <v>在建建筑物价值</v>
      </c>
    </row>
    <row r="51" spans="1:2" s="1571" customFormat="1">
      <c r="A51" s="1569" t="s">
        <v>1244</v>
      </c>
      <c r="B51" s="1570">
        <f ca="1">'预评函-3'!F4</f>
        <v>6307</v>
      </c>
    </row>
    <row r="52" spans="1:2" s="1571" customFormat="1">
      <c r="A52" s="1569" t="s">
        <v>1245</v>
      </c>
      <c r="B52" s="1570">
        <f ca="1">'预评函-3'!G4</f>
        <v>2542</v>
      </c>
    </row>
    <row r="53" spans="1:2" s="1571" customFormat="1">
      <c r="A53" s="1569" t="s">
        <v>1273</v>
      </c>
      <c r="B53" s="1570" t="str">
        <f ca="1">'预评函-3'!F5</f>
        <v>陆仟叁佰零柒万元整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5" thickBot="1">
      <c r="A57" s="1572" t="s">
        <v>1292</v>
      </c>
      <c r="B57" s="1573" t="str">
        <f>'预评函-3'!A6</f>
        <v>估价师知悉的法定优先受偿款</v>
      </c>
    </row>
    <row r="58" spans="1:2" s="1568" customFormat="1" ht="15"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5" thickBot="1">
      <c r="A69" s="1572" t="s">
        <v>1254</v>
      </c>
      <c r="B69" s="1574">
        <f>'预评函-4'!C31</f>
        <v>42551</v>
      </c>
    </row>
    <row r="70" spans="1:2" ht="15"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5" thickBot="1">
      <c r="A73" s="1572" t="s">
        <v>1258</v>
      </c>
      <c r="B73" s="1573">
        <f ca="1">'预评函-4'!B5</f>
        <v>1120070131</v>
      </c>
    </row>
    <row r="74" spans="1:2" ht="15"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2001" customWidth="1"/>
    <col min="2" max="2" width="23.25" style="1952" customWidth="1"/>
    <col min="3" max="3" width="13" style="1996" customWidth="1"/>
    <col min="4" max="4" width="5.75" style="1993" customWidth="1"/>
    <col min="5" max="5" width="7.125" style="1993" customWidth="1"/>
    <col min="6" max="6" width="10.625" style="1993" customWidth="1"/>
    <col min="7" max="7" width="7.5" style="1993" customWidth="1"/>
    <col min="8" max="8" width="9" style="1996" customWidth="1"/>
    <col min="9" max="9" width="11.625" style="1996" customWidth="1"/>
    <col min="10" max="10" width="9" style="1996" customWidth="1"/>
    <col min="11" max="19" width="9" style="1993" customWidth="1"/>
    <col min="20" max="23" width="9" style="1996" customWidth="1"/>
    <col min="24" max="24" width="21.125" style="1952" customWidth="1"/>
    <col min="25" max="16384" width="9" style="1952"/>
  </cols>
  <sheetData>
    <row r="1" spans="1:23" s="1990" customFormat="1" ht="27">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02"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999" t="s">
        <v>860</v>
      </c>
      <c r="C54" s="1996" t="s">
        <v>1276</v>
      </c>
    </row>
    <row r="55" spans="1:4">
      <c r="A55" s="3102"/>
      <c r="B55" s="1999" t="s">
        <v>861</v>
      </c>
      <c r="C55" s="1996" t="s">
        <v>1277</v>
      </c>
    </row>
    <row r="56" spans="1:4">
      <c r="A56" s="3102"/>
      <c r="B56" s="1999" t="s">
        <v>862</v>
      </c>
      <c r="C56" s="1996" t="s">
        <v>1281</v>
      </c>
    </row>
    <row r="57" spans="1:4">
      <c r="A57" s="3102"/>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K10" sqref="K10"/>
    </sheetView>
  </sheetViews>
  <sheetFormatPr defaultColWidth="10" defaultRowHeight="18" customHeight="1"/>
  <cols>
    <col min="1" max="1" width="14.875" style="2009" customWidth="1"/>
    <col min="2" max="2" width="14.5" style="2009" customWidth="1"/>
    <col min="3" max="3" width="11.5" style="2009" customWidth="1"/>
    <col min="4" max="4" width="15.375" style="2009" customWidth="1"/>
    <col min="5" max="6" width="10" style="2009" customWidth="1"/>
    <col min="7" max="7" width="10.75" style="2009" customWidth="1"/>
    <col min="8" max="8" width="10" style="2009" customWidth="1"/>
    <col min="9" max="9" width="11.12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11"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12"/>
      <c r="D1" s="3112"/>
      <c r="E1" s="3112"/>
      <c r="F1" s="3112"/>
      <c r="G1" s="3112"/>
      <c r="H1" s="3112"/>
      <c r="I1" s="3113"/>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43976</v>
      </c>
      <c r="C3" s="2013" t="s">
        <v>1773</v>
      </c>
      <c r="D3" s="2930">
        <f>B3</f>
        <v>43976</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14"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15"/>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3289</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3288</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64.489999999999995</v>
      </c>
      <c r="E15" s="1027">
        <f>IF(B12="出让",IF(E13="","",ROUNDDOWN(MIN((E13-$D$3)/365,E14),2)),E14)</f>
        <v>34.46</v>
      </c>
      <c r="F15" s="1027" t="str">
        <f>IF(B12="出让",IF(F13="","",ROUNDDOWN(MIN((F13-$D$3)/365,F14),2)),F14)</f>
        <v/>
      </c>
      <c r="G15" s="1027">
        <f>IF(B12="出让",IF(G13="","",ROUNDDOWN(MIN((G13-$D$3)/365,G14),2)),G14)</f>
        <v>44.47</v>
      </c>
      <c r="H15" s="1027">
        <f>IF(B12="出让",IF(H13="","",ROUNDDOWN(MIN((H13-$D$3)/365,H14),2)),H14)</f>
        <v>44.47</v>
      </c>
      <c r="I15" s="1027" t="str">
        <f>IF(B12="出让",IF(I13="","",ROUNDDOWN(MIN((I13-$D$3)/365,I14),2)),I14)</f>
        <v/>
      </c>
      <c r="J15" s="2018"/>
      <c r="K15" s="2053"/>
      <c r="L15" s="2054"/>
      <c r="M15" s="2054"/>
      <c r="N15" s="2055"/>
      <c r="O15" s="2054"/>
      <c r="P15" s="2055"/>
      <c r="Q15" s="2006"/>
      <c r="R15" s="2006"/>
    </row>
    <row r="16" spans="1:19" ht="30.75" customHeight="1">
      <c r="A16" s="2038" t="s">
        <v>1795</v>
      </c>
      <c r="B16" s="3121"/>
      <c r="C16" s="3122"/>
      <c r="D16" s="3123"/>
      <c r="E16" s="2056" t="s">
        <v>1796</v>
      </c>
      <c r="F16" s="3124" t="s">
        <v>3052</v>
      </c>
      <c r="G16" s="3125"/>
      <c r="H16" s="3125"/>
      <c r="I16" s="3126"/>
      <c r="J16" s="2006"/>
      <c r="K16" s="2053"/>
      <c r="L16" s="2054"/>
      <c r="M16" s="2054"/>
      <c r="N16" s="2055"/>
      <c r="O16" s="2054"/>
      <c r="P16" s="2055"/>
      <c r="Q16" s="2006"/>
      <c r="R16" s="2006"/>
    </row>
    <row r="17" spans="1:22" ht="18" customHeight="1">
      <c r="A17" s="2057" t="s">
        <v>1797</v>
      </c>
      <c r="B17" s="2012" t="s">
        <v>1798</v>
      </c>
      <c r="C17" s="1032">
        <f>'数据-汇总表'!E3</f>
        <v>24811.999999999996</v>
      </c>
      <c r="D17" s="2058" t="s">
        <v>1799</v>
      </c>
      <c r="E17" s="3127" t="s">
        <v>3053</v>
      </c>
      <c r="F17" s="3128"/>
      <c r="G17" s="3128"/>
      <c r="H17" s="3128"/>
      <c r="I17" s="3129"/>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11141.12</v>
      </c>
      <c r="D18" s="2061" t="s">
        <v>1799</v>
      </c>
      <c r="E18" s="3127" t="s">
        <v>3054</v>
      </c>
      <c r="F18" s="3128"/>
      <c r="G18" s="3128"/>
      <c r="H18" s="3128"/>
      <c r="I18" s="3129"/>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17" t="s">
        <v>1806</v>
      </c>
      <c r="C20" s="3118"/>
      <c r="D20" s="3119" t="s">
        <v>1807</v>
      </c>
      <c r="E20" s="3120"/>
      <c r="F20" s="2068" t="s">
        <v>1808</v>
      </c>
      <c r="G20" s="2018"/>
      <c r="H20" s="2018"/>
      <c r="I20" s="2018"/>
      <c r="J20" s="2018"/>
      <c r="K20" s="3116"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16"/>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16"/>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04"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04"/>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04"/>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05"/>
      <c r="B30" s="2012" t="s">
        <v>1825</v>
      </c>
      <c r="C30" s="3106"/>
      <c r="D30" s="3107"/>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08"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09"/>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09"/>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03" t="s">
        <v>1835</v>
      </c>
      <c r="T34" s="2105" t="str">
        <f>NUMBERSTRING(7-K34,1)&amp;"通"</f>
        <v>七通</v>
      </c>
      <c r="U34" s="2006"/>
      <c r="V34" s="2006"/>
    </row>
    <row r="35" spans="1:22" ht="18" customHeight="1">
      <c r="A35" s="2106"/>
      <c r="B35" s="3110" t="s">
        <v>1836</v>
      </c>
      <c r="C35" s="3110"/>
      <c r="D35" s="3110"/>
      <c r="E35" s="3110"/>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63"/>
  <sheetViews>
    <sheetView zoomScale="115" zoomScaleNormal="115" workbookViewId="0">
      <pane xSplit="5" ySplit="1" topLeftCell="I46" activePane="bottomRight" state="frozen"/>
      <selection pane="topRight" activeCell="F1" sqref="F1"/>
      <selection pane="bottomLeft" activeCell="A4" sqref="A4"/>
      <selection pane="bottomRight" activeCell="O57" sqref="O57"/>
    </sheetView>
  </sheetViews>
  <sheetFormatPr defaultColWidth="8.875" defaultRowHeight="13.5"/>
  <cols>
    <col min="1" max="2" width="7" style="2967" customWidth="1"/>
    <col min="3" max="3" width="15" style="2967" customWidth="1"/>
    <col min="4" max="4" width="12.625" style="2967" customWidth="1"/>
    <col min="5" max="5" width="18.625" style="2967" bestFit="1" customWidth="1"/>
    <col min="6" max="6" width="10.875" style="2967" customWidth="1"/>
    <col min="7" max="7" width="11.25" style="2967" customWidth="1"/>
    <col min="8" max="8" width="11.875" style="2967" bestFit="1" customWidth="1"/>
    <col min="9" max="9" width="10.5" style="2967" customWidth="1"/>
    <col min="10" max="10" width="10.875" style="2967" customWidth="1"/>
    <col min="11" max="11" width="10.75" style="2967" bestFit="1" customWidth="1"/>
    <col min="12" max="13" width="8.875" style="2967"/>
    <col min="14" max="14" width="11.875" style="2967" bestFit="1" customWidth="1"/>
    <col min="15" max="15" width="10.75" style="2967" bestFit="1" customWidth="1"/>
    <col min="16" max="16" width="11" style="2967" bestFit="1" customWidth="1"/>
    <col min="17" max="17" width="10.75" style="2967" bestFit="1" customWidth="1"/>
    <col min="18" max="18" width="11.375" style="2967" bestFit="1" customWidth="1"/>
    <col min="19" max="19" width="10.75" style="2967" bestFit="1" customWidth="1"/>
    <col min="20" max="21" width="8.875" style="2967"/>
    <col min="22" max="22" width="10.75" style="2967" bestFit="1" customWidth="1"/>
    <col min="23" max="23" width="11.25" style="2967" customWidth="1"/>
    <col min="24" max="16384" width="8.875" style="2967"/>
  </cols>
  <sheetData>
    <row r="2" spans="1:25" s="2941" customFormat="1" ht="12" customHeight="1">
      <c r="A2" s="3140" t="s">
        <v>3065</v>
      </c>
      <c r="B2" s="3161" t="s">
        <v>3066</v>
      </c>
      <c r="C2" s="3140" t="s">
        <v>3067</v>
      </c>
      <c r="D2" s="3161" t="s">
        <v>3068</v>
      </c>
      <c r="E2" s="3140" t="s">
        <v>3069</v>
      </c>
      <c r="F2" s="3142" t="s">
        <v>1107</v>
      </c>
      <c r="G2" s="3143"/>
      <c r="H2" s="3143"/>
      <c r="I2" s="3143"/>
      <c r="J2" s="3143"/>
      <c r="K2" s="3143"/>
      <c r="L2" s="3143"/>
      <c r="M2" s="3143"/>
      <c r="N2" s="3143"/>
      <c r="O2" s="3143"/>
      <c r="P2" s="3143"/>
      <c r="Q2" s="3143"/>
      <c r="R2" s="3143"/>
      <c r="S2" s="3143"/>
      <c r="T2" s="3143"/>
      <c r="U2" s="3143"/>
      <c r="V2" s="3143"/>
    </row>
    <row r="3" spans="1:25" s="2941" customFormat="1" ht="11.25" customHeight="1">
      <c r="A3" s="3141"/>
      <c r="B3" s="3161"/>
      <c r="C3" s="3141"/>
      <c r="D3" s="3161"/>
      <c r="E3" s="3141"/>
      <c r="F3" s="3144" t="s">
        <v>3070</v>
      </c>
      <c r="G3" s="3146" t="s">
        <v>3071</v>
      </c>
      <c r="H3" s="3147"/>
      <c r="I3" s="3147"/>
      <c r="J3" s="3147"/>
      <c r="K3" s="3147"/>
      <c r="L3" s="3147"/>
      <c r="M3" s="3147"/>
      <c r="N3" s="3148" t="s">
        <v>603</v>
      </c>
      <c r="O3" s="3148"/>
      <c r="P3" s="3148"/>
      <c r="Q3" s="3148"/>
      <c r="R3" s="3148"/>
      <c r="S3" s="3148"/>
      <c r="T3" s="3148"/>
      <c r="U3" s="3148"/>
      <c r="V3" s="3148"/>
      <c r="Y3" s="2941" t="s">
        <v>746</v>
      </c>
    </row>
    <row r="4" spans="1:25" s="2941" customFormat="1" ht="20.25" customHeight="1">
      <c r="A4" s="3162"/>
      <c r="B4" s="3140"/>
      <c r="C4" s="3141"/>
      <c r="D4" s="3140"/>
      <c r="E4" s="3141"/>
      <c r="F4" s="3145"/>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154" t="s">
        <v>3084</v>
      </c>
      <c r="B5" s="3157" t="s">
        <v>3085</v>
      </c>
      <c r="C5" s="3158" t="s">
        <v>3086</v>
      </c>
      <c r="D5" s="3159">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155"/>
      <c r="B6" s="3157"/>
      <c r="C6" s="3158"/>
      <c r="D6" s="3160"/>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155"/>
      <c r="B7" s="3157"/>
      <c r="C7" s="3158"/>
      <c r="D7" s="3160"/>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155"/>
      <c r="B8" s="3157"/>
      <c r="C8" s="3158"/>
      <c r="D8" s="3160"/>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155"/>
      <c r="B9" s="3157"/>
      <c r="C9" s="3158"/>
      <c r="D9" s="3160"/>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155"/>
      <c r="B10" s="3157"/>
      <c r="C10" s="3158"/>
      <c r="D10" s="3160"/>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155"/>
      <c r="B11" s="3157"/>
      <c r="C11" s="3158"/>
      <c r="D11" s="3160"/>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155"/>
      <c r="B12" s="3157"/>
      <c r="C12" s="3158"/>
      <c r="D12" s="3160"/>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155"/>
      <c r="B13" s="3157"/>
      <c r="C13" s="3158"/>
      <c r="D13" s="3160"/>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155"/>
      <c r="B14" s="3157"/>
      <c r="C14" s="3158"/>
      <c r="D14" s="3160"/>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155"/>
      <c r="B15" s="3157"/>
      <c r="C15" s="3158"/>
      <c r="D15" s="3160"/>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155"/>
      <c r="B16" s="3157"/>
      <c r="C16" s="3158"/>
      <c r="D16" s="3160"/>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155"/>
      <c r="B17" s="3157"/>
      <c r="C17" s="3158"/>
      <c r="D17" s="3160"/>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155"/>
      <c r="B18" s="3157"/>
      <c r="C18" s="3158"/>
      <c r="D18" s="3160"/>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155"/>
      <c r="B19" s="3157"/>
      <c r="C19" s="3158"/>
      <c r="D19" s="3160"/>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155"/>
      <c r="B20" s="3157"/>
      <c r="C20" s="3158"/>
      <c r="D20" s="3160"/>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155"/>
      <c r="B21" s="3157"/>
      <c r="C21" s="3158"/>
      <c r="D21" s="3160"/>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155"/>
      <c r="B22" s="3157"/>
      <c r="C22" s="3158"/>
      <c r="D22" s="3160"/>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155"/>
      <c r="B23" s="3157"/>
      <c r="C23" s="3158"/>
      <c r="D23" s="3160"/>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155"/>
      <c r="B24" s="3157"/>
      <c r="C24" s="3158"/>
      <c r="D24" s="3160"/>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155"/>
      <c r="B25" s="3157"/>
      <c r="C25" s="3158"/>
      <c r="D25" s="3160"/>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156"/>
      <c r="B26" s="3157"/>
      <c r="C26" s="3158"/>
      <c r="D26" s="3160"/>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161" t="s">
        <v>3108</v>
      </c>
      <c r="B28" s="3161" t="s">
        <v>3066</v>
      </c>
      <c r="C28" s="3140" t="s">
        <v>3067</v>
      </c>
      <c r="D28" s="3161" t="s">
        <v>3068</v>
      </c>
      <c r="E28" s="3140" t="s">
        <v>3069</v>
      </c>
      <c r="F28" s="3142" t="s">
        <v>1107</v>
      </c>
      <c r="G28" s="3143"/>
      <c r="H28" s="3143"/>
      <c r="I28" s="3143"/>
      <c r="J28" s="3143"/>
      <c r="K28" s="3143"/>
      <c r="L28" s="3143"/>
      <c r="M28" s="3143"/>
      <c r="N28" s="3143"/>
      <c r="O28" s="3143"/>
      <c r="P28" s="3143"/>
      <c r="Q28" s="3143"/>
      <c r="R28" s="3143"/>
      <c r="S28" s="3143"/>
      <c r="T28" s="3143"/>
      <c r="U28" s="3143"/>
      <c r="V28" s="3143"/>
    </row>
    <row r="29" spans="1:24" s="2941" customFormat="1" ht="11.25" customHeight="1">
      <c r="A29" s="3161"/>
      <c r="B29" s="3161"/>
      <c r="C29" s="3141"/>
      <c r="D29" s="3161"/>
      <c r="E29" s="3141"/>
      <c r="F29" s="3144" t="s">
        <v>3070</v>
      </c>
      <c r="G29" s="3146" t="s">
        <v>3071</v>
      </c>
      <c r="H29" s="3147"/>
      <c r="I29" s="3147"/>
      <c r="J29" s="3147"/>
      <c r="K29" s="3147"/>
      <c r="L29" s="3147"/>
      <c r="M29" s="3147"/>
      <c r="N29" s="3148" t="s">
        <v>603</v>
      </c>
      <c r="O29" s="3148"/>
      <c r="P29" s="3148"/>
      <c r="Q29" s="3148"/>
      <c r="R29" s="3148"/>
      <c r="S29" s="3148"/>
      <c r="T29" s="3148"/>
      <c r="U29" s="3148"/>
      <c r="V29" s="3148"/>
    </row>
    <row r="30" spans="1:24" s="2941" customFormat="1" ht="20.25" customHeight="1">
      <c r="A30" s="3140"/>
      <c r="B30" s="3140"/>
      <c r="C30" s="3141"/>
      <c r="D30" s="3140"/>
      <c r="E30" s="3141"/>
      <c r="F30" s="3145"/>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149" t="s">
        <v>3113</v>
      </c>
      <c r="B31" s="3152" t="s">
        <v>3114</v>
      </c>
      <c r="C31" s="3153" t="s">
        <v>3115</v>
      </c>
      <c r="D31" s="3153">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150"/>
      <c r="B32" s="3152"/>
      <c r="C32" s="3153"/>
      <c r="D32" s="3153"/>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150"/>
      <c r="B33" s="3152"/>
      <c r="C33" s="3153"/>
      <c r="D33" s="3153"/>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150"/>
      <c r="B34" s="3152"/>
      <c r="C34" s="3153"/>
      <c r="D34" s="3153"/>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150"/>
      <c r="B35" s="3152"/>
      <c r="C35" s="3153"/>
      <c r="D35" s="3153"/>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150"/>
      <c r="B36" s="3152"/>
      <c r="C36" s="3153"/>
      <c r="D36" s="3153"/>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150"/>
      <c r="B37" s="3152"/>
      <c r="C37" s="3153"/>
      <c r="D37" s="3153"/>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150"/>
      <c r="B38" s="3152"/>
      <c r="C38" s="3153"/>
      <c r="D38" s="3153"/>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150"/>
      <c r="B39" s="3152"/>
      <c r="C39" s="3153"/>
      <c r="D39" s="3153"/>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150"/>
      <c r="B40" s="3152"/>
      <c r="C40" s="3153"/>
      <c r="D40" s="3153"/>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150"/>
      <c r="B41" s="3152"/>
      <c r="C41" s="3153"/>
      <c r="D41" s="3153"/>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150"/>
      <c r="B42" s="3152"/>
      <c r="C42" s="3153"/>
      <c r="D42" s="3153"/>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150"/>
      <c r="B43" s="3152"/>
      <c r="C43" s="3153"/>
      <c r="D43" s="3153"/>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151"/>
      <c r="B44" s="3152"/>
      <c r="C44" s="3153"/>
      <c r="D44" s="3153"/>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4.25" thickBot="1"/>
    <row r="48" spans="1:24" ht="14.25" thickBot="1">
      <c r="C48" s="3132" t="s">
        <v>3127</v>
      </c>
      <c r="D48" s="3135" t="s">
        <v>3128</v>
      </c>
      <c r="E48" s="3136"/>
      <c r="F48" s="3136"/>
      <c r="G48" s="3136"/>
      <c r="H48" s="3136"/>
      <c r="I48" s="3136"/>
      <c r="J48" s="3136"/>
      <c r="K48" s="3136"/>
      <c r="L48" s="3136"/>
      <c r="M48" s="3137"/>
    </row>
    <row r="49" spans="3:19" ht="14.25" thickBot="1">
      <c r="C49" s="3133"/>
      <c r="D49" s="3130" t="s">
        <v>37</v>
      </c>
      <c r="E49" s="3135" t="s">
        <v>38</v>
      </c>
      <c r="F49" s="3136"/>
      <c r="G49" s="3136"/>
      <c r="H49" s="3136"/>
      <c r="I49" s="3136"/>
      <c r="J49" s="3137"/>
      <c r="K49" s="3139" t="s">
        <v>39</v>
      </c>
      <c r="L49" s="3136"/>
      <c r="M49" s="3137"/>
    </row>
    <row r="50" spans="3:19">
      <c r="C50" s="3133"/>
      <c r="D50" s="3138"/>
      <c r="E50" s="3130" t="s">
        <v>40</v>
      </c>
      <c r="F50" s="3130" t="s">
        <v>3129</v>
      </c>
      <c r="G50" s="3130" t="s">
        <v>3130</v>
      </c>
      <c r="H50" s="3130" t="s">
        <v>1372</v>
      </c>
      <c r="I50" s="3130" t="s">
        <v>3131</v>
      </c>
      <c r="J50" s="3130" t="s">
        <v>48</v>
      </c>
      <c r="K50" s="3130" t="s">
        <v>40</v>
      </c>
      <c r="L50" s="3130" t="s">
        <v>3132</v>
      </c>
      <c r="M50" s="2969" t="s">
        <v>3133</v>
      </c>
    </row>
    <row r="51" spans="3:19" ht="14.25" thickBot="1">
      <c r="C51" s="3134"/>
      <c r="D51" s="3131"/>
      <c r="E51" s="3131"/>
      <c r="F51" s="3131" t="s">
        <v>3134</v>
      </c>
      <c r="G51" s="3131"/>
      <c r="H51" s="3131"/>
      <c r="I51" s="3131"/>
      <c r="J51" s="3131"/>
      <c r="K51" s="3131"/>
      <c r="L51" s="3131"/>
      <c r="M51" s="2970" t="s">
        <v>3135</v>
      </c>
      <c r="N51" s="2957" t="s">
        <v>3112</v>
      </c>
      <c r="P51" s="3053"/>
      <c r="Q51" s="3053" t="s">
        <v>3360</v>
      </c>
      <c r="R51" s="3053" t="s">
        <v>3361</v>
      </c>
      <c r="S51" s="3053"/>
    </row>
    <row r="52" spans="3:19" ht="14.2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0.75</v>
      </c>
      <c r="P52" s="3053" t="str">
        <f>C52</f>
        <v>C11-01#商业</v>
      </c>
      <c r="Q52" s="3053">
        <f>H52</f>
        <v>1506.62</v>
      </c>
      <c r="R52" s="3053">
        <v>3</v>
      </c>
      <c r="S52" s="3053"/>
    </row>
    <row r="53" spans="3:19" ht="14.2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f>N52</f>
        <v>0.75</v>
      </c>
      <c r="P53" s="3053" t="str">
        <f>C53</f>
        <v>C11-02#商业</v>
      </c>
      <c r="Q53" s="3053">
        <f t="shared" ref="Q53:Q55" si="19">H53</f>
        <v>1288.1600000000001</v>
      </c>
      <c r="R53" s="3053">
        <v>3</v>
      </c>
      <c r="S53" s="3053"/>
    </row>
    <row r="54" spans="3:19" ht="14.2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f>N53</f>
        <v>0.75</v>
      </c>
      <c r="P54" s="3053" t="str">
        <f>C54</f>
        <v>C11-03#商业</v>
      </c>
      <c r="Q54" s="3053">
        <f t="shared" si="19"/>
        <v>1288.1600000000001</v>
      </c>
      <c r="R54" s="3053">
        <v>3</v>
      </c>
      <c r="S54" s="3053"/>
    </row>
    <row r="55" spans="3:19" ht="14.2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f>N54</f>
        <v>0.75</v>
      </c>
      <c r="P55" s="3053" t="str">
        <f>C55</f>
        <v>C11-08#商业</v>
      </c>
      <c r="Q55" s="3053">
        <f t="shared" si="19"/>
        <v>1506.62</v>
      </c>
      <c r="R55" s="3053">
        <v>3</v>
      </c>
      <c r="S55" s="3053"/>
    </row>
    <row r="56" spans="3:19" ht="14.2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f>N54</f>
        <v>0.75</v>
      </c>
    </row>
    <row r="57" spans="3:19" ht="14.25" thickBot="1">
      <c r="C57" s="2971" t="str">
        <f>E37</f>
        <v>C11-06#配电室</v>
      </c>
      <c r="D57" s="2972">
        <f t="shared" si="15"/>
        <v>89.06</v>
      </c>
      <c r="E57" s="2972">
        <f t="shared" si="16"/>
        <v>0</v>
      </c>
      <c r="F57" s="2972">
        <f>H37</f>
        <v>0</v>
      </c>
      <c r="G57" s="2972">
        <f t="shared" si="17"/>
        <v>0</v>
      </c>
      <c r="H57" s="2972">
        <f>J37</f>
        <v>0</v>
      </c>
      <c r="I57" s="2972">
        <f>O37</f>
        <v>0</v>
      </c>
      <c r="J57" s="2972">
        <f>Q37</f>
        <v>0</v>
      </c>
      <c r="K57" s="2972">
        <f t="shared" si="18"/>
        <v>89.06</v>
      </c>
      <c r="L57" s="2972">
        <f>M37+S37+T37-28.12</f>
        <v>89.06</v>
      </c>
      <c r="M57" s="2972">
        <v>0</v>
      </c>
      <c r="N57" s="2973">
        <f>N54</f>
        <v>0.75</v>
      </c>
    </row>
    <row r="58" spans="3:19" ht="14.2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f>N54</f>
        <v>0.75</v>
      </c>
    </row>
    <row r="59" spans="3:19" ht="14.2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f>N54</f>
        <v>0.75</v>
      </c>
    </row>
    <row r="60" spans="3:19" ht="14.2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f>N54</f>
        <v>0.75</v>
      </c>
    </row>
    <row r="61" spans="3:19" ht="14.2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f>N54</f>
        <v>0.75</v>
      </c>
    </row>
    <row r="62" spans="3:19" ht="14.25" thickBot="1">
      <c r="C62" s="2974" t="s">
        <v>37</v>
      </c>
      <c r="D62" s="2972">
        <f t="shared" ref="D62:M62" si="20">SUM(D52:D61)</f>
        <v>24811.999999999996</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3600.5699999999997</v>
      </c>
      <c r="L62" s="2972">
        <f t="shared" si="20"/>
        <v>2738.9</v>
      </c>
      <c r="M62" s="2972">
        <f t="shared" si="20"/>
        <v>861.67000000000007</v>
      </c>
      <c r="N62" s="2975">
        <f>ROUND(SUMPRODUCT(N52:N61,D52:D61)/SUM(D52:D61),2)</f>
        <v>0.75</v>
      </c>
    </row>
    <row r="63" spans="3:19">
      <c r="D63" s="2976">
        <f>'[3]数据-汇总表'!E3</f>
        <v>25011.999999999996</v>
      </c>
      <c r="L63" s="2967">
        <f>'[3]数据-汇总表'!E28</f>
        <v>2738.9</v>
      </c>
      <c r="M63" s="2967">
        <f>'[3]数据-汇总表'!E29</f>
        <v>1061.67</v>
      </c>
    </row>
  </sheetData>
  <mergeCells count="39">
    <mergeCell ref="F2:V2"/>
    <mergeCell ref="F3:F4"/>
    <mergeCell ref="G3:M3"/>
    <mergeCell ref="N3:V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V28"/>
    <mergeCell ref="F29:F30"/>
    <mergeCell ref="G29:M29"/>
    <mergeCell ref="N29:V29"/>
    <mergeCell ref="J50:J51"/>
    <mergeCell ref="K50:K51"/>
    <mergeCell ref="L50:L51"/>
    <mergeCell ref="C48:C51"/>
    <mergeCell ref="D48:M48"/>
    <mergeCell ref="D49:D51"/>
    <mergeCell ref="E49:J49"/>
    <mergeCell ref="K49:M49"/>
    <mergeCell ref="E50:E51"/>
    <mergeCell ref="F50:F51"/>
    <mergeCell ref="G50:G51"/>
    <mergeCell ref="H50:H51"/>
    <mergeCell ref="I50:I51"/>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Q13" activePane="bottomRight" state="frozen"/>
      <selection activeCell="C50" sqref="C50"/>
      <selection pane="topRight" activeCell="C50" sqref="C50"/>
      <selection pane="bottomLeft" activeCell="C50" sqref="C50"/>
      <selection pane="bottomRight" activeCell="AF27" sqref="AF27"/>
    </sheetView>
  </sheetViews>
  <sheetFormatPr defaultColWidth="8.875" defaultRowHeight="14.25"/>
  <cols>
    <col min="1" max="1" width="10.625" style="2130" customWidth="1"/>
    <col min="2" max="2" width="11" style="2130" customWidth="1"/>
    <col min="3" max="3" width="15" style="2130" customWidth="1"/>
    <col min="4" max="4" width="9.125" style="2130" customWidth="1"/>
    <col min="5" max="6" width="10" style="2193" customWidth="1"/>
    <col min="7" max="8" width="10" style="2130" customWidth="1"/>
    <col min="9" max="9" width="10.625" style="2130" customWidth="1"/>
    <col min="10" max="10" width="9.5" style="2130" customWidth="1"/>
    <col min="11" max="11" width="11" style="2130" customWidth="1"/>
    <col min="12" max="14" width="9.5" style="2130" customWidth="1"/>
    <col min="15" max="15" width="9.875" style="2130" customWidth="1"/>
    <col min="16" max="16" width="9.75" style="2130" customWidth="1"/>
    <col min="17" max="17" width="9.375" style="2130" customWidth="1"/>
    <col min="18" max="18" width="9.25" style="2130" customWidth="1"/>
    <col min="19" max="19" width="10.875" style="2130" hidden="1" customWidth="1"/>
    <col min="20" max="21" width="10.75" style="2130" hidden="1" customWidth="1"/>
    <col min="22" max="22" width="10.875" style="2130" hidden="1" customWidth="1"/>
    <col min="23" max="27" width="10.75" style="2130" hidden="1" customWidth="1"/>
    <col min="28" max="28" width="10.875" style="2130" hidden="1" customWidth="1"/>
    <col min="29" max="29" width="11" style="2130" bestFit="1" customWidth="1"/>
    <col min="30" max="30" width="10" style="2130" bestFit="1" customWidth="1"/>
    <col min="31" max="31" width="9.75" style="2130" customWidth="1"/>
    <col min="32" max="46" width="9.5" style="2130" customWidth="1"/>
    <col min="47" max="47" width="18.125" style="2130" customWidth="1"/>
    <col min="48" max="50" width="9.75" style="2130" customWidth="1"/>
    <col min="51" max="55" width="10.5" style="2130" bestFit="1" customWidth="1"/>
    <col min="56" max="56" width="9.5" style="2130" bestFit="1" customWidth="1"/>
    <col min="57" max="63" width="9.125" style="2130" bestFit="1" customWidth="1"/>
    <col min="64" max="64" width="9.5" style="2130" bestFit="1" customWidth="1"/>
    <col min="65" max="65" width="9.125" style="2130" bestFit="1" customWidth="1"/>
    <col min="66" max="66" width="9.5" style="2130" bestFit="1" customWidth="1"/>
    <col min="67" max="69" width="9.125" style="2130" bestFit="1" customWidth="1"/>
    <col min="70" max="70" width="9.5" style="2130" bestFit="1" customWidth="1"/>
    <col min="71" max="71" width="9" style="2130" customWidth="1"/>
    <col min="72" max="72" width="9.125" style="2130" bestFit="1" customWidth="1"/>
    <col min="73" max="16384" width="8.875" style="2130"/>
  </cols>
  <sheetData>
    <row r="1" spans="1:72" ht="20.25">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2.75">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ht="13.5"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2.75">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0</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24811.999999999996</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3600.5699999999997</v>
      </c>
      <c r="BM5" s="18">
        <f t="shared" si="1"/>
        <v>0</v>
      </c>
      <c r="BN5" s="18">
        <f t="shared" si="1"/>
        <v>861.67000000000007</v>
      </c>
      <c r="BO5" s="18">
        <f t="shared" si="1"/>
        <v>0</v>
      </c>
      <c r="BP5" s="18">
        <f t="shared" si="1"/>
        <v>0</v>
      </c>
      <c r="BQ5" s="18">
        <f t="shared" si="1"/>
        <v>0</v>
      </c>
      <c r="BR5" s="18">
        <f t="shared" si="1"/>
        <v>2738.9</v>
      </c>
      <c r="BS5" s="18">
        <f t="shared" si="1"/>
        <v>0</v>
      </c>
      <c r="BT5" s="19">
        <f t="shared" si="1"/>
        <v>0</v>
      </c>
    </row>
    <row r="6" spans="1:72" s="2148" customFormat="1" ht="12.75">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0</v>
      </c>
      <c r="AP6" s="16">
        <f t="shared" si="3"/>
        <v>0</v>
      </c>
      <c r="AQ6" s="16">
        <f t="shared" si="3"/>
        <v>0</v>
      </c>
      <c r="AR6" s="16">
        <f t="shared" si="3"/>
        <v>0</v>
      </c>
      <c r="AS6" s="16">
        <f t="shared" si="3"/>
        <v>0</v>
      </c>
      <c r="AT6" s="20">
        <f>IF(C3="是",ROUND($A$3*AT5/$B$3,2),0)</f>
        <v>1966.12</v>
      </c>
      <c r="AU6" s="2147"/>
      <c r="AV6" s="15" t="s">
        <v>1872</v>
      </c>
      <c r="AW6" s="2145"/>
      <c r="AX6" s="2145"/>
      <c r="AY6" s="21">
        <f>IF(AY3&gt;0,AY3,ROUND($A$3*AZ5/$B$3,2))</f>
        <v>11141.12</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1616.73</v>
      </c>
      <c r="BM6" s="16">
        <f t="shared" si="5"/>
        <v>0</v>
      </c>
      <c r="BN6" s="16">
        <f t="shared" si="5"/>
        <v>386.91</v>
      </c>
      <c r="BO6" s="16">
        <f t="shared" si="5"/>
        <v>0</v>
      </c>
      <c r="BP6" s="16">
        <f t="shared" si="5"/>
        <v>0</v>
      </c>
      <c r="BQ6" s="16">
        <f t="shared" si="5"/>
        <v>0</v>
      </c>
      <c r="BR6" s="16">
        <f t="shared" si="5"/>
        <v>1229.82</v>
      </c>
      <c r="BS6" s="16">
        <f t="shared" si="5"/>
        <v>0</v>
      </c>
      <c r="BT6" s="22">
        <f t="shared" si="5"/>
        <v>0</v>
      </c>
    </row>
    <row r="7" spans="1:72" s="2138" customFormat="1" ht="24.75">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2.75">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2.75">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2.75">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2.75">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15"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15"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15"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15"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15"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15"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15"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186">
        <f>面积表!S37</f>
        <v>89.06</v>
      </c>
      <c r="AO19" s="2186"/>
      <c r="AP19" s="2186"/>
      <c r="AQ19" s="2186"/>
      <c r="AR19" s="2186"/>
      <c r="AS19" s="2186"/>
      <c r="AT19" s="2187"/>
      <c r="AU19" s="2190"/>
      <c r="AV19" s="1773">
        <f t="shared" si="11"/>
        <v>0</v>
      </c>
      <c r="AW19" s="1773">
        <f t="shared" si="12"/>
        <v>0</v>
      </c>
      <c r="AX19" s="1773" t="str">
        <f t="shared" si="13"/>
        <v>C11-06#配电室</v>
      </c>
      <c r="AY19" s="42">
        <f t="shared" si="14"/>
        <v>39.99</v>
      </c>
      <c r="AZ19" s="35">
        <f t="shared" si="15"/>
        <v>89.06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89.06</v>
      </c>
      <c r="BM19" s="35">
        <f t="shared" si="28"/>
        <v>0</v>
      </c>
      <c r="BN19" s="35">
        <f t="shared" si="29"/>
        <v>0</v>
      </c>
      <c r="BO19" s="35">
        <f t="shared" si="30"/>
        <v>0</v>
      </c>
      <c r="BP19" s="35">
        <f t="shared" si="31"/>
        <v>0</v>
      </c>
      <c r="BQ19" s="35">
        <f t="shared" si="32"/>
        <v>0</v>
      </c>
      <c r="BR19" s="35">
        <f t="shared" si="33"/>
        <v>89.06</v>
      </c>
      <c r="BS19" s="35">
        <f t="shared" si="34"/>
        <v>0</v>
      </c>
      <c r="BT19" s="43">
        <f t="shared" si="35"/>
        <v>0</v>
      </c>
    </row>
    <row r="20" spans="1:72" ht="13.15"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15"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E31" sqref="E31"/>
    </sheetView>
  </sheetViews>
  <sheetFormatPr defaultColWidth="9.25" defaultRowHeight="14.25"/>
  <cols>
    <col min="1" max="1" width="12.125" style="2197" customWidth="1"/>
    <col min="2" max="2" width="10.25" style="2197" customWidth="1"/>
    <col min="3" max="3" width="18.5" style="2197" customWidth="1"/>
    <col min="4" max="4" width="11.625" style="2197" customWidth="1"/>
    <col min="5" max="5" width="13.375" style="2197" customWidth="1"/>
    <col min="6" max="8" width="11.5" style="2197" customWidth="1"/>
    <col min="9" max="9" width="11.125" style="2197" customWidth="1"/>
    <col min="10" max="10" width="3.125" style="2197" customWidth="1"/>
    <col min="11" max="16" width="10" style="2197" customWidth="1"/>
    <col min="17" max="17" width="2.625" style="2197" customWidth="1"/>
    <col min="18" max="18" width="9.375" style="2197" bestFit="1" customWidth="1"/>
    <col min="19" max="19" width="10.5" style="2197" bestFit="1" customWidth="1"/>
    <col min="20" max="16384" width="9.25" style="2197"/>
  </cols>
  <sheetData>
    <row r="1" spans="1:16" ht="18.75">
      <c r="A1" s="2196" t="s">
        <v>1930</v>
      </c>
      <c r="B1" s="1370"/>
      <c r="C1" s="1370"/>
      <c r="D1" s="1370"/>
      <c r="E1" s="1370"/>
      <c r="F1" s="1370"/>
      <c r="G1" s="1370"/>
      <c r="H1" s="1370"/>
      <c r="I1" s="1370"/>
      <c r="J1" s="1370"/>
      <c r="K1" s="1370"/>
      <c r="L1" s="1370"/>
      <c r="M1" s="1370"/>
      <c r="N1" s="1370"/>
      <c r="O1" s="1370"/>
      <c r="P1" s="1370"/>
    </row>
    <row r="2" spans="1:16" ht="15">
      <c r="A2" s="3174" t="s">
        <v>1931</v>
      </c>
      <c r="B2" s="3174"/>
      <c r="C2" s="3174"/>
      <c r="D2" s="945" t="s">
        <v>1907</v>
      </c>
      <c r="E2" s="2198" t="s">
        <v>1908</v>
      </c>
      <c r="F2" s="1370"/>
      <c r="G2" s="2199"/>
      <c r="H2" s="2200"/>
      <c r="I2" s="2201" t="s">
        <v>1932</v>
      </c>
      <c r="J2" s="1370"/>
      <c r="K2" s="1370"/>
      <c r="L2" s="1370"/>
      <c r="M2" s="1370"/>
      <c r="N2" s="1405"/>
      <c r="O2" s="1370"/>
      <c r="P2" s="1370"/>
    </row>
    <row r="3" spans="1:16" ht="15.75" thickBot="1">
      <c r="A3" s="3175" t="s">
        <v>1905</v>
      </c>
      <c r="B3" s="3175"/>
      <c r="C3" s="3175"/>
      <c r="D3" s="46">
        <f>'数据-基础表'!AY6</f>
        <v>11141.12</v>
      </c>
      <c r="E3" s="46">
        <f>'数据-基础表'!AZ5</f>
        <v>24811.999999999996</v>
      </c>
      <c r="F3" s="1370"/>
      <c r="G3" s="1377"/>
      <c r="H3" s="1225" t="s">
        <v>1906</v>
      </c>
      <c r="I3" s="55">
        <f>ROUND('数据-基础表'!B3/'数据-基础表'!A3,2)</f>
        <v>2.23</v>
      </c>
      <c r="J3" s="1370"/>
      <c r="K3" s="1370"/>
      <c r="L3" s="1370"/>
      <c r="M3" s="1370"/>
      <c r="N3" s="1405"/>
      <c r="O3" s="1370"/>
      <c r="P3" s="1370"/>
    </row>
    <row r="4" spans="1:16" ht="15">
      <c r="A4" s="3176"/>
      <c r="B4" s="3177"/>
      <c r="C4" s="3178"/>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c r="A5" s="47" t="s">
        <v>1909</v>
      </c>
      <c r="B5" s="3179" t="s">
        <v>1910</v>
      </c>
      <c r="C5" s="3179"/>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179" t="s">
        <v>1911</v>
      </c>
      <c r="C6" s="3179"/>
      <c r="D6" s="48">
        <f>ROUND($D$3*E6/$E$3,2)</f>
        <v>5561.79</v>
      </c>
      <c r="E6" s="49">
        <f>E3-E5</f>
        <v>12386.459999999997</v>
      </c>
      <c r="F6" s="1370"/>
      <c r="G6" s="2206" t="s">
        <v>1912</v>
      </c>
      <c r="H6" s="1377" t="s">
        <v>1913</v>
      </c>
      <c r="I6" s="917">
        <f>ROUND(F31/D31,2)</f>
        <v>1.62</v>
      </c>
      <c r="J6" s="1370"/>
      <c r="K6" s="1370"/>
      <c r="L6" s="1370"/>
      <c r="M6" s="1370"/>
      <c r="N6" s="1370"/>
      <c r="O6" s="1370"/>
      <c r="P6" s="1370"/>
    </row>
    <row r="7" spans="1:16" ht="15">
      <c r="A7" s="3171"/>
      <c r="B7" s="3172"/>
      <c r="C7" s="3173"/>
      <c r="D7" s="2202" t="s">
        <v>1907</v>
      </c>
      <c r="E7" s="2207" t="s">
        <v>1914</v>
      </c>
      <c r="F7" s="1370"/>
      <c r="G7" s="2199" t="s">
        <v>1915</v>
      </c>
      <c r="H7" s="64"/>
      <c r="I7" s="407">
        <f>I4</f>
        <v>1.39</v>
      </c>
      <c r="J7" s="1370"/>
      <c r="K7" s="1370"/>
      <c r="L7" s="1370"/>
      <c r="M7" s="1370"/>
      <c r="N7" s="1370"/>
      <c r="O7" s="1370"/>
      <c r="P7" s="1370"/>
    </row>
    <row r="8" spans="1:16">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c r="A9" s="2209"/>
      <c r="B9" s="2210"/>
      <c r="C9" s="48" t="s">
        <v>1919</v>
      </c>
      <c r="D9" s="48">
        <f t="shared" si="0"/>
        <v>0</v>
      </c>
      <c r="E9" s="52">
        <v>0</v>
      </c>
      <c r="F9" s="1370"/>
      <c r="G9" s="2208"/>
      <c r="H9" s="2208"/>
      <c r="I9" s="1370"/>
      <c r="J9" s="1370"/>
      <c r="K9" s="1370"/>
      <c r="L9" s="1370"/>
      <c r="M9" s="1370"/>
      <c r="N9" s="1370"/>
      <c r="O9" s="1370"/>
      <c r="P9" s="1370"/>
    </row>
    <row r="10" spans="1:16">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75" thickBot="1">
      <c r="A16" s="2205"/>
      <c r="B16" s="2210"/>
      <c r="C16" s="50" t="s">
        <v>1923</v>
      </c>
      <c r="D16" s="50">
        <f>SUM(D8:D15)</f>
        <v>9524.4</v>
      </c>
      <c r="E16" s="53">
        <f>SUM(E8:E15)</f>
        <v>21211.43</v>
      </c>
      <c r="F16" s="1370"/>
      <c r="G16" s="2208"/>
      <c r="H16" s="2211" t="s">
        <v>1935</v>
      </c>
      <c r="I16" s="2212"/>
      <c r="J16" s="1370"/>
      <c r="K16" s="3168" t="s">
        <v>1935</v>
      </c>
      <c r="L16" s="3169"/>
      <c r="M16" s="3169"/>
      <c r="N16" s="3169"/>
      <c r="O16" s="3169"/>
      <c r="P16" s="3170"/>
    </row>
    <row r="17" spans="1:19" ht="15">
      <c r="A17" s="2213" t="s">
        <v>1936</v>
      </c>
      <c r="B17" s="2214" t="s">
        <v>1937</v>
      </c>
      <c r="C17" s="2215" t="s">
        <v>1938</v>
      </c>
      <c r="D17" s="2216" t="s">
        <v>1926</v>
      </c>
      <c r="E17" s="2217" t="s">
        <v>1927</v>
      </c>
      <c r="F17" s="2218"/>
      <c r="G17" s="2219"/>
      <c r="H17" s="2220" t="s">
        <v>1939</v>
      </c>
      <c r="I17" s="2221" t="s">
        <v>1924</v>
      </c>
      <c r="J17" s="1370"/>
      <c r="K17" s="3165" t="s">
        <v>1940</v>
      </c>
      <c r="L17" s="3166"/>
      <c r="M17" s="3167"/>
      <c r="N17" s="3165" t="s">
        <v>1941</v>
      </c>
      <c r="O17" s="3166"/>
      <c r="P17" s="3167"/>
      <c r="R17" s="2199" t="s">
        <v>1942</v>
      </c>
      <c r="S17" s="64"/>
    </row>
    <row r="18" spans="1:19" ht="15">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c r="A19" s="2230"/>
      <c r="B19" s="50" t="s">
        <v>1925</v>
      </c>
      <c r="C19" s="2978" t="s">
        <v>3072</v>
      </c>
      <c r="D19" s="48">
        <f>ROUND($D$3*E19/$E$3,2)</f>
        <v>4866.49</v>
      </c>
      <c r="E19" s="56">
        <f t="shared" ref="E19:E26" si="1">SUM(F19:G19)</f>
        <v>10837.99</v>
      </c>
      <c r="F19" s="57">
        <f>'数据-基础表'!I5</f>
        <v>10837.99</v>
      </c>
      <c r="G19" s="58"/>
      <c r="H19" s="710">
        <f>ROUND($D$3*I19/$E$3,2)</f>
        <v>628.38</v>
      </c>
      <c r="I19" s="51">
        <f t="shared" ref="I19:I26" si="2">IF($I$17="自定义",P19,M19)</f>
        <v>1399.44</v>
      </c>
      <c r="J19" s="1370"/>
      <c r="K19" s="1369">
        <f t="shared" ref="K19:K26" si="3">ROUND(E$28*E19/E$27,2)</f>
        <v>1399.44</v>
      </c>
      <c r="L19" s="1225">
        <f t="shared" ref="L19:L26" si="4">ROUND(IF(COUNTIF(C19,"*住宅*")&gt;0,E$29*E19/E$32,0),2)</f>
        <v>0</v>
      </c>
      <c r="M19" s="1381">
        <f>K19+L19</f>
        <v>1399.44</v>
      </c>
      <c r="N19" s="2231"/>
      <c r="O19" s="2232"/>
      <c r="P19" s="1381">
        <f>N19+O19</f>
        <v>0</v>
      </c>
      <c r="R19" s="1225">
        <f t="shared" ref="R19:S26" si="5">D19+H19</f>
        <v>5494.87</v>
      </c>
      <c r="S19" s="1226">
        <f t="shared" si="5"/>
        <v>12237.43</v>
      </c>
    </row>
    <row r="20" spans="1:19">
      <c r="A20" s="2233"/>
      <c r="B20" s="50" t="s">
        <v>1953</v>
      </c>
      <c r="C20" s="2978" t="s">
        <v>3148</v>
      </c>
      <c r="D20" s="48">
        <f t="shared" ref="D20:D26" si="6">ROUND($D$3*E20/$E$3,2)</f>
        <v>712.84</v>
      </c>
      <c r="E20" s="56">
        <f t="shared" si="1"/>
        <v>1587.55</v>
      </c>
      <c r="F20" s="57">
        <f>'数据-基础表'!K5</f>
        <v>1587.55</v>
      </c>
      <c r="G20" s="58"/>
      <c r="H20" s="710">
        <f t="shared" ref="H20:H26" si="7">ROUND($D$3*I20/$E$3,2)</f>
        <v>92.04</v>
      </c>
      <c r="I20" s="51">
        <f t="shared" si="2"/>
        <v>204.99</v>
      </c>
      <c r="J20" s="1370"/>
      <c r="K20" s="1369">
        <f t="shared" si="3"/>
        <v>204.99</v>
      </c>
      <c r="L20" s="1225">
        <f t="shared" si="4"/>
        <v>0</v>
      </c>
      <c r="M20" s="1381">
        <f t="shared" ref="M20:M26" si="8">K20+L20</f>
        <v>204.99</v>
      </c>
      <c r="N20" s="2231"/>
      <c r="O20" s="2232"/>
      <c r="P20" s="1381">
        <f t="shared" ref="P20:P26" si="9">N20+O20</f>
        <v>0</v>
      </c>
      <c r="R20" s="1225">
        <f t="shared" si="5"/>
        <v>804.88</v>
      </c>
      <c r="S20" s="1226">
        <f t="shared" si="5"/>
        <v>1792.54</v>
      </c>
    </row>
    <row r="21" spans="1:19">
      <c r="A21" s="2233"/>
      <c r="B21" s="50" t="s">
        <v>1953</v>
      </c>
      <c r="C21" s="2978" t="s">
        <v>183</v>
      </c>
      <c r="D21" s="48">
        <f t="shared" si="6"/>
        <v>2509.83</v>
      </c>
      <c r="E21" s="56">
        <f t="shared" si="1"/>
        <v>5589.5599999999995</v>
      </c>
      <c r="F21" s="57">
        <f>'数据-基础表'!M5</f>
        <v>5589.5599999999995</v>
      </c>
      <c r="G21" s="58"/>
      <c r="H21" s="710">
        <f t="shared" si="7"/>
        <v>324.08</v>
      </c>
      <c r="I21" s="51">
        <f t="shared" si="2"/>
        <v>721.75</v>
      </c>
      <c r="J21" s="1370"/>
      <c r="K21" s="1369">
        <f t="shared" si="3"/>
        <v>721.75</v>
      </c>
      <c r="L21" s="1225">
        <f t="shared" si="4"/>
        <v>0</v>
      </c>
      <c r="M21" s="1381">
        <f t="shared" si="8"/>
        <v>721.75</v>
      </c>
      <c r="N21" s="2231"/>
      <c r="O21" s="2232"/>
      <c r="P21" s="1381">
        <f t="shared" si="9"/>
        <v>0</v>
      </c>
      <c r="R21" s="1225">
        <f t="shared" si="5"/>
        <v>2833.91</v>
      </c>
      <c r="S21" s="1226">
        <f t="shared" si="5"/>
        <v>6311.3099999999995</v>
      </c>
    </row>
    <row r="22" spans="1:19">
      <c r="A22" s="2233"/>
      <c r="B22" s="50" t="s">
        <v>1953</v>
      </c>
      <c r="C22" s="2978" t="s">
        <v>3149</v>
      </c>
      <c r="D22" s="48">
        <f t="shared" si="6"/>
        <v>716.58</v>
      </c>
      <c r="E22" s="56">
        <f t="shared" si="1"/>
        <v>1595.8600000000001</v>
      </c>
      <c r="F22" s="61"/>
      <c r="G22" s="62">
        <f>'数据-基础表'!O5</f>
        <v>1595.8600000000001</v>
      </c>
      <c r="H22" s="710">
        <f t="shared" si="7"/>
        <v>92.53</v>
      </c>
      <c r="I22" s="51">
        <f t="shared" si="2"/>
        <v>206.06</v>
      </c>
      <c r="J22" s="1370"/>
      <c r="K22" s="1369">
        <f t="shared" si="3"/>
        <v>206.06</v>
      </c>
      <c r="L22" s="1225">
        <f t="shared" si="4"/>
        <v>0</v>
      </c>
      <c r="M22" s="1381">
        <f t="shared" si="8"/>
        <v>206.06</v>
      </c>
      <c r="N22" s="2231"/>
      <c r="O22" s="2232"/>
      <c r="P22" s="1381">
        <f t="shared" si="9"/>
        <v>0</v>
      </c>
      <c r="R22" s="1225">
        <f t="shared" si="5"/>
        <v>809.11</v>
      </c>
      <c r="S22" s="1226">
        <f t="shared" si="5"/>
        <v>1801.92</v>
      </c>
    </row>
    <row r="23" spans="1:19">
      <c r="A23" s="2233"/>
      <c r="B23" s="50" t="s">
        <v>1953</v>
      </c>
      <c r="C23" s="2978" t="s">
        <v>3079</v>
      </c>
      <c r="D23" s="48">
        <f>ROUND($D$3*E23/$E$3,2)</f>
        <v>718.65</v>
      </c>
      <c r="E23" s="56">
        <f>SUM(F23:G23)</f>
        <v>1600.47</v>
      </c>
      <c r="F23" s="61"/>
      <c r="G23" s="62">
        <f>'数据-基础表'!Q5</f>
        <v>1600.47</v>
      </c>
      <c r="H23" s="710">
        <f>ROUND($D$3*I23/$E$3,2)</f>
        <v>92.79</v>
      </c>
      <c r="I23" s="51">
        <f t="shared" si="2"/>
        <v>206.66</v>
      </c>
      <c r="J23" s="1370"/>
      <c r="K23" s="1369">
        <f t="shared" si="3"/>
        <v>206.66</v>
      </c>
      <c r="L23" s="1225">
        <f t="shared" si="4"/>
        <v>0</v>
      </c>
      <c r="M23" s="1381">
        <f t="shared" si="8"/>
        <v>206.66</v>
      </c>
      <c r="N23" s="2231"/>
      <c r="O23" s="2232"/>
      <c r="P23" s="1381">
        <f t="shared" si="9"/>
        <v>0</v>
      </c>
      <c r="R23" s="1225">
        <f t="shared" si="5"/>
        <v>811.43999999999994</v>
      </c>
      <c r="S23" s="1226">
        <f t="shared" si="5"/>
        <v>1807.13</v>
      </c>
    </row>
    <row r="24" spans="1:19">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3.5"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1229.82</v>
      </c>
      <c r="I27" s="1375">
        <f>SUM(I19:I26)</f>
        <v>2738.9</v>
      </c>
      <c r="J27" s="1370"/>
      <c r="K27" s="1378">
        <f>SUM(K19:K26)</f>
        <v>2738.9</v>
      </c>
      <c r="L27" s="1379">
        <f>SUM(L19:L26)</f>
        <v>0</v>
      </c>
      <c r="M27" s="1382">
        <f>SUM(M19:M26)</f>
        <v>2738.9</v>
      </c>
      <c r="N27" s="1378">
        <f t="shared" ref="N27:O27" si="10">SUM(N19:N26)</f>
        <v>0</v>
      </c>
      <c r="O27" s="1379">
        <f t="shared" si="10"/>
        <v>0</v>
      </c>
      <c r="P27" s="1380">
        <f>SUM(P19:P26)</f>
        <v>0</v>
      </c>
      <c r="R27" s="1227" t="str">
        <f>IF(SUM(R19:R26)=$D$3,SUM(R19:R26),SUM(R19:R26)&amp;"误差"&amp;ROUND(SUM(R19:R26)-$D$3,2))</f>
        <v>10754.21误差-386.91</v>
      </c>
      <c r="S27" s="1225" t="str">
        <f>IF(SUM(S19:S26)=$E$3,SUM(S19:S26),SUM(S19:S26)&amp;"误差"&amp;ROUND(SUM(S19:S26)-E3,2))</f>
        <v>23950.33误差-861.67</v>
      </c>
    </row>
    <row r="28" spans="1:19">
      <c r="A28" s="2233"/>
      <c r="B28" s="50" t="s">
        <v>1955</v>
      </c>
      <c r="C28" s="1237" t="s">
        <v>1956</v>
      </c>
      <c r="D28" s="48">
        <f>ROUND($D$3*E28/$E$3,2)</f>
        <v>1229.82</v>
      </c>
      <c r="E28" s="56">
        <f>SUM(F28:G28)</f>
        <v>2738.9</v>
      </c>
      <c r="F28" s="64">
        <f>'数据-基础表'!BQ5+'数据-基础表'!BS5</f>
        <v>0</v>
      </c>
      <c r="G28" s="65">
        <f>'数据-基础表'!BR5+'数据-基础表'!BT5</f>
        <v>2738.9</v>
      </c>
      <c r="H28" s="1370"/>
      <c r="I28" s="1370"/>
      <c r="J28" s="1370"/>
      <c r="K28" s="1370"/>
      <c r="L28" s="1370"/>
      <c r="M28" s="1370"/>
      <c r="N28" s="1370"/>
      <c r="O28" s="1370"/>
      <c r="P28" s="1370"/>
    </row>
    <row r="29" spans="1:19">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5">
      <c r="A30" s="2233"/>
      <c r="B30" s="50"/>
      <c r="C30" s="2238" t="s">
        <v>1954</v>
      </c>
      <c r="D30" s="1371">
        <f>SUM(D28:D29)</f>
        <v>1616.73</v>
      </c>
      <c r="E30" s="1371">
        <f>SUM(E28:E29)</f>
        <v>3600.57</v>
      </c>
      <c r="F30" s="1371">
        <f>SUM(F28:F29)</f>
        <v>0</v>
      </c>
      <c r="G30" s="1373">
        <f>SUM(G28:G29)</f>
        <v>3600.57</v>
      </c>
      <c r="H30" s="1370"/>
      <c r="I30" s="1370"/>
      <c r="J30" s="1370"/>
      <c r="K30" s="1370"/>
      <c r="L30" s="1370"/>
      <c r="M30" s="1370"/>
      <c r="N30" s="1370"/>
      <c r="O30" s="1370"/>
      <c r="P30" s="1370"/>
    </row>
    <row r="31" spans="1:19" ht="15.75" thickBot="1">
      <c r="A31" s="2239"/>
      <c r="B31" s="2240"/>
      <c r="C31" s="985" t="s">
        <v>1958</v>
      </c>
      <c r="D31" s="714">
        <f>D27+D30</f>
        <v>11141.119999999999</v>
      </c>
      <c r="E31" s="714">
        <f>E27+E30</f>
        <v>24812</v>
      </c>
      <c r="F31" s="715">
        <f>F27+F30</f>
        <v>18015.099999999999</v>
      </c>
      <c r="G31" s="716">
        <f>G27+G30</f>
        <v>6796.9</v>
      </c>
      <c r="H31" s="1370"/>
      <c r="I31" s="1370"/>
      <c r="J31" s="1370"/>
      <c r="K31" s="1370"/>
      <c r="L31" s="1370"/>
      <c r="M31" s="1370"/>
      <c r="N31" s="1370"/>
      <c r="O31" s="1370"/>
      <c r="P31" s="1370"/>
    </row>
    <row r="32" spans="1:19">
      <c r="A32" s="2204"/>
      <c r="B32" s="2204" t="s">
        <v>1959</v>
      </c>
      <c r="C32" s="2204"/>
      <c r="D32" s="2204"/>
      <c r="E32" s="1252">
        <f>SUMIF(C19:C26,"*住宅*",E19:E26)</f>
        <v>0</v>
      </c>
      <c r="F32" s="2204"/>
      <c r="G32" s="2204"/>
      <c r="H32" s="1370"/>
      <c r="I32" s="1370"/>
      <c r="J32" s="1370"/>
      <c r="K32" s="1370"/>
      <c r="L32" s="1370"/>
      <c r="M32" s="1370"/>
      <c r="N32" s="1370"/>
      <c r="O32" s="1370"/>
      <c r="P32" s="1370"/>
    </row>
    <row r="33" spans="4:4">
      <c r="D33" s="22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15" customWidth="1"/>
    <col min="2" max="2" width="12" style="2245" customWidth="1"/>
    <col min="3" max="3" width="10.75" style="2245" customWidth="1"/>
    <col min="4" max="4" width="9.125" style="2316" customWidth="1"/>
    <col min="5" max="5" width="15" style="2245" bestFit="1" customWidth="1"/>
    <col min="6" max="10" width="8.875" style="2245" customWidth="1"/>
    <col min="11" max="12" width="12.375" style="2160" customWidth="1"/>
    <col min="13" max="13" width="8.625" style="2245" customWidth="1"/>
    <col min="14" max="14" width="11.875" style="2245" customWidth="1"/>
    <col min="15" max="15" width="8.5" style="2245" customWidth="1"/>
    <col min="16" max="17" width="10.875" style="2245" customWidth="1"/>
    <col min="18" max="19" width="12.5" style="2245" customWidth="1"/>
    <col min="20" max="20" width="12.125" style="2245" customWidth="1"/>
    <col min="21" max="21" width="7.5" style="2245" customWidth="1"/>
    <col min="22" max="22" width="6.375" style="2245" customWidth="1"/>
    <col min="23" max="24" width="6.75" style="2245" customWidth="1"/>
    <col min="25" max="25" width="8.625" style="2245" bestFit="1" customWidth="1"/>
    <col min="26" max="30" width="6.75" style="2245" customWidth="1"/>
    <col min="31" max="31" width="8" style="2245" customWidth="1"/>
    <col min="32" max="33" width="7.25" style="2245" customWidth="1"/>
    <col min="34" max="34" width="8.625" style="2245" bestFit="1" customWidth="1"/>
    <col min="35" max="39" width="8" style="2245" customWidth="1"/>
    <col min="40" max="40" width="13.75" style="2244"/>
    <col min="41" max="41" width="11.625" style="2244" customWidth="1"/>
    <col min="42" max="42" width="9.75" style="2244" customWidth="1"/>
    <col min="43" max="67" width="13.75" style="2244"/>
    <col min="68" max="16384" width="13.75" style="2245"/>
  </cols>
  <sheetData>
    <row r="1" spans="1:67" ht="19.5"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75" thickBot="1">
      <c r="A2" s="2246" t="s">
        <v>1961</v>
      </c>
      <c r="B2" s="1244">
        <f>项目基本情况!D3</f>
        <v>43976</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5"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4.25">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64.489999999999995</v>
      </c>
      <c r="G6" s="73">
        <f>IF(ISERROR(ROUND(POWER(1+H6,D6-F6)*(POWER(1+H6,F6)-1)/(POWER(1+H6,D6)-1),3)),0,ROUND(POWER(1+H6,D6-F6)*(POWER(1+H6,F6)-1)/(POWER(1+H6,D6)-1),3))</f>
        <v>0.98299999999999998</v>
      </c>
      <c r="H6" s="2980">
        <v>0.04</v>
      </c>
      <c r="I6" s="2980">
        <v>4.4999999999999998E-2</v>
      </c>
      <c r="J6" s="2981">
        <v>0.08</v>
      </c>
      <c r="K6" s="1229">
        <f>SUMIF('数据-汇总表'!C$19:C$33,A6,'数据-汇总表'!E$19:E$33)</f>
        <v>10837.99</v>
      </c>
      <c r="L6" s="2982">
        <v>2500</v>
      </c>
      <c r="M6" s="75">
        <f t="shared" ref="M6:M14" si="0">ROUND(K6*L6/10000,0)</f>
        <v>2709</v>
      </c>
      <c r="N6" s="3047">
        <v>0.75</v>
      </c>
      <c r="O6" s="75">
        <f>IF($N$5="成新度","——",ROUND(M6*N6,0))</f>
        <v>2032</v>
      </c>
      <c r="P6" s="76">
        <f>IF($N$5="成新度","——",M6-O6)</f>
        <v>677</v>
      </c>
      <c r="Q6" s="2984">
        <v>0.2</v>
      </c>
      <c r="R6" s="77">
        <f ca="1">SUMIF('数据-汇总表'!C$19:C$33,A6,'数据-汇总表'!R$19:R$27)</f>
        <v>5494.87</v>
      </c>
      <c r="S6" s="54">
        <f>IF('数据-汇总表'!$I$17="按面积比例",SUMIF('数据-汇总表'!C$19:C$33,A6,'数据-汇总表'!K$19:K$33),SUMIF('数据-汇总表'!C$19:C$33,A6,'数据-汇总表'!N$19:N$33))</f>
        <v>1399.44</v>
      </c>
      <c r="T6" s="1421">
        <f>ROUND($L$14*S6/10000,0)</f>
        <v>350</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262</v>
      </c>
      <c r="AR6" s="55">
        <f>ROUND($L$14*(1-$N$14)*S6/10000,0)</f>
        <v>87</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4.25">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64.489999999999995</v>
      </c>
      <c r="G7" s="73">
        <f t="shared" ref="G7:G11" si="2">IF(ISERROR(ROUND(POWER(1+H7,D7-F7)*(POWER(1+H7,F7)-1)/(POWER(1+H7,D7)-1),3)),0,ROUND(POWER(1+H7,D7-F7)*(POWER(1+H7,F7)-1)/(POWER(1+H7,D7)-1),3))</f>
        <v>0.98299999999999998</v>
      </c>
      <c r="H7" s="2980">
        <v>0.04</v>
      </c>
      <c r="I7" s="2980">
        <v>4.4999999999999998E-2</v>
      </c>
      <c r="J7" s="2981">
        <v>0.08</v>
      </c>
      <c r="K7" s="1229">
        <f>SUMIF('数据-汇总表'!C$19:C$33,A7,'数据-汇总表'!E$19:E$33)</f>
        <v>1587.55</v>
      </c>
      <c r="L7" s="2982">
        <f>L6</f>
        <v>2500</v>
      </c>
      <c r="M7" s="75">
        <f t="shared" si="0"/>
        <v>397</v>
      </c>
      <c r="N7" s="3047">
        <f>N6</f>
        <v>0.75</v>
      </c>
      <c r="O7" s="75">
        <f t="shared" ref="O7:O14" si="3">IF($N$5="成新度","——",ROUND(M7*N7,0))</f>
        <v>298</v>
      </c>
      <c r="P7" s="76">
        <f t="shared" ref="P7:P14" si="4">IF($N$5="成新度","——",M7-O7)</f>
        <v>99</v>
      </c>
      <c r="Q7" s="2984">
        <v>0.25</v>
      </c>
      <c r="R7" s="77">
        <f ca="1">SUMIF('数据-汇总表'!C$19:C$33,A7,'数据-汇总表'!R$19:R$27)</f>
        <v>804.88</v>
      </c>
      <c r="S7" s="54">
        <f>IF('数据-汇总表'!$I$17="按面积比例",SUMIF('数据-汇总表'!C$19:C$33,A7,'数据-汇总表'!K$19:K$33),SUMIF('数据-汇总表'!C$19:C$33,A7,'数据-汇总表'!N$19:N$33))</f>
        <v>204.99</v>
      </c>
      <c r="T7" s="1421">
        <f t="shared" ref="T7:T13" si="5">ROUND($L$14*S7/10000,0)</f>
        <v>51</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38</v>
      </c>
      <c r="AR7" s="55">
        <f t="shared" ref="AR7:AR13" si="11">ROUND($L$14*(1-$N$14)*S7/10000,0)</f>
        <v>13</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4.25">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34.46</v>
      </c>
      <c r="G8" s="73">
        <f t="shared" si="2"/>
        <v>0.95399999999999996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0.75</v>
      </c>
      <c r="O8" s="75">
        <f t="shared" si="3"/>
        <v>1048</v>
      </c>
      <c r="P8" s="76">
        <f t="shared" si="4"/>
        <v>349</v>
      </c>
      <c r="Q8" s="2984">
        <v>0.1</v>
      </c>
      <c r="R8" s="77">
        <f ca="1">SUMIF('数据-汇总表'!C$19:C$33,A8,'数据-汇总表'!R$19:R$27)</f>
        <v>2833.91</v>
      </c>
      <c r="S8" s="54">
        <f>IF('数据-汇总表'!$I$17="按面积比例",SUMIF('数据-汇总表'!C$19:C$33,A8,'数据-汇总表'!K$19:K$33),SUMIF('数据-汇总表'!C$19:C$33,A8,'数据-汇总表'!N$19:N$33))</f>
        <v>721.75</v>
      </c>
      <c r="T8" s="1421">
        <f t="shared" si="5"/>
        <v>180</v>
      </c>
      <c r="U8" s="3051">
        <v>3.5</v>
      </c>
      <c r="V8" s="2986">
        <v>0.03</v>
      </c>
      <c r="W8" s="2986">
        <v>0.1</v>
      </c>
      <c r="X8" s="1239"/>
      <c r="Y8" s="2985">
        <v>1</v>
      </c>
      <c r="Z8" s="81"/>
      <c r="AA8" s="74"/>
      <c r="AB8" s="74"/>
      <c r="AC8" s="1239"/>
      <c r="AD8" s="82"/>
      <c r="AE8" s="1240">
        <f t="shared" ca="1" si="6"/>
        <v>34.090000000000003</v>
      </c>
      <c r="AF8" s="1782"/>
      <c r="AG8" s="134">
        <f t="shared" si="7"/>
        <v>0</v>
      </c>
      <c r="AH8" s="2987">
        <f>K8</f>
        <v>5589.5599999999995</v>
      </c>
      <c r="AI8" s="85">
        <v>365</v>
      </c>
      <c r="AJ8" s="2920"/>
      <c r="AK8" s="787">
        <v>1.4999999999999999E-2</v>
      </c>
      <c r="AL8" s="788">
        <v>1.5E-3</v>
      </c>
      <c r="AM8" s="789">
        <v>0.01</v>
      </c>
      <c r="AN8" s="2279" t="s">
        <v>3152</v>
      </c>
      <c r="AO8" s="55">
        <f t="shared" ca="1" si="8"/>
        <v>10258</v>
      </c>
      <c r="AP8" s="2280">
        <f t="shared" si="9"/>
        <v>0</v>
      </c>
      <c r="AQ8" s="55">
        <f t="shared" si="10"/>
        <v>135</v>
      </c>
      <c r="AR8" s="55">
        <f t="shared" si="11"/>
        <v>45</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4.25">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44.47</v>
      </c>
      <c r="G9" s="73">
        <f t="shared" si="2"/>
        <v>0.96599999999999997</v>
      </c>
      <c r="H9" s="2980">
        <v>4.4999999999999998E-2</v>
      </c>
      <c r="I9" s="2980">
        <v>0.05</v>
      </c>
      <c r="J9" s="2981">
        <v>0.08</v>
      </c>
      <c r="K9" s="1229">
        <f>SUMIF('数据-汇总表'!C$19:C$33,A9,'数据-汇总表'!E$19:E$33)</f>
        <v>1595.8600000000001</v>
      </c>
      <c r="L9" s="2982">
        <f t="shared" si="12"/>
        <v>2500</v>
      </c>
      <c r="M9" s="75">
        <f t="shared" si="0"/>
        <v>399</v>
      </c>
      <c r="N9" s="3047">
        <f t="shared" si="13"/>
        <v>0.75</v>
      </c>
      <c r="O9" s="75">
        <f t="shared" si="3"/>
        <v>299</v>
      </c>
      <c r="P9" s="76">
        <f t="shared" si="4"/>
        <v>100</v>
      </c>
      <c r="Q9" s="2984">
        <v>0.05</v>
      </c>
      <c r="R9" s="77">
        <f ca="1">SUMIF('数据-汇总表'!C$19:C$33,A9,'数据-汇总表'!R$19:R$27)</f>
        <v>809.11</v>
      </c>
      <c r="S9" s="54">
        <f>IF('数据-汇总表'!$I$17="按面积比例",SUMIF('数据-汇总表'!C$19:C$33,A9,'数据-汇总表'!K$19:K$33),SUMIF('数据-汇总表'!C$19:C$33,A9,'数据-汇总表'!N$19:N$33))</f>
        <v>206.06</v>
      </c>
      <c r="T9" s="1421">
        <f t="shared" si="5"/>
        <v>52</v>
      </c>
      <c r="U9" s="2231">
        <v>1</v>
      </c>
      <c r="V9" s="2986">
        <v>2.5000000000000001E-2</v>
      </c>
      <c r="W9" s="2986">
        <v>0.1</v>
      </c>
      <c r="X9" s="1239"/>
      <c r="Y9" s="2985">
        <v>1</v>
      </c>
      <c r="Z9" s="81"/>
      <c r="AA9" s="74"/>
      <c r="AB9" s="74"/>
      <c r="AC9" s="1239"/>
      <c r="AD9" s="82"/>
      <c r="AE9" s="1240">
        <f t="shared" ca="1" si="6"/>
        <v>44.1</v>
      </c>
      <c r="AF9" s="1782"/>
      <c r="AG9" s="134">
        <f t="shared" si="7"/>
        <v>0</v>
      </c>
      <c r="AH9" s="2987">
        <f>K9</f>
        <v>1595.8600000000001</v>
      </c>
      <c r="AI9" s="85">
        <v>365</v>
      </c>
      <c r="AJ9" s="2920"/>
      <c r="AK9" s="787">
        <v>1.4999999999999999E-2</v>
      </c>
      <c r="AL9" s="788">
        <v>1.5E-3</v>
      </c>
      <c r="AM9" s="789">
        <v>0.01</v>
      </c>
      <c r="AN9" s="2279" t="s">
        <v>3153</v>
      </c>
      <c r="AO9" s="55">
        <f t="shared" ca="1" si="8"/>
        <v>864</v>
      </c>
      <c r="AP9" s="2280">
        <f t="shared" si="9"/>
        <v>0</v>
      </c>
      <c r="AQ9" s="55">
        <f t="shared" si="10"/>
        <v>39</v>
      </c>
      <c r="AR9" s="55">
        <f t="shared" si="11"/>
        <v>13</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4.25">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44.47</v>
      </c>
      <c r="G10" s="73">
        <f t="shared" si="2"/>
        <v>0.96599999999999997</v>
      </c>
      <c r="H10" s="2980">
        <v>4.4999999999999998E-2</v>
      </c>
      <c r="I10" s="2980">
        <v>0.05</v>
      </c>
      <c r="J10" s="2981">
        <v>0.08</v>
      </c>
      <c r="K10" s="1229">
        <f>SUMIF('数据-汇总表'!C$19:C$33,A10,'数据-汇总表'!E$19:E$33)</f>
        <v>1600.47</v>
      </c>
      <c r="L10" s="2982">
        <f t="shared" si="12"/>
        <v>2500</v>
      </c>
      <c r="M10" s="75">
        <f t="shared" si="0"/>
        <v>400</v>
      </c>
      <c r="N10" s="3047">
        <f t="shared" si="13"/>
        <v>0.75</v>
      </c>
      <c r="O10" s="75">
        <f t="shared" si="3"/>
        <v>300</v>
      </c>
      <c r="P10" s="76">
        <f t="shared" si="4"/>
        <v>100</v>
      </c>
      <c r="Q10" s="2984">
        <v>0.05</v>
      </c>
      <c r="R10" s="77">
        <f ca="1">SUMIF('数据-汇总表'!C$19:C$33,A10,'数据-汇总表'!R$19:R$27)</f>
        <v>811.43999999999994</v>
      </c>
      <c r="S10" s="54">
        <f>IF('数据-汇总表'!$I$17="按面积比例",SUMIF('数据-汇总表'!C$19:C$33,A10,'数据-汇总表'!K$19:K$33),SUMIF('数据-汇总表'!C$19:C$33,A10,'数据-汇总表'!N$19:N$33))</f>
        <v>206.66</v>
      </c>
      <c r="T10" s="1421">
        <f t="shared" si="5"/>
        <v>52</v>
      </c>
      <c r="U10" s="145">
        <v>800</v>
      </c>
      <c r="V10" s="2986">
        <v>0.03</v>
      </c>
      <c r="W10" s="2986">
        <v>0.1</v>
      </c>
      <c r="X10" s="1239"/>
      <c r="Y10" s="2985">
        <v>1</v>
      </c>
      <c r="Z10" s="81"/>
      <c r="AA10" s="74"/>
      <c r="AB10" s="74"/>
      <c r="AC10" s="1239"/>
      <c r="AD10" s="82"/>
      <c r="AE10" s="1240">
        <f t="shared" ca="1" si="6"/>
        <v>44.1</v>
      </c>
      <c r="AF10" s="1782"/>
      <c r="AG10" s="134">
        <f t="shared" si="7"/>
        <v>0</v>
      </c>
      <c r="AH10" s="786">
        <v>45</v>
      </c>
      <c r="AI10" s="85">
        <v>12</v>
      </c>
      <c r="AJ10" s="2920"/>
      <c r="AK10" s="787">
        <v>1.4999999999999999E-2</v>
      </c>
      <c r="AL10" s="788">
        <v>1.5E-3</v>
      </c>
      <c r="AM10" s="789">
        <v>0.01</v>
      </c>
      <c r="AN10" s="2279" t="s">
        <v>3154</v>
      </c>
      <c r="AO10" s="55">
        <f t="shared" ca="1" si="8"/>
        <v>629</v>
      </c>
      <c r="AP10" s="2280">
        <f t="shared" si="9"/>
        <v>0</v>
      </c>
      <c r="AQ10" s="55">
        <f t="shared" si="10"/>
        <v>39</v>
      </c>
      <c r="AR10" s="55">
        <f t="shared" si="11"/>
        <v>13</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4.25">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4.25">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4.25">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25">
      <c r="A14" s="2281" t="s">
        <v>2006</v>
      </c>
      <c r="B14" s="2277" t="s">
        <v>2007</v>
      </c>
      <c r="C14" s="2282" t="s">
        <v>2006</v>
      </c>
      <c r="D14" s="1029"/>
      <c r="E14" s="1026"/>
      <c r="F14" s="72"/>
      <c r="G14" s="73"/>
      <c r="H14" s="1228"/>
      <c r="I14" s="1228"/>
      <c r="J14" s="1228"/>
      <c r="K14" s="1229">
        <f>SUMIF('数据-汇总表'!C$19:C$33,A14,'数据-汇总表'!E$19:E$33)</f>
        <v>2738.9</v>
      </c>
      <c r="L14" s="2982">
        <f>L10</f>
        <v>2500</v>
      </c>
      <c r="M14" s="75">
        <f t="shared" si="0"/>
        <v>685</v>
      </c>
      <c r="N14" s="3048">
        <f>N10</f>
        <v>0.75</v>
      </c>
      <c r="O14" s="75">
        <f t="shared" si="3"/>
        <v>514</v>
      </c>
      <c r="P14" s="76">
        <f t="shared" si="4"/>
        <v>171</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7">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75" thickBot="1">
      <c r="A16" s="2283" t="s">
        <v>2010</v>
      </c>
      <c r="B16" s="95"/>
      <c r="C16" s="983"/>
      <c r="D16" s="2284"/>
      <c r="E16" s="95"/>
      <c r="F16" s="95"/>
      <c r="G16" s="96">
        <f>ROUND(SUMPRODUCT(G6:G13,K6:K13)/SUMPRODUCT((G6:G13&gt;0)*(K6:K13)),3)</f>
        <v>0.97299999999999998</v>
      </c>
      <c r="H16" s="97">
        <f>ROUND(SUMPRODUCT(H6:H13,K6:K13)/SUMPRODUCT((H6:H13&gt;0)*(K6:K13)),3)</f>
        <v>4.4999999999999998E-2</v>
      </c>
      <c r="I16" s="98"/>
      <c r="J16" s="98"/>
      <c r="K16" s="99">
        <f>SUM(K6:K15)</f>
        <v>24812</v>
      </c>
      <c r="L16" s="100">
        <f>ROUND(M16*10000/SUM(K6:K14),0)</f>
        <v>2500</v>
      </c>
      <c r="M16" s="100">
        <f>SUM(M6:M14)</f>
        <v>5987</v>
      </c>
      <c r="N16" s="101">
        <f>ROUND(SUMPRODUCT(M6:M14,N6:N14)/M16,3)</f>
        <v>0.75</v>
      </c>
      <c r="O16" s="100">
        <f>SUM(O6:O14)</f>
        <v>4491</v>
      </c>
      <c r="P16" s="100">
        <f>SUM(P6:P14)</f>
        <v>1496</v>
      </c>
      <c r="Q16" s="102">
        <f>ROUND(SUMPRODUCT(Q6:Q13,K6:K13)/SUMPRODUCT((Q6:Q13&gt;0)*(K6:K13)),2)</f>
        <v>0.15</v>
      </c>
      <c r="R16" s="1233">
        <f ca="1">SUM(R6:R13)</f>
        <v>10754.210000000001</v>
      </c>
      <c r="S16" s="103">
        <f>SUM(S6:S13)</f>
        <v>2738.9</v>
      </c>
      <c r="T16" s="104">
        <f>IF(SUMIF(T6:T13,"&lt;9E307")=M14,SUMIF(T6:T13,"&lt;9E307"),"有误，请检查")</f>
        <v>685</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5"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88" t="s">
        <v>2016</v>
      </c>
      <c r="B21" s="2989">
        <f>ROUND(B20*N16,2)</f>
        <v>1.1299999999999999</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88" t="s">
        <v>2018</v>
      </c>
      <c r="B23" s="110">
        <f>B19+B21</f>
        <v>1.1299999999999999</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0.37000000000000011</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7.75">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7.75">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8.5" thickBot="1">
      <c r="A29" s="2297" t="s">
        <v>2026</v>
      </c>
      <c r="B29" s="2992">
        <f ca="1">成本法!C9+成本法!C10</f>
        <v>347</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7">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7">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7.75"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25">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25">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25">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8" customWidth="1"/>
    <col min="2" max="2" width="24.5" style="2384" customWidth="1"/>
    <col min="3" max="3" width="24.5" style="2383" customWidth="1"/>
    <col min="4" max="4" width="2.625" style="2383" customWidth="1"/>
    <col min="5" max="5" width="5.875" style="2383" customWidth="1"/>
    <col min="6" max="6" width="27" style="2384" customWidth="1"/>
    <col min="7" max="7" width="27" style="2385" customWidth="1"/>
    <col min="8" max="8" width="11.875" style="2363" customWidth="1"/>
    <col min="9" max="9" width="16.75" style="2364" customWidth="1"/>
    <col min="10" max="10" width="2.625" style="2363" customWidth="1"/>
    <col min="11" max="11" width="11.875" style="2363" customWidth="1"/>
    <col min="12" max="12" width="16.75" style="2364" customWidth="1"/>
    <col min="13" max="13" width="2.625" style="2363" customWidth="1"/>
    <col min="14" max="14" width="11.875" style="2363" customWidth="1"/>
    <col min="15" max="15" width="16.75" style="2364" customWidth="1"/>
    <col min="16" max="16" width="2.625" style="2363" customWidth="1"/>
    <col min="17" max="17" width="11.875" style="2363" customWidth="1"/>
    <col min="18" max="18" width="16.75" style="2365" customWidth="1"/>
    <col min="19" max="29" width="9" style="2337"/>
    <col min="30" max="16384" width="9" style="2338"/>
  </cols>
  <sheetData>
    <row r="1" spans="1:29" s="2331" customFormat="1" ht="19.5" thickBot="1">
      <c r="A1" s="3180" t="s">
        <v>2077</v>
      </c>
      <c r="B1" s="3181"/>
      <c r="C1" s="3181"/>
      <c r="D1" s="3181"/>
      <c r="E1" s="3181"/>
      <c r="F1" s="3181"/>
      <c r="G1" s="3181"/>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75" thickBot="1">
      <c r="A2" s="2332"/>
      <c r="B2" s="2333"/>
      <c r="C2" s="2334" t="s">
        <v>2078</v>
      </c>
      <c r="D2" s="2335"/>
      <c r="E2" s="2336"/>
      <c r="F2" s="2256"/>
      <c r="G2" s="2334" t="s">
        <v>2079</v>
      </c>
      <c r="H2" s="2337"/>
      <c r="I2" s="2337"/>
      <c r="J2" s="2337"/>
      <c r="K2" s="2337"/>
      <c r="L2" s="2337"/>
      <c r="M2" s="2337"/>
      <c r="N2" s="2337"/>
      <c r="O2" s="2337"/>
      <c r="P2" s="2337"/>
      <c r="Q2" s="2337"/>
      <c r="R2" s="2337"/>
    </row>
    <row r="3" spans="1:29" ht="67.5">
      <c r="A3" s="402" t="s">
        <v>2080</v>
      </c>
      <c r="B3" s="1246" t="s">
        <v>2081</v>
      </c>
      <c r="C3" s="3000" t="s">
        <v>3352</v>
      </c>
      <c r="D3" s="2339"/>
      <c r="E3" s="418" t="s">
        <v>2080</v>
      </c>
      <c r="F3" s="2340" t="s">
        <v>2082</v>
      </c>
      <c r="G3" s="2341" t="s">
        <v>2083</v>
      </c>
      <c r="H3" s="2337"/>
      <c r="I3" s="2337"/>
      <c r="J3" s="2337"/>
      <c r="K3" s="2337"/>
      <c r="L3" s="2337"/>
      <c r="M3" s="2337"/>
      <c r="N3" s="2337"/>
      <c r="O3" s="2337"/>
      <c r="P3" s="2337"/>
      <c r="Q3" s="2337"/>
      <c r="R3" s="2337"/>
    </row>
    <row r="4" spans="1:29" ht="40.5">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7">
      <c r="A5" s="418"/>
      <c r="B5" s="1773" t="s">
        <v>2087</v>
      </c>
      <c r="C5" s="2342"/>
      <c r="D5" s="2339"/>
      <c r="E5" s="2343"/>
      <c r="F5" s="1773" t="s">
        <v>2088</v>
      </c>
      <c r="G5" s="2344" t="s">
        <v>2089</v>
      </c>
      <c r="H5" s="2337"/>
      <c r="I5" s="2337"/>
      <c r="J5" s="2337"/>
      <c r="K5" s="2337"/>
      <c r="L5" s="2337"/>
      <c r="M5" s="2337"/>
      <c r="N5" s="2337"/>
      <c r="O5" s="2337"/>
      <c r="P5" s="2337"/>
      <c r="Q5" s="2337"/>
      <c r="R5" s="2337"/>
    </row>
    <row r="6" spans="1:29" ht="67.5">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41.25"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7">
      <c r="A8" s="418"/>
      <c r="B8" s="1773" t="s">
        <v>2091</v>
      </c>
      <c r="C8" s="3003" t="s">
        <v>3158</v>
      </c>
      <c r="D8" s="2345"/>
      <c r="E8" s="2345"/>
      <c r="F8" s="1111"/>
      <c r="G8" s="1111"/>
      <c r="H8" s="2337"/>
      <c r="I8" s="2337"/>
      <c r="J8" s="2337"/>
      <c r="K8" s="2337"/>
      <c r="L8" s="2337"/>
      <c r="M8" s="2337"/>
      <c r="N8" s="2337"/>
      <c r="O8" s="2337"/>
      <c r="P8" s="2337"/>
      <c r="Q8" s="2337"/>
      <c r="R8" s="2337"/>
    </row>
    <row r="9" spans="1:29" ht="40.5">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7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ht="15">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8">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9.5" thickBot="1">
      <c r="A13" s="2361" t="s">
        <v>2097</v>
      </c>
      <c r="B13" s="2355"/>
      <c r="C13" s="2355"/>
      <c r="D13" s="2362"/>
      <c r="E13" s="2355"/>
      <c r="F13" s="2355"/>
      <c r="G13" s="2355"/>
    </row>
    <row r="14" spans="1:29" ht="15.75" thickBot="1">
      <c r="A14" s="2366"/>
      <c r="B14" s="2367"/>
      <c r="C14" s="2368" t="s">
        <v>2098</v>
      </c>
      <c r="D14" s="2339"/>
      <c r="E14" s="2369"/>
      <c r="F14" s="2369"/>
      <c r="G14" s="2334" t="s">
        <v>2099</v>
      </c>
    </row>
    <row r="15" spans="1:29" ht="71.25">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2.75">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5">
      <c r="A17" s="632"/>
      <c r="B17" s="2372" t="s">
        <v>2087</v>
      </c>
      <c r="C17" s="2373">
        <f>C5</f>
        <v>0</v>
      </c>
      <c r="D17" s="2345"/>
      <c r="E17" s="2374"/>
      <c r="F17" s="2375" t="s">
        <v>2103</v>
      </c>
      <c r="G17" s="1547"/>
    </row>
    <row r="18" spans="1:18" ht="71.25">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5">
      <c r="A19" s="632"/>
      <c r="B19" s="2375" t="s">
        <v>2104</v>
      </c>
      <c r="C19" s="3005" t="s">
        <v>3161</v>
      </c>
      <c r="D19" s="2339"/>
      <c r="E19" s="2374"/>
      <c r="F19" s="1773" t="s">
        <v>2088</v>
      </c>
      <c r="G19" s="123" t="str">
        <f>G5</f>
        <v>估价对象所在区域公共配套设施齐备情况</v>
      </c>
    </row>
    <row r="20" spans="1:18" ht="42.75">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42.75">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7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7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16" customWidth="1"/>
    <col min="2" max="9" width="15.75" style="1716" customWidth="1"/>
    <col min="10" max="16384" width="9" style="1716"/>
  </cols>
  <sheetData>
    <row r="1" spans="1:10" ht="16.5">
      <c r="A1" s="1721" t="s">
        <v>1360</v>
      </c>
      <c r="B1" s="1721">
        <f>SUM(B14:B23)</f>
        <v>24811.999999999996</v>
      </c>
      <c r="C1" s="1720"/>
      <c r="D1" s="1720"/>
      <c r="E1" s="1720"/>
      <c r="F1" s="1720"/>
      <c r="G1" s="1718"/>
    </row>
    <row r="2" spans="1:10" ht="16.5">
      <c r="A2" s="1721" t="s">
        <v>1348</v>
      </c>
      <c r="B2" s="1721">
        <f>SUM(C14:C23)</f>
        <v>11141.12</v>
      </c>
      <c r="C2" s="1720"/>
      <c r="D2" s="1720"/>
      <c r="E2" s="1720"/>
      <c r="F2" s="1720"/>
      <c r="G2" s="1718"/>
    </row>
    <row r="3" spans="1:10" ht="16.5">
      <c r="A3" s="1721" t="s">
        <v>1357</v>
      </c>
      <c r="B3" s="1722">
        <f>项目基本情况!D3</f>
        <v>43976</v>
      </c>
      <c r="C3" s="1720"/>
      <c r="D3" s="1720"/>
      <c r="E3" s="1720"/>
      <c r="F3" s="1720"/>
      <c r="G3" s="1718"/>
    </row>
    <row r="4" spans="1:10" ht="33">
      <c r="A4" s="1721" t="s">
        <v>1356</v>
      </c>
      <c r="B4" s="1721" t="s">
        <v>1355</v>
      </c>
      <c r="C4" s="1721" t="s">
        <v>1354</v>
      </c>
      <c r="D4" s="1721" t="s">
        <v>1353</v>
      </c>
      <c r="E4" s="1720"/>
      <c r="F4" s="1718"/>
      <c r="G4" s="1718"/>
    </row>
    <row r="5" spans="1:10" ht="16.5">
      <c r="A5" s="1721" t="s">
        <v>1352</v>
      </c>
      <c r="B5" s="1721">
        <f ca="1">SUM(D14:D23)</f>
        <v>63704</v>
      </c>
      <c r="C5" s="1721">
        <f ca="1">ROUND(B5*10000/$B$1,0)</f>
        <v>25675</v>
      </c>
      <c r="D5" s="1721">
        <f ca="1">ROUND(B5*10000/$B$2,0)</f>
        <v>57179</v>
      </c>
      <c r="E5" s="1720"/>
      <c r="F5" s="1718"/>
      <c r="G5" s="1718"/>
    </row>
    <row r="6" spans="1:10" ht="16.5">
      <c r="A6" s="1721" t="s">
        <v>1351</v>
      </c>
      <c r="B6" s="1721">
        <f ca="1">SUM(G14:G23)</f>
        <v>63704</v>
      </c>
      <c r="C6" s="1721">
        <f ca="1">ROUND(B6*10000/$B$1,0)</f>
        <v>25675</v>
      </c>
      <c r="D6" s="1721">
        <f ca="1">ROUND(B6*10000/$B$2,0)</f>
        <v>57179</v>
      </c>
      <c r="E6" s="1720"/>
      <c r="F6" s="1718"/>
      <c r="G6" s="1718"/>
    </row>
    <row r="7" spans="1:10" ht="16.5">
      <c r="A7" s="1721" t="s">
        <v>1359</v>
      </c>
      <c r="B7" s="1721">
        <f>SUM(H14:H23)</f>
        <v>0</v>
      </c>
      <c r="C7" s="1721">
        <f>ROUND(B7*10000/$B$1,0)</f>
        <v>0</v>
      </c>
      <c r="D7" s="1721">
        <f>ROUND(B7*10000/$B$2,0)</f>
        <v>0</v>
      </c>
      <c r="E7" s="1720"/>
      <c r="F7" s="1718"/>
      <c r="G7" s="1718"/>
    </row>
    <row r="8" spans="1:10" ht="16.5">
      <c r="A8" s="1721" t="s">
        <v>1280</v>
      </c>
      <c r="B8" s="1721">
        <f>SUM(I14:I23)</f>
        <v>0</v>
      </c>
      <c r="C8" s="1721">
        <f>ROUND(B8*10000/$B$1,0)</f>
        <v>0</v>
      </c>
      <c r="D8" s="1721">
        <f>ROUND(B8*10000/$B$2,0)</f>
        <v>0</v>
      </c>
      <c r="E8" s="1720"/>
      <c r="F8" s="1718"/>
      <c r="G8" s="1718"/>
    </row>
    <row r="9" spans="1:10" ht="16.5">
      <c r="A9" s="1721" t="s">
        <v>1350</v>
      </c>
      <c r="B9" s="1723"/>
      <c r="C9" s="1720"/>
      <c r="D9" s="1720"/>
      <c r="E9" s="1720"/>
      <c r="F9" s="1718"/>
      <c r="G9" s="1718"/>
    </row>
    <row r="10" spans="1:10" ht="16.5">
      <c r="A10" s="1721" t="s">
        <v>1349</v>
      </c>
      <c r="B10" s="1723"/>
      <c r="C10" s="1720"/>
      <c r="D10" s="1720"/>
      <c r="E10" s="1720"/>
      <c r="F10" s="1718"/>
      <c r="G10" s="1718"/>
    </row>
    <row r="11" spans="1:10" ht="16.5">
      <c r="A11" s="1721" t="s">
        <v>1365</v>
      </c>
      <c r="B11" s="1723"/>
      <c r="C11" s="1720"/>
      <c r="D11" s="1720"/>
      <c r="E11" s="1720"/>
      <c r="F11" s="1718"/>
      <c r="G11" s="1718"/>
    </row>
    <row r="12" spans="1:10" ht="16.5">
      <c r="A12" s="1720"/>
      <c r="B12" s="1720"/>
      <c r="C12" s="1720"/>
      <c r="D12" s="1720"/>
      <c r="E12" s="1720"/>
      <c r="F12" s="1718"/>
      <c r="G12" s="1718"/>
    </row>
    <row r="13" spans="1:10" ht="33">
      <c r="A13" s="1726" t="s">
        <v>1364</v>
      </c>
      <c r="B13" s="1719" t="s">
        <v>1361</v>
      </c>
      <c r="C13" s="1719" t="s">
        <v>1363</v>
      </c>
      <c r="D13" s="1719" t="s">
        <v>1362</v>
      </c>
      <c r="E13" s="1721" t="s">
        <v>1354</v>
      </c>
      <c r="F13" s="1721" t="s">
        <v>1353</v>
      </c>
      <c r="G13" s="1719" t="s">
        <v>1347</v>
      </c>
      <c r="H13" s="1719" t="s">
        <v>1358</v>
      </c>
      <c r="I13" s="1719" t="s">
        <v>1346</v>
      </c>
      <c r="J13" s="1718"/>
    </row>
    <row r="14" spans="1:10" ht="16.5">
      <c r="A14" s="1717" t="s">
        <v>1345</v>
      </c>
      <c r="B14" s="1719">
        <f>结果表!B118</f>
        <v>24811.999999999996</v>
      </c>
      <c r="C14" s="1719">
        <f>结果表!C118</f>
        <v>11141.12</v>
      </c>
      <c r="D14" s="1719">
        <f ca="1">结果表!H118</f>
        <v>63704</v>
      </c>
      <c r="E14" s="1719">
        <f ca="1">ROUND(D14*10000/B14,0)</f>
        <v>25675</v>
      </c>
      <c r="F14" s="1719">
        <f ca="1">ROUND(D14*10000/C14,0)</f>
        <v>57179</v>
      </c>
      <c r="G14" s="1719">
        <f ca="1">结果表!D122</f>
        <v>63704</v>
      </c>
      <c r="H14" s="1719" t="str">
        <f>结果表!D124</f>
        <v>——</v>
      </c>
      <c r="I14" s="1719" t="str">
        <f>结果表!D126</f>
        <v>——</v>
      </c>
      <c r="J14" s="1718"/>
    </row>
    <row r="15" spans="1:10" ht="16.5">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6.5">
      <c r="A16" s="1717" t="s">
        <v>1343</v>
      </c>
      <c r="B16" s="1724"/>
      <c r="C16" s="1724"/>
      <c r="D16" s="1724"/>
      <c r="E16" s="1719" t="e">
        <f t="shared" si="0"/>
        <v>#DIV/0!</v>
      </c>
      <c r="F16" s="1719" t="e">
        <f t="shared" si="1"/>
        <v>#DIV/0!</v>
      </c>
      <c r="G16" s="1725"/>
      <c r="H16" s="1725"/>
      <c r="I16" s="1724"/>
    </row>
    <row r="17" spans="1:9" ht="16.5">
      <c r="A17" s="1717" t="s">
        <v>1342</v>
      </c>
      <c r="B17" s="1724"/>
      <c r="C17" s="1724"/>
      <c r="D17" s="1724"/>
      <c r="E17" s="1719" t="e">
        <f t="shared" si="0"/>
        <v>#DIV/0!</v>
      </c>
      <c r="F17" s="1719" t="e">
        <f t="shared" si="1"/>
        <v>#DIV/0!</v>
      </c>
      <c r="G17" s="1725"/>
      <c r="H17" s="1725"/>
      <c r="I17" s="1724"/>
    </row>
    <row r="18" spans="1:9" ht="16.5">
      <c r="A18" s="1717" t="s">
        <v>1341</v>
      </c>
      <c r="B18" s="1724"/>
      <c r="C18" s="1724"/>
      <c r="D18" s="1724"/>
      <c r="E18" s="1719" t="e">
        <f t="shared" si="0"/>
        <v>#DIV/0!</v>
      </c>
      <c r="F18" s="1719" t="e">
        <f t="shared" si="1"/>
        <v>#DIV/0!</v>
      </c>
      <c r="G18" s="1724"/>
      <c r="H18" s="1724"/>
      <c r="I18" s="1724"/>
    </row>
    <row r="19" spans="1:9" ht="16.5">
      <c r="A19" s="1717" t="s">
        <v>1340</v>
      </c>
      <c r="B19" s="1724"/>
      <c r="C19" s="1724"/>
      <c r="D19" s="1724"/>
      <c r="E19" s="1719" t="e">
        <f t="shared" si="0"/>
        <v>#DIV/0!</v>
      </c>
      <c r="F19" s="1719" t="e">
        <f t="shared" si="1"/>
        <v>#DIV/0!</v>
      </c>
      <c r="G19" s="1724"/>
      <c r="H19" s="1724"/>
      <c r="I19" s="1724"/>
    </row>
    <row r="20" spans="1:9" ht="16.5">
      <c r="A20" s="1717" t="s">
        <v>1339</v>
      </c>
      <c r="B20" s="1724"/>
      <c r="C20" s="1724"/>
      <c r="D20" s="1724"/>
      <c r="E20" s="1719" t="e">
        <f t="shared" si="0"/>
        <v>#DIV/0!</v>
      </c>
      <c r="F20" s="1719" t="e">
        <f t="shared" si="1"/>
        <v>#DIV/0!</v>
      </c>
      <c r="G20" s="1724"/>
      <c r="H20" s="1724"/>
      <c r="I20" s="1724"/>
    </row>
    <row r="21" spans="1:9" ht="16.5">
      <c r="A21" s="1717" t="s">
        <v>1338</v>
      </c>
      <c r="B21" s="1724"/>
      <c r="C21" s="1724"/>
      <c r="D21" s="1724"/>
      <c r="E21" s="1719" t="e">
        <f t="shared" si="0"/>
        <v>#DIV/0!</v>
      </c>
      <c r="F21" s="1719" t="e">
        <f t="shared" si="1"/>
        <v>#DIV/0!</v>
      </c>
      <c r="G21" s="1724"/>
      <c r="H21" s="1724"/>
      <c r="I21" s="1724"/>
    </row>
    <row r="22" spans="1:9" ht="16.5">
      <c r="A22" s="1717" t="s">
        <v>1337</v>
      </c>
      <c r="B22" s="1724"/>
      <c r="C22" s="1724"/>
      <c r="D22" s="1724"/>
      <c r="E22" s="1719" t="e">
        <f t="shared" si="0"/>
        <v>#DIV/0!</v>
      </c>
      <c r="F22" s="1719" t="e">
        <f t="shared" si="1"/>
        <v>#DIV/0!</v>
      </c>
      <c r="G22" s="1724"/>
      <c r="H22" s="1724"/>
      <c r="I22" s="1724"/>
    </row>
    <row r="23" spans="1:9" ht="16.5">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L107" sqref="L107"/>
    </sheetView>
  </sheetViews>
  <sheetFormatPr defaultColWidth="12.625" defaultRowHeight="21.75" customHeight="1"/>
  <cols>
    <col min="1" max="2" width="12.625" style="2392"/>
    <col min="3" max="4" width="12.625" style="2392" customWidth="1"/>
    <col min="5" max="9" width="12.625" style="2392"/>
    <col min="10" max="11" width="12.625" style="780" customWidth="1"/>
    <col min="12" max="12" width="12.625" style="780"/>
    <col min="13" max="13" width="14.125" style="780" bestFit="1" customWidth="1"/>
    <col min="14" max="26" width="12.625" style="780"/>
    <col min="27" max="35" width="12.625" style="2391"/>
    <col min="36" max="16384" width="12.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15" t="str">
        <f>项目基本情况!S2</f>
        <v>北京市门头沟区潭柘寺MC01-0003-6004地块C11出让国有建设用地使用权及在建建筑物房地产</v>
      </c>
      <c r="B2" s="3216"/>
      <c r="C2" s="3216"/>
      <c r="D2" s="3216"/>
      <c r="E2" s="3216"/>
      <c r="F2" s="3216"/>
      <c r="G2" s="3216"/>
      <c r="H2" s="3216"/>
      <c r="I2" s="3217"/>
    </row>
    <row r="3" spans="1:12" ht="12.75">
      <c r="A3" s="3219" t="s">
        <v>2113</v>
      </c>
      <c r="B3" s="3220"/>
      <c r="C3" s="3220"/>
      <c r="D3" s="3220"/>
      <c r="E3" s="3220"/>
      <c r="F3" s="3220"/>
      <c r="G3" s="3220"/>
      <c r="H3" s="3220"/>
      <c r="I3" s="3220"/>
    </row>
    <row r="4" spans="1:12" ht="14.25">
      <c r="A4" s="2393" t="s">
        <v>2114</v>
      </c>
      <c r="B4" s="2394" t="s">
        <v>2115</v>
      </c>
      <c r="C4" s="2395" t="s">
        <v>3343</v>
      </c>
      <c r="D4" s="2395" t="s">
        <v>3344</v>
      </c>
      <c r="E4" s="3212" t="s">
        <v>2116</v>
      </c>
      <c r="F4" s="3213"/>
      <c r="G4" s="3213"/>
      <c r="H4" s="3213"/>
      <c r="I4" s="3221"/>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2.75">
      <c r="A5" s="3195" t="s">
        <v>2117</v>
      </c>
      <c r="B5" s="3103">
        <v>25</v>
      </c>
      <c r="C5" s="3198"/>
      <c r="D5" s="3218"/>
      <c r="E5" s="127" t="s">
        <v>2118</v>
      </c>
      <c r="F5" s="2397"/>
      <c r="G5" s="2397"/>
      <c r="H5" s="2397"/>
      <c r="I5" s="1809"/>
    </row>
    <row r="6" spans="1:12" ht="12.75">
      <c r="A6" s="3195"/>
      <c r="B6" s="3103"/>
      <c r="C6" s="3199"/>
      <c r="D6" s="3218"/>
      <c r="E6" s="127" t="s">
        <v>2119</v>
      </c>
      <c r="F6" s="2397"/>
      <c r="G6" s="2397"/>
      <c r="H6" s="2397"/>
      <c r="I6" s="1809"/>
    </row>
    <row r="7" spans="1:12" ht="12.75">
      <c r="A7" s="3195"/>
      <c r="B7" s="3103"/>
      <c r="C7" s="3200"/>
      <c r="D7" s="3218"/>
      <c r="E7" s="127" t="s">
        <v>2120</v>
      </c>
      <c r="F7" s="2397"/>
      <c r="G7" s="2397"/>
      <c r="H7" s="2397"/>
      <c r="I7" s="1809"/>
    </row>
    <row r="8" spans="1:12" ht="12.75">
      <c r="A8" s="3195" t="s">
        <v>2121</v>
      </c>
      <c r="B8" s="3103">
        <v>15</v>
      </c>
      <c r="C8" s="3198"/>
      <c r="D8" s="3218"/>
      <c r="E8" s="127" t="s">
        <v>2122</v>
      </c>
      <c r="F8" s="2397"/>
      <c r="G8" s="2397"/>
      <c r="H8" s="2397"/>
      <c r="I8" s="1809"/>
    </row>
    <row r="9" spans="1:12" ht="12.75">
      <c r="A9" s="3195"/>
      <c r="B9" s="3103"/>
      <c r="C9" s="3200"/>
      <c r="D9" s="3218"/>
      <c r="E9" s="127" t="s">
        <v>2123</v>
      </c>
      <c r="F9" s="2397"/>
      <c r="G9" s="2397"/>
      <c r="H9" s="2397"/>
      <c r="I9" s="1809"/>
    </row>
    <row r="10" spans="1:12" ht="12.75">
      <c r="A10" s="3195" t="s">
        <v>2124</v>
      </c>
      <c r="B10" s="3103">
        <v>15</v>
      </c>
      <c r="C10" s="3198"/>
      <c r="D10" s="3218"/>
      <c r="E10" s="127" t="s">
        <v>2125</v>
      </c>
      <c r="F10" s="2397"/>
      <c r="G10" s="2397"/>
      <c r="H10" s="2397"/>
      <c r="I10" s="1809"/>
    </row>
    <row r="11" spans="1:12" ht="12.75">
      <c r="A11" s="3195"/>
      <c r="B11" s="3103"/>
      <c r="C11" s="3200"/>
      <c r="D11" s="3218"/>
      <c r="E11" s="127" t="s">
        <v>2126</v>
      </c>
      <c r="F11" s="2397"/>
      <c r="G11" s="2397"/>
      <c r="H11" s="2397"/>
      <c r="I11" s="1809"/>
    </row>
    <row r="12" spans="1:12" ht="12.75">
      <c r="A12" s="3195" t="s">
        <v>2127</v>
      </c>
      <c r="B12" s="3103">
        <v>15</v>
      </c>
      <c r="C12" s="3198"/>
      <c r="D12" s="3218"/>
      <c r="E12" s="127" t="s">
        <v>2128</v>
      </c>
      <c r="F12" s="2397"/>
      <c r="G12" s="2397"/>
      <c r="H12" s="2397"/>
      <c r="I12" s="1809"/>
    </row>
    <row r="13" spans="1:12" ht="12.75">
      <c r="A13" s="3195"/>
      <c r="B13" s="3103"/>
      <c r="C13" s="3200"/>
      <c r="D13" s="3218"/>
      <c r="E13" s="127" t="s">
        <v>2129</v>
      </c>
      <c r="F13" s="2397"/>
      <c r="G13" s="2397"/>
      <c r="H13" s="2397"/>
      <c r="I13" s="1809"/>
    </row>
    <row r="14" spans="1:12" ht="12.75">
      <c r="A14" s="3195" t="s">
        <v>2130</v>
      </c>
      <c r="B14" s="3103">
        <v>30</v>
      </c>
      <c r="C14" s="3198">
        <v>5</v>
      </c>
      <c r="D14" s="3218">
        <v>5</v>
      </c>
      <c r="E14" s="127" t="s">
        <v>2131</v>
      </c>
      <c r="F14" s="2397"/>
      <c r="G14" s="2397"/>
      <c r="H14" s="2397"/>
      <c r="I14" s="1809"/>
    </row>
    <row r="15" spans="1:12" ht="12.75">
      <c r="A15" s="3195"/>
      <c r="B15" s="3103"/>
      <c r="C15" s="3199"/>
      <c r="D15" s="3218"/>
      <c r="E15" s="127" t="s">
        <v>2132</v>
      </c>
      <c r="F15" s="2397"/>
      <c r="G15" s="2397"/>
      <c r="H15" s="2397"/>
      <c r="I15" s="1809"/>
    </row>
    <row r="16" spans="1:12" ht="12.75">
      <c r="A16" s="3195"/>
      <c r="B16" s="3103"/>
      <c r="C16" s="3200"/>
      <c r="D16" s="3218"/>
      <c r="E16" s="127" t="s">
        <v>2133</v>
      </c>
      <c r="F16" s="2397"/>
      <c r="G16" s="2397"/>
      <c r="H16" s="2397"/>
      <c r="I16" s="1809"/>
    </row>
    <row r="17" spans="1:35" ht="15">
      <c r="A17" s="2398" t="s">
        <v>2134</v>
      </c>
      <c r="B17" s="64"/>
      <c r="C17" s="128">
        <f>SUM(C5:C16)</f>
        <v>5</v>
      </c>
      <c r="D17" s="128">
        <f>SUM(D5:D16)</f>
        <v>5</v>
      </c>
      <c r="E17" s="125"/>
      <c r="F17" s="125"/>
      <c r="G17" s="125"/>
      <c r="H17" s="125"/>
      <c r="I17" s="125"/>
      <c r="K17" s="2396"/>
      <c r="L17" s="2399" t="s">
        <v>2135</v>
      </c>
      <c r="M17" s="2399" t="s">
        <v>2136</v>
      </c>
    </row>
    <row r="18" spans="1:35" ht="15.7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24811.999999999996</v>
      </c>
      <c r="M18" s="2396">
        <f>IF(C1="",'数据-汇总表'!E3,SUMIF(项目类型,C1,'数据-汇总表'!E17:E26))</f>
        <v>24811.999999999996</v>
      </c>
    </row>
    <row r="19" spans="1:35" ht="15">
      <c r="A19" s="2402" t="s">
        <v>2139</v>
      </c>
      <c r="B19" s="2403" t="s">
        <v>2140</v>
      </c>
      <c r="C19" s="130">
        <f ca="1">SUMIF(INDIRECT("'"&amp;C4&amp;"'"&amp;"!A:A"),结果表!B19,INDIRECT("'"&amp;C4&amp;"'"&amp;"!B:B"))</f>
        <v>68190</v>
      </c>
      <c r="D19" s="131">
        <f ca="1">SUMIF(INDIRECT("'"&amp;D4&amp;"'"&amp;"!A:A"),结果表!B19,INDIRECT("'"&amp;D4&amp;"'"&amp;"!B:B"))</f>
        <v>59217</v>
      </c>
      <c r="E19" s="2402" t="s">
        <v>2141</v>
      </c>
      <c r="F19" s="2403" t="s">
        <v>2140</v>
      </c>
      <c r="G19" s="132">
        <f ca="1">ROUND(C19*$C$18+D19*$D$18,0)</f>
        <v>63704</v>
      </c>
      <c r="H19" s="2404" t="s">
        <v>2142</v>
      </c>
      <c r="I19" s="125"/>
      <c r="K19" s="2396" t="s">
        <v>2143</v>
      </c>
      <c r="L19" s="2396">
        <f>IF(C1="",'数据-汇总表'!D3,SUMIF(项目类型,C1,'数据-汇总表'!D17:D26)+SUMIF(项目类型,C1,'数据-汇总表'!H17:H27))</f>
        <v>11141.12</v>
      </c>
      <c r="M19" s="2396">
        <f>IF(C1="",'数据-汇总表'!D3,SUMIF(项目类型,C1,'数据-汇总表'!D17:D26))</f>
        <v>11141.12</v>
      </c>
    </row>
    <row r="20" spans="1:35" ht="15">
      <c r="A20" s="2405"/>
      <c r="B20" s="1225" t="s">
        <v>2144</v>
      </c>
      <c r="C20" s="133">
        <f ca="1">SUMIF(INDIRECT("'"&amp;C4&amp;"'"&amp;"!A:A"),结果表!B20,INDIRECT("'"&amp;C4&amp;"'"&amp;"!B:B"))</f>
        <v>27483</v>
      </c>
      <c r="D20" s="134">
        <f ca="1">SUMIF(INDIRECT("'"&amp;D4&amp;"'"&amp;"!A:A"),结果表!B20,INDIRECT("'"&amp;D4&amp;"'"&amp;"!B:B"))</f>
        <v>23866</v>
      </c>
      <c r="E20" s="2405"/>
      <c r="F20" s="1225" t="s">
        <v>2144</v>
      </c>
      <c r="G20" s="135">
        <f ca="1">ROUND(C20*$C$18+D20*$D$18,0)</f>
        <v>25675</v>
      </c>
      <c r="H20" s="958" t="s">
        <v>2145</v>
      </c>
      <c r="I20" s="125"/>
    </row>
    <row r="21" spans="1:35" ht="15" customHeight="1" thickBot="1">
      <c r="A21" s="978"/>
      <c r="B21" s="2406" t="s">
        <v>2146</v>
      </c>
      <c r="C21" s="774">
        <f ca="1">ROUND(C19*10000/L19,0)</f>
        <v>61206</v>
      </c>
      <c r="D21" s="775">
        <f ca="1">ROUND(D19*10000/L19,0)</f>
        <v>53152</v>
      </c>
      <c r="E21" s="978"/>
      <c r="F21" s="2406" t="s">
        <v>2146</v>
      </c>
      <c r="G21" s="136">
        <f ca="1">ROUND(G19*10000/L19,0)</f>
        <v>57179</v>
      </c>
      <c r="H21" s="2407" t="s">
        <v>2145</v>
      </c>
      <c r="I21" s="125"/>
    </row>
    <row r="22" spans="1:35" ht="15" thickBot="1">
      <c r="A22" s="2251" t="s">
        <v>2147</v>
      </c>
      <c r="B22" s="2408"/>
      <c r="C22" s="2409"/>
      <c r="D22" s="776">
        <f ca="1">IF(C19&lt;D19,D19/C19-1,C19/D19-1)</f>
        <v>0.15152743300065863</v>
      </c>
      <c r="E22" s="125"/>
      <c r="F22" s="125"/>
      <c r="G22" s="125"/>
      <c r="H22" s="125"/>
      <c r="I22" s="125"/>
    </row>
    <row r="23" spans="1:35" ht="13.5" thickBot="1">
      <c r="A23" s="2386"/>
      <c r="B23" s="2386"/>
      <c r="C23" s="2386"/>
      <c r="D23" s="2386"/>
      <c r="E23" s="125"/>
      <c r="F23" s="125"/>
      <c r="G23" s="125"/>
      <c r="H23" s="125"/>
      <c r="I23" s="125"/>
    </row>
    <row r="24" spans="1:35" ht="14.25">
      <c r="A24" s="3189" t="s">
        <v>2148</v>
      </c>
      <c r="B24" s="2403" t="s">
        <v>2140</v>
      </c>
      <c r="C24" s="132">
        <f>IF(B30=0,0,D30)</f>
        <v>0</v>
      </c>
      <c r="D24" s="2410"/>
      <c r="E24" s="125"/>
      <c r="F24" s="125"/>
      <c r="G24" s="125"/>
      <c r="H24" s="125"/>
      <c r="I24" s="125"/>
    </row>
    <row r="25" spans="1:35" ht="14.25">
      <c r="A25" s="3190"/>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4.25">
      <c r="A27" s="2412"/>
      <c r="B27" s="138">
        <v>0</v>
      </c>
      <c r="C27" s="138">
        <v>0</v>
      </c>
      <c r="D27" s="139"/>
      <c r="E27" s="125"/>
      <c r="F27" s="125"/>
      <c r="G27" s="125"/>
      <c r="H27" s="125"/>
      <c r="I27" s="125"/>
    </row>
    <row r="28" spans="1:35" ht="14.25">
      <c r="A28" s="2412"/>
      <c r="B28" s="138"/>
      <c r="C28" s="138"/>
      <c r="D28" s="139"/>
      <c r="E28" s="125"/>
      <c r="F28" s="125"/>
      <c r="G28" s="125"/>
      <c r="H28" s="125"/>
      <c r="I28" s="125"/>
    </row>
    <row r="29" spans="1:35" ht="14.25">
      <c r="A29" s="2412"/>
      <c r="B29" s="138"/>
      <c r="C29" s="138"/>
      <c r="D29" s="139"/>
      <c r="E29" s="125"/>
      <c r="F29" s="125"/>
      <c r="G29" s="125"/>
      <c r="H29" s="125"/>
      <c r="I29" s="125"/>
    </row>
    <row r="30" spans="1:35" ht="14.25">
      <c r="A30" s="138" t="s">
        <v>2153</v>
      </c>
      <c r="B30" s="138"/>
      <c r="C30" s="138"/>
      <c r="D30" s="138"/>
      <c r="E30" s="2882" t="s">
        <v>3023</v>
      </c>
      <c r="F30" s="125"/>
      <c r="G30" s="125"/>
      <c r="H30" s="125"/>
      <c r="I30" s="125"/>
    </row>
    <row r="31" spans="1:35" s="2414" customFormat="1" ht="15"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75" thickBot="1">
      <c r="A32" s="2415" t="s">
        <v>2154</v>
      </c>
      <c r="B32" s="2416"/>
      <c r="C32" s="140">
        <f ca="1">IF(D32="总价",G19-C24,G20-C25)</f>
        <v>63704</v>
      </c>
      <c r="D32" s="2417" t="s">
        <v>2155</v>
      </c>
      <c r="E32" s="125"/>
      <c r="F32" s="125"/>
      <c r="G32" s="125"/>
      <c r="H32" s="125"/>
      <c r="I32" s="125"/>
    </row>
    <row r="33" spans="1:15" ht="15">
      <c r="A33" s="935" t="s">
        <v>2156</v>
      </c>
      <c r="B33" s="2418"/>
      <c r="C33" s="2419" t="s">
        <v>3345</v>
      </c>
      <c r="D33" s="2420" t="s">
        <v>3343</v>
      </c>
      <c r="E33" s="2421" t="s">
        <v>2157</v>
      </c>
      <c r="F33" s="2422" t="str">
        <f>IF(D32="楼面单价","取值（单价）","取值（总价）")</f>
        <v>取值（总价）</v>
      </c>
      <c r="G33" s="125"/>
      <c r="H33" s="125"/>
      <c r="I33" s="125"/>
    </row>
    <row r="34" spans="1:15" ht="15">
      <c r="A34" s="2423"/>
      <c r="B34" s="2424" t="s">
        <v>2158</v>
      </c>
      <c r="C34" s="144">
        <f ca="1">IF(C33="自定义",F34,C32-C35)</f>
        <v>57397</v>
      </c>
      <c r="D34" s="1033">
        <f ca="1">IF(C33="自定义",ROUND(C34/C32,3),IF(C33="收益比率",SUMIF(INDIRECT("'"&amp;D33&amp;"'"&amp;"!b:b"),"土地收益比率",INDIRECT("'"&amp;D33&amp;"'"&amp;"!c:c")),SUMIF(INDIRECT("'"&amp;D33&amp;"'"&amp;"!b:b"),"土地成本比率",INDIRECT("'"&amp;D33&amp;"'"&amp;"!c:c"))))</f>
        <v>0.90100000000000002</v>
      </c>
      <c r="E34" s="2425" t="s">
        <v>2159</v>
      </c>
      <c r="F34" s="1714"/>
      <c r="G34" s="125"/>
      <c r="H34" s="125"/>
      <c r="I34" s="125"/>
    </row>
    <row r="35" spans="1:15" ht="15.75" thickBot="1">
      <c r="A35" s="2426"/>
      <c r="B35" s="2427" t="s">
        <v>2160</v>
      </c>
      <c r="C35" s="1419">
        <f ca="1">IF(C33="自定义",F35,ROUND(C32*D35,0))</f>
        <v>6307</v>
      </c>
      <c r="D35" s="1420">
        <f ca="1">IF(C33="自定义",ROUND(C35/C32,3),IF(C33="收益比率",SUMIF(INDIRECT("'"&amp;D33&amp;"'"&amp;"!b:b"),"建筑物收益比率",INDIRECT("'"&amp;D33&amp;"'"&amp;"!c:c")),SUMIF(INDIRECT("'"&amp;D33&amp;"'"&amp;"!b:b"),"建筑物成本比率",INDIRECT("'"&amp;D33&amp;"'"&amp;"!c:c"))))</f>
        <v>9.9000000000000005E-2</v>
      </c>
      <c r="E35" s="2428" t="s">
        <v>2161</v>
      </c>
      <c r="F35" s="150"/>
      <c r="G35" s="125"/>
      <c r="H35" s="125"/>
      <c r="I35" s="125"/>
    </row>
    <row r="36" spans="1:15" ht="15.75" thickBot="1">
      <c r="A36" s="3207" t="s">
        <v>2162</v>
      </c>
      <c r="B36" s="2429" t="s">
        <v>2163</v>
      </c>
      <c r="C36" s="141"/>
      <c r="D36" s="2430"/>
      <c r="E36" s="2431"/>
      <c r="F36" s="2432"/>
      <c r="G36" s="125"/>
      <c r="H36" s="125"/>
      <c r="I36" s="125"/>
    </row>
    <row r="37" spans="1:15" ht="15.75" thickBot="1">
      <c r="A37" s="3208"/>
      <c r="B37" s="2237" t="s">
        <v>2164</v>
      </c>
      <c r="C37" s="143"/>
      <c r="D37" s="1370"/>
      <c r="E37" s="1370"/>
      <c r="F37" s="2432"/>
      <c r="G37" s="125"/>
      <c r="H37" s="125"/>
      <c r="I37" s="125"/>
    </row>
    <row r="38" spans="1:15" ht="15.75" thickBot="1">
      <c r="A38" s="3209"/>
      <c r="B38" s="2433" t="s">
        <v>2165</v>
      </c>
      <c r="C38" s="712"/>
      <c r="D38" s="2434" t="s">
        <v>2166</v>
      </c>
      <c r="E38" s="1370"/>
      <c r="F38" s="2432"/>
      <c r="G38" s="125"/>
      <c r="H38" s="125"/>
      <c r="I38" s="125"/>
    </row>
    <row r="39" spans="1:15" ht="15">
      <c r="A39" s="2405" t="s">
        <v>2167</v>
      </c>
      <c r="B39" s="2435" t="s">
        <v>2168</v>
      </c>
      <c r="C39" s="2436" t="s">
        <v>2169</v>
      </c>
      <c r="D39" s="2436" t="s">
        <v>2170</v>
      </c>
      <c r="E39" s="2437" t="s">
        <v>2171</v>
      </c>
      <c r="F39" s="2432"/>
      <c r="G39" s="125"/>
      <c r="H39" s="125"/>
      <c r="I39" s="125"/>
    </row>
    <row r="40" spans="1:15" ht="14.25">
      <c r="A40" s="2438" t="s">
        <v>2172</v>
      </c>
      <c r="B40" s="145"/>
      <c r="C40" s="146"/>
      <c r="D40" s="146"/>
      <c r="E40" s="147"/>
      <c r="F40" s="2432"/>
      <c r="G40" s="125"/>
      <c r="H40" s="125"/>
      <c r="I40" s="125"/>
    </row>
    <row r="41" spans="1:15" ht="14.25">
      <c r="A41" s="2438" t="s">
        <v>2173</v>
      </c>
      <c r="B41" s="145"/>
      <c r="C41" s="146"/>
      <c r="D41" s="146"/>
      <c r="E41" s="147"/>
      <c r="F41" s="2432"/>
      <c r="G41" s="125"/>
      <c r="H41" s="125"/>
      <c r="I41" s="125"/>
    </row>
    <row r="42" spans="1:15" ht="15" thickBot="1">
      <c r="A42" s="2439"/>
      <c r="B42" s="148"/>
      <c r="C42" s="149"/>
      <c r="D42" s="149"/>
      <c r="E42" s="150"/>
      <c r="F42" s="2432"/>
      <c r="G42" s="125"/>
      <c r="H42" s="125"/>
      <c r="I42" s="125"/>
    </row>
    <row r="43" spans="1:15" ht="12.75">
      <c r="A43" s="2136"/>
      <c r="B43" s="2136"/>
      <c r="C43" s="2136"/>
      <c r="D43" s="2136"/>
      <c r="E43" s="2136"/>
      <c r="F43" s="2440"/>
      <c r="G43" s="2440"/>
      <c r="H43" s="2440"/>
      <c r="I43" s="2441"/>
    </row>
    <row r="44" spans="1:15" ht="18.75">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186" t="s">
        <v>2176</v>
      </c>
      <c r="B45" s="3187"/>
      <c r="C45" s="3188"/>
      <c r="D45" s="151">
        <f ca="1">ROUND(H101*F45,0)</f>
        <v>63704</v>
      </c>
      <c r="E45" s="152" t="s">
        <v>2177</v>
      </c>
      <c r="F45" s="153">
        <v>1</v>
      </c>
      <c r="G45" s="154" t="s">
        <v>2178</v>
      </c>
      <c r="H45" s="125"/>
      <c r="I45" s="125"/>
      <c r="J45" s="3246" t="s">
        <v>2179</v>
      </c>
      <c r="K45" s="3246"/>
      <c r="L45" s="3246"/>
      <c r="M45" s="3246"/>
      <c r="N45" s="3246"/>
      <c r="O45" s="3246"/>
    </row>
    <row r="46" spans="1:15" ht="14.25" customHeight="1">
      <c r="A46" s="3183" t="s">
        <v>2180</v>
      </c>
      <c r="B46" s="3184"/>
      <c r="C46" s="3184"/>
      <c r="D46" s="3184"/>
      <c r="E46" s="3184"/>
      <c r="F46" s="3184"/>
      <c r="G46" s="3185"/>
      <c r="H46" s="2448"/>
      <c r="I46" s="155"/>
      <c r="J46" s="1787">
        <v>1</v>
      </c>
      <c r="K46" s="3246" t="s">
        <v>2181</v>
      </c>
      <c r="L46" s="3246"/>
      <c r="M46" s="3266"/>
      <c r="N46" s="3266"/>
      <c r="O46" s="3266"/>
    </row>
    <row r="47" spans="1:15" ht="12" customHeight="1">
      <c r="A47" s="156" t="s">
        <v>2182</v>
      </c>
      <c r="B47" s="157"/>
      <c r="C47" s="158"/>
      <c r="D47" s="159" t="s">
        <v>2183</v>
      </c>
      <c r="E47" s="24" t="s">
        <v>2184</v>
      </c>
      <c r="F47" s="160" t="s">
        <v>2185</v>
      </c>
      <c r="G47" s="161" t="s">
        <v>2186</v>
      </c>
      <c r="H47" s="2448"/>
      <c r="I47" s="155"/>
      <c r="J47" s="1787">
        <v>2</v>
      </c>
      <c r="K47" s="3246" t="s">
        <v>2187</v>
      </c>
      <c r="L47" s="3246"/>
      <c r="M47" s="3267">
        <f>'数据-取费表'!B2</f>
        <v>43976</v>
      </c>
      <c r="N47" s="3267"/>
      <c r="O47" s="3267"/>
    </row>
    <row r="48" spans="1:15" ht="25.5">
      <c r="A48" s="3214" t="s">
        <v>2188</v>
      </c>
      <c r="B48" s="3197"/>
      <c r="C48" s="3197"/>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46" t="s">
        <v>2191</v>
      </c>
      <c r="L48" s="3246"/>
      <c r="M48" s="3268">
        <f ca="1">H101</f>
        <v>63704</v>
      </c>
      <c r="N48" s="3268"/>
      <c r="O48" s="3268"/>
    </row>
    <row r="49" spans="1:35" ht="25.5" customHeight="1">
      <c r="A49" s="163" t="s">
        <v>2192</v>
      </c>
      <c r="B49" s="3182" t="s">
        <v>2193</v>
      </c>
      <c r="C49" s="3182"/>
      <c r="D49" s="164">
        <v>0</v>
      </c>
      <c r="E49" s="23" t="s">
        <v>2194</v>
      </c>
      <c r="F49" s="28" t="s">
        <v>34</v>
      </c>
      <c r="G49" s="3252"/>
      <c r="H49" s="125"/>
      <c r="I49" s="2451"/>
      <c r="J49" s="1787">
        <v>4</v>
      </c>
      <c r="K49" s="3246" t="str">
        <f>IF(项目基本情况!E8="房地产抵押价值","房地产抵押价值","抵押担保权已注销时的房地产抵押价值")</f>
        <v>房地产抵押价值</v>
      </c>
      <c r="L49" s="3246"/>
      <c r="M49" s="3268">
        <f ca="1">IF(项目基本情况!E8="房地产抵押价值",H107,H109)</f>
        <v>63704</v>
      </c>
      <c r="N49" s="3268"/>
      <c r="O49" s="3268"/>
    </row>
    <row r="50" spans="1:35" ht="25.5" customHeight="1">
      <c r="A50" s="165"/>
      <c r="B50" s="3182" t="s">
        <v>2195</v>
      </c>
      <c r="C50" s="3182"/>
      <c r="D50" s="166"/>
      <c r="E50" s="31"/>
      <c r="F50" s="167"/>
      <c r="G50" s="3253"/>
      <c r="H50" s="125"/>
      <c r="I50" s="2451"/>
      <c r="J50" s="3246" t="s">
        <v>2196</v>
      </c>
      <c r="K50" s="3246"/>
      <c r="L50" s="3246"/>
      <c r="M50" s="3246"/>
      <c r="N50" s="3246"/>
      <c r="O50" s="3246"/>
    </row>
    <row r="51" spans="1:35" ht="12" customHeight="1">
      <c r="A51" s="168"/>
      <c r="B51" s="3182" t="s">
        <v>2197</v>
      </c>
      <c r="C51" s="3182"/>
      <c r="D51" s="169"/>
      <c r="E51" s="30"/>
      <c r="F51" s="167"/>
      <c r="G51" s="3254"/>
      <c r="H51" s="125"/>
      <c r="I51" s="2451"/>
      <c r="J51" s="2452" t="s">
        <v>2198</v>
      </c>
      <c r="K51" s="3246" t="s">
        <v>2199</v>
      </c>
      <c r="L51" s="3246"/>
      <c r="M51" s="2452" t="s">
        <v>2200</v>
      </c>
      <c r="N51" s="2452" t="s">
        <v>2201</v>
      </c>
      <c r="O51" s="2452" t="s">
        <v>2202</v>
      </c>
    </row>
    <row r="52" spans="1:35" ht="24" customHeight="1">
      <c r="A52" s="170" t="s">
        <v>2203</v>
      </c>
      <c r="B52" s="3182" t="s">
        <v>2204</v>
      </c>
      <c r="C52" s="3182"/>
      <c r="D52" s="169">
        <f ca="1">ROUND(D45*'数据-取费表'!B41/(1+'数据-取费表'!C42),0)</f>
        <v>3398</v>
      </c>
      <c r="E52" s="11" t="s">
        <v>2205</v>
      </c>
      <c r="F52" s="171">
        <f>'数据-取费表'!B41</f>
        <v>5.6000000000000001E-2</v>
      </c>
      <c r="G52" s="2453"/>
      <c r="H52" s="125"/>
      <c r="I52" s="2451"/>
      <c r="J52" s="1787">
        <v>1</v>
      </c>
      <c r="K52" s="3247" t="s">
        <v>2206</v>
      </c>
      <c r="L52" s="3247"/>
      <c r="M52" s="1729">
        <f>D48</f>
        <v>0</v>
      </c>
      <c r="N52" s="1787" t="str">
        <f>E48</f>
        <v>销售额×税（费）率</v>
      </c>
      <c r="O52" s="1730" t="str">
        <f>F48</f>
        <v>免征</v>
      </c>
    </row>
    <row r="53" spans="1:35" ht="12" customHeight="1">
      <c r="A53" s="170" t="s">
        <v>2207</v>
      </c>
      <c r="B53" s="3205" t="s">
        <v>2208</v>
      </c>
      <c r="C53" s="3206"/>
      <c r="D53" s="169">
        <f ca="1">ROUND(D45*'数据-取费表'!B41/(1+'数据-取费表'!C42),0)</f>
        <v>3398</v>
      </c>
      <c r="E53" s="11" t="s">
        <v>2205</v>
      </c>
      <c r="F53" s="171">
        <f>'数据-取费表'!B41</f>
        <v>5.6000000000000001E-2</v>
      </c>
      <c r="G53" s="2453"/>
      <c r="H53" s="125"/>
      <c r="I53" s="2451"/>
      <c r="J53" s="1787">
        <v>2</v>
      </c>
      <c r="K53" s="3247" t="s">
        <v>2209</v>
      </c>
      <c r="L53" s="3247"/>
      <c r="M53" s="1729">
        <f t="shared" ref="M53:O54" ca="1" si="0">D55</f>
        <v>32</v>
      </c>
      <c r="N53" s="1787" t="str">
        <f t="shared" si="0"/>
        <v>销售额×税（费）率</v>
      </c>
      <c r="O53" s="1730">
        <f t="shared" si="0"/>
        <v>5.0000000000000001E-4</v>
      </c>
    </row>
    <row r="54" spans="1:35" ht="12" customHeight="1">
      <c r="A54" s="170" t="s">
        <v>2210</v>
      </c>
      <c r="B54" s="3205" t="s">
        <v>2211</v>
      </c>
      <c r="C54" s="3206"/>
      <c r="D54" s="169">
        <f ca="1">C68</f>
        <v>3398</v>
      </c>
      <c r="E54" s="30" t="s">
        <v>2212</v>
      </c>
      <c r="F54" s="171">
        <f>'数据-取费表'!B41</f>
        <v>5.6000000000000001E-2</v>
      </c>
      <c r="G54" s="2453"/>
      <c r="H54" s="2454"/>
      <c r="I54" s="2451"/>
      <c r="J54" s="1787">
        <v>3</v>
      </c>
      <c r="K54" s="3247" t="s">
        <v>2213</v>
      </c>
      <c r="L54" s="3247"/>
      <c r="M54" s="1729">
        <f t="shared" ca="1" si="0"/>
        <v>36056</v>
      </c>
      <c r="N54" s="1787" t="str">
        <f t="shared" si="0"/>
        <v>增值额×税（费）率</v>
      </c>
      <c r="O54" s="1731" t="str">
        <f t="shared" si="0"/>
        <v>——</v>
      </c>
    </row>
    <row r="55" spans="1:35" ht="24" customHeight="1">
      <c r="A55" s="3196" t="s">
        <v>2214</v>
      </c>
      <c r="B55" s="3197"/>
      <c r="C55" s="3197"/>
      <c r="D55" s="172">
        <f ca="1">IF(H55="个人住宅",0,ROUND(D45*I55,0))</f>
        <v>32</v>
      </c>
      <c r="E55" s="11" t="s">
        <v>2215</v>
      </c>
      <c r="F55" s="171">
        <f>IF(H55="正常",I55,"免征")</f>
        <v>5.0000000000000001E-4</v>
      </c>
      <c r="G55" s="2453"/>
      <c r="H55" s="2450" t="s">
        <v>2216</v>
      </c>
      <c r="I55" s="173">
        <f>'数据-取费表'!B49</f>
        <v>5.0000000000000001E-4</v>
      </c>
      <c r="J55" s="1787" t="str">
        <f>IF(H59="非个人房产","",4)</f>
        <v/>
      </c>
      <c r="K55" s="3247" t="str">
        <f>IF(H59="非个人房产","——","个人所得税")</f>
        <v>——</v>
      </c>
      <c r="L55" s="3247"/>
      <c r="M55" s="1732" t="str">
        <f>D59</f>
        <v>——</v>
      </c>
      <c r="N55" s="1785" t="str">
        <f>E59</f>
        <v>——</v>
      </c>
      <c r="O55" s="1733" t="str">
        <f>F59</f>
        <v>——</v>
      </c>
    </row>
    <row r="56" spans="1:35" ht="24.75">
      <c r="A56" s="3196" t="s">
        <v>2217</v>
      </c>
      <c r="B56" s="3197"/>
      <c r="C56" s="3197"/>
      <c r="D56" s="172">
        <f ca="1">IF(H56="个人住宅",D57,D58)</f>
        <v>36056</v>
      </c>
      <c r="E56" s="11" t="s">
        <v>2218</v>
      </c>
      <c r="F56" s="171" t="str">
        <f>IF(H56="正常",F58,"免征")</f>
        <v>——</v>
      </c>
      <c r="G56" s="2455" t="s">
        <v>2219</v>
      </c>
      <c r="H56" s="2456" t="s">
        <v>2216</v>
      </c>
      <c r="I56" s="2457"/>
      <c r="J56" s="1787" t="str">
        <f>IF(项目基本情况!K6="上海银行",IF(J55="",4,J55+1),"")</f>
        <v/>
      </c>
      <c r="K56" s="3270" t="str">
        <f>IF(项目基本情况!K6="上海银行","其他处置费用","")</f>
        <v/>
      </c>
      <c r="L56" s="3271"/>
      <c r="M56" s="1729" t="str">
        <f>IF(项目基本情况!K6="上海银行",M69,"")</f>
        <v/>
      </c>
      <c r="N56" s="3273" t="str">
        <f>IF(项目基本情况!K6="上海银行","包含处置中涉及的律师、诉讼、拍卖、评估等费用","")</f>
        <v/>
      </c>
      <c r="O56" s="3274"/>
    </row>
    <row r="57" spans="1:35" ht="12.75">
      <c r="A57" s="170" t="s">
        <v>2192</v>
      </c>
      <c r="B57" s="3212" t="s">
        <v>2220</v>
      </c>
      <c r="C57" s="3221"/>
      <c r="D57" s="174">
        <v>0</v>
      </c>
      <c r="E57" s="23" t="s">
        <v>2194</v>
      </c>
      <c r="F57" s="142"/>
      <c r="G57" s="2453"/>
      <c r="H57" s="2457"/>
      <c r="I57" s="2457"/>
      <c r="J57" s="3247">
        <f>IF(AND(J55="",J56=""),4,IF(项目基本情况!K6="上海银行",结果表!J56+1,结果表!J55+1))</f>
        <v>4</v>
      </c>
      <c r="K57" s="3247" t="s">
        <v>2221</v>
      </c>
      <c r="L57" s="2458" t="s">
        <v>2222</v>
      </c>
      <c r="M57" s="1734"/>
      <c r="N57" s="1735">
        <f ca="1">SUMIF(M52:M56,"&lt;9e307")</f>
        <v>36088</v>
      </c>
      <c r="O57" s="2459"/>
      <c r="P57" s="1728">
        <f ca="1">N57/M49</f>
        <v>0.56649503955795555</v>
      </c>
    </row>
    <row r="58" spans="1:35" ht="24.75">
      <c r="A58" s="170" t="s">
        <v>2203</v>
      </c>
      <c r="B58" s="3212" t="s">
        <v>2223</v>
      </c>
      <c r="C58" s="3213"/>
      <c r="D58" s="172">
        <f ca="1">IF(H58="转让取得",C81,C97)</f>
        <v>36056</v>
      </c>
      <c r="E58" s="11" t="s">
        <v>2218</v>
      </c>
      <c r="F58" s="24" t="s">
        <v>34</v>
      </c>
      <c r="G58" s="2453"/>
      <c r="H58" s="2456" t="s">
        <v>2224</v>
      </c>
      <c r="I58" s="2457"/>
      <c r="J58" s="3247"/>
      <c r="K58" s="3247"/>
      <c r="L58" s="2458" t="s">
        <v>2225</v>
      </c>
      <c r="M58" s="1736"/>
      <c r="N58" s="2460" t="str">
        <f ca="1">NUMBERSTRING(INT(N57*10000),2)&amp;"元整"</f>
        <v>叁亿陆仟零捌拾捌万元整</v>
      </c>
      <c r="O58" s="2461"/>
    </row>
    <row r="59" spans="1:35" ht="24.75" thickBot="1">
      <c r="A59" s="3250" t="s">
        <v>2226</v>
      </c>
      <c r="B59" s="3251"/>
      <c r="C59" s="3251"/>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48">
        <f>J57+1</f>
        <v>5</v>
      </c>
      <c r="K59" s="3247" t="s">
        <v>2228</v>
      </c>
      <c r="L59" s="1787" t="s">
        <v>2222</v>
      </c>
      <c r="M59" s="1737"/>
      <c r="N59" s="1738">
        <f ca="1">M49-N57</f>
        <v>27616</v>
      </c>
      <c r="O59" s="2463"/>
    </row>
    <row r="60" spans="1:35" ht="12" customHeight="1">
      <c r="A60" s="2464"/>
      <c r="B60" s="2386"/>
      <c r="C60" s="2386"/>
      <c r="D60" s="2386"/>
      <c r="E60" s="2137"/>
      <c r="F60" s="2457"/>
      <c r="G60" s="2457"/>
      <c r="H60" s="2465"/>
      <c r="I60" s="125"/>
      <c r="J60" s="3249"/>
      <c r="K60" s="3247"/>
      <c r="L60" s="2458" t="s">
        <v>2225</v>
      </c>
      <c r="M60" s="1736"/>
      <c r="N60" s="2460" t="str">
        <f ca="1">NUMBERSTRING(INT(N59*10000),2)&amp;"元整"</f>
        <v>贰亿柒仟陆佰壹拾陆万元整</v>
      </c>
      <c r="O60" s="2461"/>
    </row>
    <row r="61" spans="1:35" ht="13.5" thickBot="1">
      <c r="A61" s="3194" t="s">
        <v>2229</v>
      </c>
      <c r="B61" s="3194"/>
      <c r="C61" s="3194"/>
      <c r="D61" s="3194"/>
      <c r="E61" s="3194"/>
      <c r="F61" s="2457"/>
      <c r="G61" s="2457"/>
      <c r="H61" s="2465"/>
      <c r="I61" s="125"/>
      <c r="J61" s="1787">
        <f>J59+1</f>
        <v>6</v>
      </c>
      <c r="K61" s="3247" t="s">
        <v>2230</v>
      </c>
      <c r="L61" s="3247"/>
      <c r="M61" s="1739"/>
      <c r="N61" s="1740">
        <f ca="1">ROUND(N59*10000/'数据-汇总表'!E3,0)</f>
        <v>11130</v>
      </c>
      <c r="O61" s="2466"/>
    </row>
    <row r="62" spans="1:35" ht="12.75">
      <c r="A62" s="3210" t="s">
        <v>2231</v>
      </c>
      <c r="B62" s="3211"/>
      <c r="C62" s="1779"/>
      <c r="D62" s="1779" t="s">
        <v>2232</v>
      </c>
      <c r="E62" s="179" t="s">
        <v>2233</v>
      </c>
      <c r="F62" s="2457"/>
      <c r="G62" s="2457"/>
      <c r="H62" s="2465"/>
      <c r="I62" s="125"/>
    </row>
    <row r="63" spans="1:35" ht="12.75">
      <c r="A63" s="190" t="s">
        <v>775</v>
      </c>
      <c r="B63" s="180" t="s">
        <v>2234</v>
      </c>
      <c r="C63" s="181">
        <f ca="1">ROUND((C64+C65)/(1+'数据-取费表'!C42),0)</f>
        <v>60670</v>
      </c>
      <c r="D63" s="182"/>
      <c r="E63" s="183"/>
      <c r="F63" s="2457"/>
      <c r="G63" s="2457"/>
      <c r="H63" s="2465"/>
      <c r="I63" s="125"/>
      <c r="J63" s="3272" t="s">
        <v>2235</v>
      </c>
      <c r="K63" s="2467" t="s">
        <v>2236</v>
      </c>
      <c r="L63" s="1727">
        <f ca="1">IF(M49&gt;10000,M49*0.5%,IF(AND(M49&gt;1000,M49&lt;=10000),M49*1%,IF(AND(M49&gt;100,M49&lt;=1000),M49*3%,IF(AND(M49&gt;10,M49&lt;=100),M49*5%,M49*8%))))</f>
        <v>318.52</v>
      </c>
      <c r="M63" s="24">
        <f ca="1">ROUND(L63,1)</f>
        <v>318.5</v>
      </c>
      <c r="Z63" s="2391"/>
      <c r="AI63" s="2392"/>
    </row>
    <row r="64" spans="1:35" ht="14.25" customHeight="1">
      <c r="A64" s="184" t="s">
        <v>770</v>
      </c>
      <c r="B64" s="185" t="s">
        <v>2237</v>
      </c>
      <c r="C64" s="186">
        <f ca="1">D45</f>
        <v>63704</v>
      </c>
      <c r="D64" s="187" t="s">
        <v>32</v>
      </c>
      <c r="E64" s="188"/>
      <c r="F64" s="2457"/>
      <c r="G64" s="2457"/>
      <c r="H64" s="2465"/>
      <c r="I64" s="125"/>
      <c r="J64" s="3272"/>
      <c r="K64" s="2467" t="s">
        <v>2238</v>
      </c>
      <c r="L64" s="1727">
        <f ca="1">IF(M49&gt;2000,M49*0.5%,IF(AND(M49&gt;1000,M49&lt;=2000),M49*0.6%,IF(AND(M49&gt;500,M49&lt;=1000),M49*0.7%,IF(AND(M49&gt;200,M49&lt;=500),M49*0.8%,IF(AND(M49&gt;100,M49&lt;=200),M49*0.9%,IF(AND(M49&gt;50,M49&lt;=100),M49*1%,IF(AND(M49&gt;20,M49&lt;=50),M49*1.5%,IF(AND(M49&gt;10,M49&lt;=20),M49*2%,IF(AND(M49&gt;1,M49&lt;=10),M49*2.5%)))))))))</f>
        <v>318.52</v>
      </c>
      <c r="M64" s="24">
        <f t="shared" ref="M64:M65" ca="1" si="1">ROUND(L64,1)</f>
        <v>318.5</v>
      </c>
      <c r="N64" s="125" t="s">
        <v>2239</v>
      </c>
      <c r="Z64" s="2391"/>
      <c r="AI64" s="2392"/>
    </row>
    <row r="65" spans="1:35" ht="14.25" customHeight="1">
      <c r="A65" s="184" t="s">
        <v>771</v>
      </c>
      <c r="B65" s="185" t="s">
        <v>2240</v>
      </c>
      <c r="C65" s="189"/>
      <c r="D65" s="187"/>
      <c r="E65" s="188"/>
      <c r="F65" s="2457"/>
      <c r="G65" s="2457"/>
      <c r="H65" s="2465"/>
      <c r="I65" s="125"/>
      <c r="J65" s="3272"/>
      <c r="K65" s="2467" t="s">
        <v>2241</v>
      </c>
      <c r="L65" s="1727">
        <f ca="1">IF(M49&gt;1000,M49*0.1%,IF(AND(M49&gt;500,M49&lt;=1000),M49*0.5%,IF(AND(M49&gt;50,M49&lt;=500),M49*1%,IF(AND(M49&gt;1,M49&lt;=50),M49*1.5%))))</f>
        <v>63.704000000000001</v>
      </c>
      <c r="M65" s="24">
        <f t="shared" ca="1" si="1"/>
        <v>63.7</v>
      </c>
      <c r="N65" s="125" t="s">
        <v>2239</v>
      </c>
      <c r="Z65" s="2391"/>
      <c r="AI65" s="2392"/>
    </row>
    <row r="66" spans="1:35" ht="14.25" customHeight="1">
      <c r="A66" s="190" t="s">
        <v>772</v>
      </c>
      <c r="B66" s="191" t="s">
        <v>2242</v>
      </c>
      <c r="C66" s="192"/>
      <c r="D66" s="193" t="s">
        <v>32</v>
      </c>
      <c r="E66" s="1751" t="s">
        <v>1366</v>
      </c>
      <c r="F66" s="2457"/>
      <c r="G66" s="2457"/>
      <c r="H66" s="2465"/>
      <c r="I66" s="125"/>
      <c r="J66" s="3272"/>
      <c r="K66" s="2467" t="s">
        <v>2243</v>
      </c>
      <c r="L66" s="1727">
        <f ca="1">M49*0.5%</f>
        <v>318.52</v>
      </c>
      <c r="M66" s="24">
        <f ca="1">IF(L66&gt;0.5,0.5,ROUND(L66,0))</f>
        <v>0.5</v>
      </c>
      <c r="N66" s="125" t="s">
        <v>2244</v>
      </c>
      <c r="Z66" s="2391"/>
      <c r="AI66" s="2392"/>
    </row>
    <row r="67" spans="1:35" ht="14.25" customHeight="1">
      <c r="A67" s="190" t="s">
        <v>773</v>
      </c>
      <c r="B67" s="191" t="s">
        <v>2245</v>
      </c>
      <c r="C67" s="194">
        <f ca="1">C63-C66</f>
        <v>60670</v>
      </c>
      <c r="D67" s="187" t="s">
        <v>32</v>
      </c>
      <c r="E67" s="188"/>
      <c r="F67" s="2457"/>
      <c r="G67" s="2457"/>
      <c r="H67" s="2465"/>
      <c r="I67" s="125"/>
      <c r="J67" s="3272"/>
      <c r="K67" s="2467" t="s">
        <v>2246</v>
      </c>
      <c r="L67" s="1727">
        <f ca="1">IF(M49&gt;=10000,(8.25+(M49-10000)*0.01%),IF(AND(M49&gt;=8000,M49&lt;10000),(7.85+(M49-8000)*0.02%),IF(AND(M49&gt;=5000,M49&lt;8000),(6.65+(M49-5000)*0.04%),IF(AND(M49&gt;=2000,M49&lt;5000),(4.25+(PM49-2000)*0.08%),IF(AND(M49&gt;=1000,M49&lt;2000),(2.75+(M49-1000)*0.15%),IF(AND(M49&gt;=100,M49&lt;1000),(0.5+(M49-100)*0.25%),IF(AND(M49&gt;0,M49&lt;100),M49*0.5%)))))))</f>
        <v>13.6204</v>
      </c>
      <c r="M67" s="24">
        <f ca="1">ROUND(L67*0.9,1)</f>
        <v>12.3</v>
      </c>
      <c r="Z67" s="2391"/>
      <c r="AI67" s="2392"/>
    </row>
    <row r="68" spans="1:35" ht="14.25" customHeight="1" thickBot="1">
      <c r="A68" s="195" t="s">
        <v>774</v>
      </c>
      <c r="B68" s="196" t="s">
        <v>2247</v>
      </c>
      <c r="C68" s="197">
        <f ca="1">IF(C67&lt;=0,0,ROUND(C67*D68,0))</f>
        <v>3398</v>
      </c>
      <c r="D68" s="198">
        <f>'数据-取费表'!B41</f>
        <v>5.6000000000000001E-2</v>
      </c>
      <c r="E68" s="199"/>
      <c r="F68" s="2457"/>
      <c r="G68" s="2457"/>
      <c r="H68" s="2465"/>
      <c r="I68" s="125"/>
      <c r="J68" s="3272"/>
      <c r="K68" s="2467" t="s">
        <v>2248</v>
      </c>
      <c r="L68" s="1727">
        <f ca="1">IF(M49&gt;10000,M49*0.5%,IF(AND(M49&gt;5000,M49&lt;=10000),M49*1%,IF(AND(M49&gt;1000,M49&lt;=5000),M49*2%,IF(AND(M49&gt;200,M49&lt;=1000),M49*3%,M49*5%))))</f>
        <v>318.52</v>
      </c>
      <c r="M68" s="24">
        <f ca="1">ROUND(L68,1)</f>
        <v>318.5</v>
      </c>
      <c r="Z68" s="2391"/>
      <c r="AI68" s="2392"/>
    </row>
    <row r="69" spans="1:35" s="2414" customFormat="1" ht="16.5" customHeight="1">
      <c r="A69" s="2468"/>
      <c r="B69" s="2469"/>
      <c r="C69" s="2470"/>
      <c r="D69" s="2471"/>
      <c r="E69" s="2472"/>
      <c r="F69" s="2137"/>
      <c r="G69" s="2137"/>
      <c r="H69" s="2136"/>
      <c r="I69" s="2386"/>
      <c r="J69" s="3272"/>
      <c r="K69" s="2467" t="s">
        <v>2249</v>
      </c>
      <c r="L69" s="2473"/>
      <c r="M69" s="24">
        <f ca="1">ROUND(SUM(M63:M68),0)</f>
        <v>1032</v>
      </c>
      <c r="N69" s="1728">
        <f ca="1">M69/M49</f>
        <v>1.6199924651513247E-2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5" thickBot="1">
      <c r="A70" s="3231" t="s">
        <v>2250</v>
      </c>
      <c r="B70" s="3232"/>
      <c r="C70" s="3232"/>
      <c r="D70" s="3232"/>
      <c r="E70" s="3232"/>
      <c r="F70" s="3232"/>
      <c r="G70" s="3232"/>
      <c r="H70" s="3232"/>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4.25">
      <c r="A71" s="3210" t="s">
        <v>2231</v>
      </c>
      <c r="B71" s="3211"/>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4.25">
      <c r="A72" s="190" t="s">
        <v>775</v>
      </c>
      <c r="B72" s="191" t="s">
        <v>2251</v>
      </c>
      <c r="C72" s="194">
        <f ca="1">ROUND(D45/(1+'数据-取费表'!C42),0)</f>
        <v>60670</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4.25">
      <c r="A73" s="190" t="s">
        <v>772</v>
      </c>
      <c r="B73" s="160" t="s">
        <v>2252</v>
      </c>
      <c r="C73" s="194">
        <f ca="1">C74+C78</f>
        <v>364</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14.25">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05" t="s">
        <v>2259</v>
      </c>
      <c r="F76" s="3182"/>
      <c r="G76" s="3182"/>
      <c r="H76" s="3230"/>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364</v>
      </c>
      <c r="D78" s="213">
        <f>'数据-取费表'!B43</f>
        <v>6.000000000000001E-3</v>
      </c>
      <c r="E78" s="3191" t="s">
        <v>2264</v>
      </c>
      <c r="F78" s="3192"/>
      <c r="G78" s="3192"/>
      <c r="H78" s="3201"/>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4.25">
      <c r="A79" s="2483" t="s">
        <v>779</v>
      </c>
      <c r="B79" s="191" t="s">
        <v>2265</v>
      </c>
      <c r="C79" s="194">
        <f ca="1">C72-C73</f>
        <v>60306</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165.67582417582418</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75" thickBot="1">
      <c r="A81" s="2484" t="s">
        <v>781</v>
      </c>
      <c r="B81" s="196" t="s">
        <v>2267</v>
      </c>
      <c r="C81" s="215">
        <f ca="1">ROUND(IF(C79&lt;=0,0,IF(C80&gt;=200%,C79*60%-C73*35%,IF(C80&gt;=100%,C79*50%-C73*15%,IF(C80&gt;=50%,C79*40%-C73*5%,IF(C80&lt;50%,C79*30%,0))))),0)</f>
        <v>36056</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5" thickBot="1">
      <c r="A83" s="3231" t="s">
        <v>2268</v>
      </c>
      <c r="B83" s="3232"/>
      <c r="C83" s="3232"/>
      <c r="D83" s="3232"/>
      <c r="E83" s="3232"/>
      <c r="F83" s="3232"/>
      <c r="G83" s="3232"/>
      <c r="H83" s="3232"/>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4.25">
      <c r="A84" s="3210" t="s">
        <v>2231</v>
      </c>
      <c r="B84" s="3211"/>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4.25">
      <c r="A85" s="190" t="s">
        <v>775</v>
      </c>
      <c r="B85" s="191" t="s">
        <v>2251</v>
      </c>
      <c r="C85" s="194">
        <f ca="1">ROUND(D45/(1+'数据-取费表'!C42),0)</f>
        <v>60670</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4.25">
      <c r="A86" s="190" t="s">
        <v>772</v>
      </c>
      <c r="B86" s="160" t="s">
        <v>2252</v>
      </c>
      <c r="C86" s="194">
        <f ca="1">IF(H88="仅含出让金",C87+C90+C91+C92+C93+C94,C87+C91+C92+C93+C94)</f>
        <v>364</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4.25">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4.25">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4.25">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4.25">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191" t="s">
        <v>2277</v>
      </c>
      <c r="F91" s="3192"/>
      <c r="G91" s="3192"/>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191" t="s">
        <v>2281</v>
      </c>
      <c r="F92" s="3192"/>
      <c r="G92" s="3192"/>
      <c r="H92" s="3201"/>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364</v>
      </c>
      <c r="D93" s="213">
        <f>'数据-取费表'!B43</f>
        <v>6.000000000000001E-3</v>
      </c>
      <c r="E93" s="3191" t="s">
        <v>2264</v>
      </c>
      <c r="F93" s="3192"/>
      <c r="G93" s="3192"/>
      <c r="H93" s="3201"/>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202" t="s">
        <v>2285</v>
      </c>
      <c r="F94" s="3203"/>
      <c r="G94" s="3203"/>
      <c r="H94" s="3204"/>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4.25">
      <c r="A95" s="2483" t="s">
        <v>779</v>
      </c>
      <c r="B95" s="191" t="s">
        <v>2265</v>
      </c>
      <c r="C95" s="194">
        <f ca="1">ROUND(C85-C86,0)</f>
        <v>60306</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165.67582417582418</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75" thickBot="1">
      <c r="A97" s="2484" t="s">
        <v>781</v>
      </c>
      <c r="B97" s="196" t="s">
        <v>2267</v>
      </c>
      <c r="C97" s="215">
        <f ca="1">ROUND(IF(C95&lt;=0,0,IF(C96&gt;=200%,C95*60%-C86*35%,IF(C96&gt;=100%,C95*50%-C86*15%,IF(C96&gt;=50%,C95*40%-C86*5%,IF(C96&lt;50%,C95*30%,0))))),0)</f>
        <v>36056</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176" t="s">
        <v>2287</v>
      </c>
      <c r="B100" s="3177"/>
      <c r="C100" s="3177"/>
      <c r="D100" s="3193"/>
      <c r="E100" s="3177" t="s">
        <v>2288</v>
      </c>
      <c r="F100" s="3177"/>
      <c r="G100" s="3177"/>
      <c r="H100" s="3193"/>
      <c r="I100" s="125"/>
    </row>
    <row r="101" spans="1:35" ht="18.75" customHeight="1">
      <c r="A101" s="3255" t="s">
        <v>2289</v>
      </c>
      <c r="B101" s="3256"/>
      <c r="C101" s="721" t="str">
        <f>C4</f>
        <v>成本法</v>
      </c>
      <c r="D101" s="722" t="str">
        <f>D4</f>
        <v>假设开发法</v>
      </c>
      <c r="E101" s="3269" t="s">
        <v>2290</v>
      </c>
      <c r="F101" s="3223"/>
      <c r="G101" s="2488" t="s">
        <v>2291</v>
      </c>
      <c r="H101" s="1023">
        <f ca="1">H118</f>
        <v>63704</v>
      </c>
      <c r="I101" s="125"/>
    </row>
    <row r="102" spans="1:35" ht="18.75" customHeight="1">
      <c r="A102" s="3225" t="s">
        <v>2292</v>
      </c>
      <c r="B102" s="2488" t="s">
        <v>2291</v>
      </c>
      <c r="C102" s="721">
        <f ca="1">C19</f>
        <v>68190</v>
      </c>
      <c r="D102" s="722">
        <f ca="1">D19</f>
        <v>59217</v>
      </c>
      <c r="E102" s="3269"/>
      <c r="F102" s="3223"/>
      <c r="G102" s="2488" t="s">
        <v>2293</v>
      </c>
      <c r="H102" s="358">
        <f ca="1">I118</f>
        <v>25675</v>
      </c>
      <c r="I102" s="125"/>
    </row>
    <row r="103" spans="1:35" ht="42.75" customHeight="1">
      <c r="A103" s="3225"/>
      <c r="B103" s="2488" t="s">
        <v>2293</v>
      </c>
      <c r="C103" s="723">
        <f ca="1">C20</f>
        <v>27483</v>
      </c>
      <c r="D103" s="724">
        <f ca="1">D20</f>
        <v>23866</v>
      </c>
      <c r="E103" s="3264" t="s">
        <v>2294</v>
      </c>
      <c r="F103" s="3265"/>
      <c r="G103" s="2489" t="s">
        <v>2295</v>
      </c>
      <c r="H103" s="1023">
        <f>IF(D36="正常操作",H104+H105+H106,H105+H106)</f>
        <v>0</v>
      </c>
      <c r="I103" s="125"/>
    </row>
    <row r="104" spans="1:35" ht="18.75" customHeight="1">
      <c r="A104" s="3225" t="s">
        <v>2296</v>
      </c>
      <c r="B104" s="2490" t="s">
        <v>2291</v>
      </c>
      <c r="C104" s="725">
        <f ca="1">H118</f>
        <v>63704</v>
      </c>
      <c r="D104" s="726"/>
      <c r="E104" s="2237" t="s">
        <v>2297</v>
      </c>
      <c r="F104" s="2229"/>
      <c r="G104" s="2489" t="s">
        <v>2295</v>
      </c>
      <c r="H104" s="1024">
        <f>IF(D36="同一抵押权人同一抵押物续贷",C36&amp;"（未扣减，详见特别提示）",C36)</f>
        <v>0</v>
      </c>
      <c r="I104" s="125"/>
    </row>
    <row r="105" spans="1:35" ht="18.75" customHeight="1" thickBot="1">
      <c r="A105" s="3226"/>
      <c r="B105" s="2491" t="s">
        <v>2293</v>
      </c>
      <c r="C105" s="727">
        <f ca="1">I118</f>
        <v>25675</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22" t="str">
        <f>IF(项目基本情况!E8="已注销","——","3.房地产抵押价值")</f>
        <v>3.房地产抵押价值</v>
      </c>
      <c r="F107" s="3223"/>
      <c r="G107" s="2488" t="s">
        <v>2291</v>
      </c>
      <c r="H107" s="1023">
        <f ca="1">IF(E107="——","——",H101-H103)</f>
        <v>63704</v>
      </c>
      <c r="I107" s="125"/>
    </row>
    <row r="108" spans="1:35" ht="18.75" customHeight="1">
      <c r="A108" s="125"/>
      <c r="B108" s="125"/>
      <c r="C108" s="125"/>
      <c r="D108" s="125"/>
      <c r="E108" s="3222"/>
      <c r="F108" s="3223"/>
      <c r="G108" s="2488" t="s">
        <v>2293</v>
      </c>
      <c r="H108" s="358">
        <f ca="1">ROUND(H107*10000/'数据-汇总表'!E3,0)</f>
        <v>25675</v>
      </c>
      <c r="I108" s="125"/>
    </row>
    <row r="109" spans="1:35" ht="18.75" customHeight="1">
      <c r="A109" s="125"/>
      <c r="B109" s="125"/>
      <c r="C109" s="125"/>
      <c r="D109" s="125"/>
      <c r="E109" s="3222" t="str">
        <f>IF(项目基本情况!E8="已注销及未注销","4.抵押担保权已注销时的房地产抵押价值",IF(项目基本情况!E8="已注销","3.抵押担保权已注销时的房地产抵押价值","——"))</f>
        <v>——</v>
      </c>
      <c r="F109" s="3223"/>
      <c r="G109" s="2488" t="s">
        <v>2291</v>
      </c>
      <c r="H109" s="335" t="str">
        <f>IF(E109="——","——",H101-H105-H106)</f>
        <v>——</v>
      </c>
      <c r="I109" s="125"/>
    </row>
    <row r="110" spans="1:35" ht="18.75" customHeight="1">
      <c r="A110" s="125"/>
      <c r="B110" s="125"/>
      <c r="C110" s="125"/>
      <c r="D110" s="125"/>
      <c r="E110" s="3222"/>
      <c r="F110" s="3223"/>
      <c r="G110" s="2488" t="s">
        <v>2293</v>
      </c>
      <c r="H110" s="358" t="str">
        <f>IF(H109="——","——",ROUND(H109*10000/'数据-汇总表'!E3,0))</f>
        <v>——</v>
      </c>
      <c r="I110" s="125"/>
    </row>
    <row r="111" spans="1:35" ht="18.75" customHeight="1">
      <c r="A111" s="125"/>
      <c r="B111" s="125"/>
      <c r="C111" s="125"/>
      <c r="D111" s="125"/>
      <c r="E111" s="3257" t="str">
        <f>IF(项目基本情况!E9="抵押净值",IF(OR(项目基本情况!E8="已注销",项目基本情况!E8="房地产抵押价值"),"4.抵押净值","5.抵押净值"),"——")</f>
        <v>——</v>
      </c>
      <c r="F111" s="3258"/>
      <c r="G111" s="2488" t="s">
        <v>2291</v>
      </c>
      <c r="H111" s="1023" t="str">
        <f>IF(E111="——","——",N59)</f>
        <v>——</v>
      </c>
      <c r="I111" s="125"/>
    </row>
    <row r="112" spans="1:35" ht="18.75" customHeight="1" thickBot="1">
      <c r="A112" s="125"/>
      <c r="B112" s="125"/>
      <c r="C112" s="125"/>
      <c r="D112" s="125"/>
      <c r="E112" s="3259"/>
      <c r="F112" s="3260"/>
      <c r="G112" s="2493" t="s">
        <v>2293</v>
      </c>
      <c r="H112" s="775" t="str">
        <f>IF(E111="——","——",N61)</f>
        <v>——</v>
      </c>
      <c r="I112" s="125"/>
    </row>
    <row r="113" spans="1:11" ht="18.75" customHeight="1">
      <c r="A113" s="125"/>
      <c r="B113" s="125"/>
      <c r="C113" s="125"/>
      <c r="D113" s="125"/>
      <c r="E113" s="3227" t="s">
        <v>2299</v>
      </c>
      <c r="F113" s="3227"/>
      <c r="G113" s="3227"/>
      <c r="H113" s="3227"/>
      <c r="I113" s="125"/>
    </row>
    <row r="114" spans="1:11" ht="3.75" customHeight="1">
      <c r="A114" s="2386"/>
      <c r="B114" s="2386"/>
      <c r="C114" s="2386"/>
      <c r="D114" s="2386"/>
      <c r="E114" s="2464"/>
      <c r="F114" s="2464"/>
      <c r="G114" s="2464"/>
      <c r="H114" s="2464"/>
      <c r="I114" s="2386"/>
    </row>
    <row r="115" spans="1:11" ht="18.75" customHeight="1">
      <c r="A115" s="3240" t="s">
        <v>2301</v>
      </c>
      <c r="B115" s="3241"/>
      <c r="C115" s="3241"/>
      <c r="D115" s="3241"/>
      <c r="E115" s="3241"/>
      <c r="F115" s="3241"/>
      <c r="G115" s="3241"/>
      <c r="H115" s="3241"/>
      <c r="I115" s="3242"/>
    </row>
    <row r="116" spans="1:11" ht="27" customHeight="1">
      <c r="A116" s="3103" t="s">
        <v>2302</v>
      </c>
      <c r="B116" s="3228" t="s">
        <v>2303</v>
      </c>
      <c r="C116" s="3228" t="s">
        <v>2304</v>
      </c>
      <c r="D116" s="3244" t="s">
        <v>2305</v>
      </c>
      <c r="E116" s="3245"/>
      <c r="F116" s="3236" t="s">
        <v>2306</v>
      </c>
      <c r="G116" s="3236"/>
      <c r="H116" s="3103" t="s">
        <v>2307</v>
      </c>
      <c r="I116" s="3103"/>
    </row>
    <row r="117" spans="1:11" ht="18.75" customHeight="1">
      <c r="A117" s="3103"/>
      <c r="B117" s="3229"/>
      <c r="C117" s="3229"/>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24811.999999999996</v>
      </c>
      <c r="C118" s="1773">
        <f>M19</f>
        <v>11141.12</v>
      </c>
      <c r="D118" s="1773">
        <f ca="1">ROUND(IF(D32="总价",C34,E118*B118/10000),0)</f>
        <v>57397</v>
      </c>
      <c r="E118" s="1773">
        <f ca="1">ROUND(IF(C33="自定义",IF(D32="楼面单价",C34,D118*10000/B118),I118-G118),0)</f>
        <v>23133</v>
      </c>
      <c r="F118" s="1773">
        <f ca="1">ROUND(IF(D32="总价",C35,G118*B118/10000),0)</f>
        <v>6307</v>
      </c>
      <c r="G118" s="1773">
        <f ca="1">ROUND(IF(D32="楼面单价",C35,F118*10000/B118),0)</f>
        <v>2542</v>
      </c>
      <c r="H118" s="1773">
        <f ca="1">ROUND(IF(D32="总价",C32,I118*B118/10000),0)</f>
        <v>63704</v>
      </c>
      <c r="I118" s="1773">
        <f ca="1">ROUND(IF(D32="楼面单价",C32,H118*10000/B118),0)</f>
        <v>25675</v>
      </c>
    </row>
    <row r="119" spans="1:11" ht="18.75" customHeight="1">
      <c r="A119" s="3103" t="s">
        <v>2311</v>
      </c>
      <c r="B119" s="3103"/>
      <c r="C119" s="3103"/>
      <c r="D119" s="3233" t="str">
        <f ca="1">NUMBERSTRING(INT(D118*10000),2)&amp;"元整"</f>
        <v>伍亿柒仟叁佰玖拾柒万元整</v>
      </c>
      <c r="E119" s="3235"/>
      <c r="F119" s="3233" t="str">
        <f ca="1">NUMBERSTRING(INT(F118*10000),2)&amp;"元整"</f>
        <v>陆仟叁佰零柒万元整</v>
      </c>
      <c r="G119" s="3235"/>
      <c r="H119" s="3233" t="str">
        <f ca="1">NUMBERSTRING(INT(H118*10000),2)&amp;"元整"</f>
        <v>陆亿叁仟柒佰零肆万元整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391" t="str">
        <f>IF(D120=0,"故，本次评估不存在"&amp;A120,"故，本次评估"&amp;A120&amp;"为人民币"&amp;D120&amp;"万元整。")</f>
        <v>故，本次评估不存在估价师知悉的法定优先受偿款</v>
      </c>
    </row>
    <row r="121" spans="1:11" ht="18.75" customHeight="1">
      <c r="A121" s="3237" t="s">
        <v>2311</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63704</v>
      </c>
      <c r="E122" s="3262"/>
      <c r="F122" s="3262"/>
      <c r="G122" s="3262"/>
      <c r="H122" s="3262"/>
      <c r="I122" s="3263"/>
    </row>
    <row r="123" spans="1:11" ht="18.75" customHeight="1">
      <c r="A123" s="3103" t="s">
        <v>2311</v>
      </c>
      <c r="B123" s="3103"/>
      <c r="C123" s="3103"/>
      <c r="D123" s="3233" t="str">
        <f ca="1">NUMBERSTRING(INT(D122*10000),2)&amp;"元整"</f>
        <v>陆亿叁仟柒佰零肆万元整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3" t="s">
        <v>2311</v>
      </c>
      <c r="B125" s="3103"/>
      <c r="C125" s="3103"/>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3" t="s">
        <v>2311</v>
      </c>
      <c r="B127" s="3103"/>
      <c r="C127" s="3103"/>
      <c r="D127" s="3233" t="e">
        <f>NUMBERSTRING(INT(D126*10000),2)&amp;"元整"</f>
        <v>#VALUE!</v>
      </c>
      <c r="E127" s="3234"/>
      <c r="F127" s="3234"/>
      <c r="G127" s="3234"/>
      <c r="H127" s="3234"/>
      <c r="I127" s="3235"/>
    </row>
    <row r="128" spans="1:11" ht="21.75" customHeight="1">
      <c r="A128" s="3243" t="s">
        <v>2312</v>
      </c>
      <c r="B128" s="3243"/>
      <c r="C128" s="3243"/>
      <c r="D128" s="3243"/>
      <c r="E128" s="3243"/>
      <c r="F128" s="3243"/>
      <c r="G128" s="3243"/>
      <c r="H128" s="3243"/>
      <c r="I128" s="3243"/>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3" customWidth="1"/>
    <col min="2" max="9" width="10" style="993" customWidth="1"/>
    <col min="10" max="16384" width="9" style="993"/>
  </cols>
  <sheetData>
    <row r="36" spans="1:9">
      <c r="A36" s="992" t="s">
        <v>818</v>
      </c>
      <c r="B36" s="992" t="s">
        <v>819</v>
      </c>
    </row>
    <row r="37" spans="1:9" ht="27.75" customHeight="1">
      <c r="A37" s="992"/>
      <c r="B37" s="3059" t="str">
        <f>项目基本情况!B1</f>
        <v>北京市门头沟区潭柘寺MC01-0003-6004地块C11出让国有建设用地使用权及在建建筑物房地产抵押价值预评估</v>
      </c>
      <c r="C37" s="3059"/>
      <c r="D37" s="3059"/>
      <c r="E37" s="3059"/>
      <c r="F37" s="3059"/>
      <c r="G37" s="3059"/>
      <c r="H37" s="3059"/>
      <c r="I37" s="3059"/>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ht="12.75">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F73" sqref="F73"/>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45977</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18530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30" ht="52.15" customHeight="1">
      <c r="A5" s="391"/>
      <c r="B5" s="392"/>
      <c r="C5" s="3309" t="s">
        <v>2532</v>
      </c>
      <c r="D5" s="3310"/>
      <c r="E5" s="3316" t="str">
        <f>土地案例!A2</f>
        <v>北京市门头沟区永定镇岢罗坨、秋坡、石佛村MC00-0500-0009、0010、0013地块R2二类居住用地</v>
      </c>
      <c r="F5" s="3317"/>
      <c r="G5" s="3309" t="str">
        <f>土地案例!A3</f>
        <v>北京市丰台区王佐镇魏各庄FT00-0503-0092等地块(丰台区青龙湖国际会都核心区C地块)二类居住及基础教育用地</v>
      </c>
      <c r="H5" s="3310"/>
      <c r="I5" s="3309" t="str">
        <f>土地案例!A4</f>
        <v>北京市房山区青龙湖镇FS16-0201-0013地块R2二类居住用地</v>
      </c>
      <c r="J5" s="3310"/>
      <c r="K5" s="597"/>
      <c r="L5" s="1108"/>
      <c r="M5" s="1109"/>
      <c r="N5" s="1109"/>
      <c r="O5" s="1109"/>
      <c r="P5" s="3297"/>
      <c r="Q5" s="3298"/>
      <c r="R5" s="3303"/>
      <c r="S5" s="3304"/>
      <c r="T5" s="3303"/>
      <c r="U5" s="3304"/>
      <c r="V5" s="3288"/>
      <c r="W5" s="3288"/>
      <c r="X5" s="1791"/>
      <c r="Y5" s="3303"/>
      <c r="Z5" s="3304"/>
      <c r="AA5" s="3290"/>
      <c r="AB5" s="3290"/>
      <c r="AC5" s="3290"/>
    </row>
    <row r="6" spans="1:30"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30" s="112" customFormat="1" ht="15.75" thickBot="1">
      <c r="A7" s="395" t="s">
        <v>2538</v>
      </c>
      <c r="B7" s="396"/>
      <c r="C7" s="397">
        <f>'数据-取费表'!B2</f>
        <v>43976</v>
      </c>
      <c r="D7" s="398">
        <v>100</v>
      </c>
      <c r="E7" s="399" t="str">
        <f>土地案例!AA2</f>
        <v>2018-02-02</v>
      </c>
      <c r="F7" s="400">
        <f>SUMIF(70:70,YEAR(E7)&amp;"-"&amp;INT((MONTH(E7)+2)/3),71:71)</f>
        <v>95.5</v>
      </c>
      <c r="G7" s="2663" t="str">
        <f>土地案例!AA3</f>
        <v>2019-02-02</v>
      </c>
      <c r="H7" s="398">
        <f>SUMIF(70:70,YEAR(G7)&amp;"-"&amp;INT((MONTH(G7)+2)/3),71:71)</f>
        <v>97.5</v>
      </c>
      <c r="I7" s="2663" t="str">
        <f>土地案例!AA4</f>
        <v>2018-07-04</v>
      </c>
      <c r="J7" s="398">
        <f>SUMIF(70:70,YEAR(I7)&amp;"-"&amp;INT((MONTH(I7)+2)/3),71:71)</f>
        <v>96.5</v>
      </c>
      <c r="K7" s="598"/>
      <c r="L7" s="1110"/>
      <c r="M7" s="1111"/>
      <c r="N7" s="1111"/>
      <c r="O7" s="1111"/>
      <c r="P7" s="3311" t="s">
        <v>2539</v>
      </c>
      <c r="Q7" s="3313"/>
      <c r="R7" s="755" t="s">
        <v>17</v>
      </c>
      <c r="S7" s="756">
        <f t="shared" ref="S7:S15" si="0">F7</f>
        <v>95.5</v>
      </c>
      <c r="T7" s="755" t="s">
        <v>17</v>
      </c>
      <c r="U7" s="756">
        <f t="shared" ref="U7:U15" si="1">H7</f>
        <v>97.5</v>
      </c>
      <c r="V7" s="755" t="s">
        <v>17</v>
      </c>
      <c r="W7" s="756">
        <f t="shared" ref="W7:W15" si="2">J7</f>
        <v>96.5</v>
      </c>
      <c r="X7" s="757"/>
      <c r="Y7" s="3311" t="s">
        <v>2539</v>
      </c>
      <c r="Z7" s="3312"/>
      <c r="AA7" s="758">
        <f>D7/F7</f>
        <v>1.0471204188481675</v>
      </c>
      <c r="AB7" s="758">
        <f>D7/H7</f>
        <v>1.0256410256410255</v>
      </c>
      <c r="AC7" s="758">
        <f>D7/J7</f>
        <v>1.0362694300518134</v>
      </c>
    </row>
    <row r="8" spans="1:30" s="112" customFormat="1" ht="15.7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11" t="s">
        <v>2542</v>
      </c>
      <c r="Q8" s="3312"/>
      <c r="R8" s="755" t="s">
        <v>17</v>
      </c>
      <c r="S8" s="756">
        <f t="shared" si="0"/>
        <v>100</v>
      </c>
      <c r="T8" s="755" t="s">
        <v>17</v>
      </c>
      <c r="U8" s="756">
        <f t="shared" si="1"/>
        <v>100</v>
      </c>
      <c r="V8" s="755" t="s">
        <v>17</v>
      </c>
      <c r="W8" s="756">
        <f t="shared" si="2"/>
        <v>100</v>
      </c>
      <c r="X8" s="757"/>
      <c r="Y8" s="3311" t="s">
        <v>2542</v>
      </c>
      <c r="Z8" s="3312"/>
      <c r="AA8" s="758">
        <f t="shared" ref="AA8:AA45" si="3">D8/F8</f>
        <v>1</v>
      </c>
      <c r="AB8" s="758">
        <f t="shared" ref="AB8:AB45" si="4">D8/H8</f>
        <v>1</v>
      </c>
      <c r="AC8" s="758">
        <f t="shared" ref="AC8:AC45" si="5">D8/J8</f>
        <v>1</v>
      </c>
    </row>
    <row r="9" spans="1:30" s="112" customFormat="1" ht="28.9" customHeight="1">
      <c r="A9" s="402" t="s">
        <v>2543</v>
      </c>
      <c r="B9" s="71" t="s">
        <v>2544</v>
      </c>
      <c r="C9" s="3049" t="s">
        <v>3346</v>
      </c>
      <c r="D9" s="3050">
        <v>100</v>
      </c>
      <c r="E9" s="3049" t="s">
        <v>3348</v>
      </c>
      <c r="F9" s="3050">
        <f>SUMIF(75:75,E9,76:76)-SUMIF(75:75,C9,76:76)+100</f>
        <v>116</v>
      </c>
      <c r="G9" s="3049" t="s">
        <v>3348</v>
      </c>
      <c r="H9" s="3050">
        <f>SUMIF(75:75,G9,76:76)-SUMIF(75:75,C9,76:76)+100</f>
        <v>116</v>
      </c>
      <c r="I9" s="3049" t="s">
        <v>3348</v>
      </c>
      <c r="J9" s="3050">
        <f>SUMIF(75:75,I9,76:76)-SUMIF(75:75,C9,76:76)+100</f>
        <v>116</v>
      </c>
      <c r="K9" s="598"/>
      <c r="L9" s="1110"/>
      <c r="M9" s="1111"/>
      <c r="N9" s="1111"/>
      <c r="O9" s="1112"/>
      <c r="P9" s="3282" t="s">
        <v>2545</v>
      </c>
      <c r="Q9" s="1773" t="str">
        <f t="shared" ref="Q9:Q15" si="6">B9</f>
        <v>用途</v>
      </c>
      <c r="R9" s="755" t="s">
        <v>17</v>
      </c>
      <c r="S9" s="756">
        <f t="shared" si="0"/>
        <v>116</v>
      </c>
      <c r="T9" s="755" t="s">
        <v>17</v>
      </c>
      <c r="U9" s="756">
        <f t="shared" si="1"/>
        <v>116</v>
      </c>
      <c r="V9" s="755" t="s">
        <v>17</v>
      </c>
      <c r="W9" s="756">
        <f t="shared" si="2"/>
        <v>116</v>
      </c>
      <c r="X9" s="757"/>
      <c r="Y9" s="3103" t="s">
        <v>2546</v>
      </c>
      <c r="Z9" s="55" t="str">
        <f t="shared" ref="Z9:Z15" si="7">Q9</f>
        <v>用途</v>
      </c>
      <c r="AA9" s="758">
        <f t="shared" si="3"/>
        <v>0.86206896551724133</v>
      </c>
      <c r="AB9" s="758">
        <f t="shared" si="4"/>
        <v>0.86206896551724133</v>
      </c>
      <c r="AC9" s="758">
        <f t="shared" si="5"/>
        <v>0.86206896551724133</v>
      </c>
    </row>
    <row r="10" spans="1:30" s="414" customFormat="1" ht="49.5">
      <c r="A10" s="408"/>
      <c r="B10" s="409" t="s">
        <v>2547</v>
      </c>
      <c r="C10" s="3015" t="s">
        <v>3290</v>
      </c>
      <c r="D10" s="123">
        <v>100</v>
      </c>
      <c r="E10" s="3014" t="s">
        <v>3287</v>
      </c>
      <c r="F10" s="123">
        <f>ROUND(100/'数据-取费表'!G16,0)</f>
        <v>103</v>
      </c>
      <c r="G10" s="3014" t="s">
        <v>3287</v>
      </c>
      <c r="H10" s="123">
        <f>ROUND(100/'数据-取费表'!G16,0)</f>
        <v>103</v>
      </c>
      <c r="I10" s="3014" t="s">
        <v>3287</v>
      </c>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282"/>
      <c r="Q11" s="1773" t="str">
        <f t="shared" si="6"/>
        <v>容积率</v>
      </c>
      <c r="R11" s="755" t="s">
        <v>17</v>
      </c>
      <c r="S11" s="756">
        <f t="shared" si="0"/>
        <v>100</v>
      </c>
      <c r="T11" s="755" t="s">
        <v>17</v>
      </c>
      <c r="U11" s="756">
        <f t="shared" si="1"/>
        <v>100</v>
      </c>
      <c r="V11" s="755" t="s">
        <v>17</v>
      </c>
      <c r="W11" s="756">
        <f t="shared" si="2"/>
        <v>100</v>
      </c>
      <c r="X11" s="757"/>
      <c r="Y11" s="3103"/>
      <c r="Z11" s="55" t="str">
        <f t="shared" si="7"/>
        <v>容积率</v>
      </c>
      <c r="AA11" s="758">
        <f t="shared" si="3"/>
        <v>1</v>
      </c>
      <c r="AB11" s="758">
        <f t="shared" si="4"/>
        <v>1</v>
      </c>
      <c r="AC11" s="758">
        <f t="shared" si="5"/>
        <v>1</v>
      </c>
    </row>
    <row r="12" spans="1:30" s="112" customFormat="1" ht="15">
      <c r="A12" s="418"/>
      <c r="B12" s="3054" t="s">
        <v>3362</v>
      </c>
      <c r="C12" s="3056" t="s">
        <v>3364</v>
      </c>
      <c r="D12" s="420">
        <v>100</v>
      </c>
      <c r="E12" s="3056" t="s">
        <v>3363</v>
      </c>
      <c r="F12" s="123">
        <f>SUMIF(82:82,E12,83:83)-SUMIF(82:82,C12,83:83)+100</f>
        <v>102</v>
      </c>
      <c r="G12" s="3056" t="s">
        <v>3364</v>
      </c>
      <c r="H12" s="123">
        <f>SUMIF(82:82,G12,83:83)-SUMIF(82:82,C12,83:83)+100</f>
        <v>100</v>
      </c>
      <c r="I12" s="3056" t="s">
        <v>3365</v>
      </c>
      <c r="J12" s="123">
        <f>SUMIF(82:82,I12,83:83)-SUMIF(82:82,C12,83:83)+100</f>
        <v>98</v>
      </c>
      <c r="K12" s="659"/>
      <c r="L12" s="1110"/>
      <c r="M12" s="1111"/>
      <c r="N12" s="1111"/>
      <c r="O12" s="1112"/>
      <c r="P12" s="3282"/>
      <c r="Q12" s="1773" t="str">
        <f t="shared" si="6"/>
        <v>限价</v>
      </c>
      <c r="R12" s="755" t="s">
        <v>17</v>
      </c>
      <c r="S12" s="756">
        <f t="shared" si="0"/>
        <v>102</v>
      </c>
      <c r="T12" s="755" t="s">
        <v>17</v>
      </c>
      <c r="U12" s="756">
        <f t="shared" si="1"/>
        <v>100</v>
      </c>
      <c r="V12" s="755" t="s">
        <v>17</v>
      </c>
      <c r="W12" s="756">
        <f t="shared" si="2"/>
        <v>98</v>
      </c>
      <c r="X12" s="757"/>
      <c r="Y12" s="3103"/>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D13/F13</f>
        <v>1</v>
      </c>
      <c r="AB13" s="758">
        <f>D13/H13</f>
        <v>1</v>
      </c>
      <c r="AC13" s="758">
        <f>D13/J13</f>
        <v>1</v>
      </c>
    </row>
    <row r="14" spans="1:30" ht="15.75"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284" t="s">
        <v>2550</v>
      </c>
      <c r="Q15" s="1788" t="str">
        <f t="shared" si="6"/>
        <v>居住社区成熟度</v>
      </c>
      <c r="R15" s="759" t="s">
        <v>17</v>
      </c>
      <c r="S15" s="760">
        <f t="shared" si="0"/>
        <v>100</v>
      </c>
      <c r="T15" s="759" t="s">
        <v>17</v>
      </c>
      <c r="U15" s="760">
        <f t="shared" si="1"/>
        <v>97</v>
      </c>
      <c r="V15" s="759" t="s">
        <v>17</v>
      </c>
      <c r="W15" s="760">
        <f t="shared" si="2"/>
        <v>94</v>
      </c>
      <c r="X15" s="1791"/>
      <c r="Y15" s="3284" t="s">
        <v>2550</v>
      </c>
      <c r="Z15" s="1792" t="str">
        <f t="shared" si="7"/>
        <v>居住社区成熟度</v>
      </c>
      <c r="AA15" s="1789">
        <f t="shared" si="3"/>
        <v>1</v>
      </c>
      <c r="AB15" s="1789">
        <f t="shared" si="4"/>
        <v>1.0309278350515463</v>
      </c>
      <c r="AC15" s="1789">
        <f t="shared" si="5"/>
        <v>1.0638297872340425</v>
      </c>
    </row>
    <row r="16" spans="1:30" ht="15">
      <c r="A16" s="415"/>
      <c r="B16" s="433"/>
      <c r="C16" s="434" t="s">
        <v>3292</v>
      </c>
      <c r="D16" s="435"/>
      <c r="E16" s="2574" t="s">
        <v>3292</v>
      </c>
      <c r="F16" s="435"/>
      <c r="G16" s="434" t="s">
        <v>3291</v>
      </c>
      <c r="H16" s="437"/>
      <c r="I16" s="434" t="s">
        <v>3293</v>
      </c>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285"/>
      <c r="Q17" s="1788" t="str">
        <f>B17</f>
        <v>商业繁华度</v>
      </c>
      <c r="R17" s="759" t="s">
        <v>17</v>
      </c>
      <c r="S17" s="760">
        <f>F17</f>
        <v>100</v>
      </c>
      <c r="T17" s="759" t="s">
        <v>17</v>
      </c>
      <c r="U17" s="760">
        <f>H17</f>
        <v>100</v>
      </c>
      <c r="V17" s="759" t="s">
        <v>17</v>
      </c>
      <c r="W17" s="760">
        <f>J17</f>
        <v>98</v>
      </c>
      <c r="X17" s="1791"/>
      <c r="Y17" s="3285"/>
      <c r="Z17" s="1792" t="str">
        <f>Q17</f>
        <v>商业繁华度</v>
      </c>
      <c r="AA17" s="1789">
        <f t="shared" si="3"/>
        <v>1</v>
      </c>
      <c r="AB17" s="1789">
        <f t="shared" si="4"/>
        <v>1</v>
      </c>
      <c r="AC17" s="1789">
        <f t="shared" si="5"/>
        <v>1.0204081632653061</v>
      </c>
    </row>
    <row r="18" spans="1:29" ht="15">
      <c r="A18" s="415"/>
      <c r="B18" s="443"/>
      <c r="C18" s="2577" t="s">
        <v>3291</v>
      </c>
      <c r="D18" s="437"/>
      <c r="E18" s="2577" t="s">
        <v>3291</v>
      </c>
      <c r="F18" s="437"/>
      <c r="G18" s="434" t="s">
        <v>3291</v>
      </c>
      <c r="H18" s="435"/>
      <c r="I18" s="434" t="s">
        <v>3293</v>
      </c>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9.149999999999999"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85"/>
      <c r="Q19" s="1788" t="str">
        <f>B19</f>
        <v>办公集聚程度</v>
      </c>
      <c r="R19" s="759" t="s">
        <v>17</v>
      </c>
      <c r="S19" s="760">
        <f>F19</f>
        <v>100</v>
      </c>
      <c r="T19" s="759" t="s">
        <v>17</v>
      </c>
      <c r="U19" s="760">
        <f>H19</f>
        <v>100</v>
      </c>
      <c r="V19" s="759" t="s">
        <v>17</v>
      </c>
      <c r="W19" s="760">
        <f>J19</f>
        <v>100</v>
      </c>
      <c r="X19" s="1791"/>
      <c r="Y19" s="3285"/>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285"/>
      <c r="Q20" s="1788"/>
      <c r="R20" s="759"/>
      <c r="S20" s="760"/>
      <c r="T20" s="759"/>
      <c r="U20" s="760"/>
      <c r="V20" s="759"/>
      <c r="W20" s="760"/>
      <c r="X20" s="1791"/>
      <c r="Y20" s="3285"/>
      <c r="Z20" s="1792"/>
      <c r="AA20" s="1789">
        <v>1</v>
      </c>
      <c r="AB20" s="1789">
        <v>1</v>
      </c>
      <c r="AC20" s="1789">
        <v>1</v>
      </c>
    </row>
    <row r="21" spans="1:29" ht="85.5">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100</v>
      </c>
      <c r="G21" s="439"/>
      <c r="H21" s="437">
        <f>SUMIF(94:94,G22,95:95)-SUMIF(94:94,C22,95:95)+100</f>
        <v>98</v>
      </c>
      <c r="I21" s="441"/>
      <c r="J21" s="437">
        <f>SUMIF(94:94,I22,95:95)-SUMIF(94:94,C22,95:95)+100</f>
        <v>98</v>
      </c>
      <c r="K21" s="660">
        <v>2</v>
      </c>
      <c r="L21" s="1118"/>
      <c r="M21" s="1109"/>
      <c r="N21" s="1109"/>
      <c r="O21" s="1117"/>
      <c r="P21" s="3285"/>
      <c r="Q21" s="1788" t="str">
        <f>B21</f>
        <v>交通便捷度</v>
      </c>
      <c r="R21" s="759" t="s">
        <v>17</v>
      </c>
      <c r="S21" s="760">
        <f>F21</f>
        <v>100</v>
      </c>
      <c r="T21" s="759" t="s">
        <v>17</v>
      </c>
      <c r="U21" s="760">
        <f>H21</f>
        <v>98</v>
      </c>
      <c r="V21" s="759" t="s">
        <v>17</v>
      </c>
      <c r="W21" s="760">
        <f>J21</f>
        <v>98</v>
      </c>
      <c r="X21" s="1791"/>
      <c r="Y21" s="3285"/>
      <c r="Z21" s="1792" t="str">
        <f>Q21</f>
        <v>交通便捷度</v>
      </c>
      <c r="AA21" s="1789">
        <f t="shared" si="3"/>
        <v>1</v>
      </c>
      <c r="AB21" s="1789">
        <f t="shared" si="4"/>
        <v>1.0204081632653061</v>
      </c>
      <c r="AC21" s="1789">
        <f t="shared" si="5"/>
        <v>1.0204081632653061</v>
      </c>
    </row>
    <row r="22" spans="1:29" ht="15">
      <c r="A22" s="415"/>
      <c r="B22" s="1362"/>
      <c r="C22" s="434" t="s">
        <v>3292</v>
      </c>
      <c r="D22" s="437"/>
      <c r="E22" s="434" t="s">
        <v>3292</v>
      </c>
      <c r="F22" s="435"/>
      <c r="G22" s="2577" t="s">
        <v>3291</v>
      </c>
      <c r="H22" s="435"/>
      <c r="I22" s="2577" t="s">
        <v>3291</v>
      </c>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ht="28.5">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85"/>
      <c r="Q23" s="1788" t="str">
        <f t="shared" ref="Q23:Q37" si="8">B23</f>
        <v>区域土地利用方向</v>
      </c>
      <c r="R23" s="759" t="s">
        <v>17</v>
      </c>
      <c r="S23" s="760">
        <f>F23</f>
        <v>100</v>
      </c>
      <c r="T23" s="759" t="s">
        <v>17</v>
      </c>
      <c r="U23" s="760">
        <f>H23</f>
        <v>100</v>
      </c>
      <c r="V23" s="759" t="s">
        <v>17</v>
      </c>
      <c r="W23" s="760">
        <f>J23</f>
        <v>100</v>
      </c>
      <c r="X23" s="1791"/>
      <c r="Y23" s="3285"/>
      <c r="Z23" s="1792" t="str">
        <f>Q23</f>
        <v>区域土地利用方向</v>
      </c>
      <c r="AA23" s="1789">
        <f t="shared" si="3"/>
        <v>1</v>
      </c>
      <c r="AB23" s="1789">
        <f t="shared" si="4"/>
        <v>1</v>
      </c>
      <c r="AC23" s="1789">
        <f t="shared" si="5"/>
        <v>1</v>
      </c>
    </row>
    <row r="24" spans="1:29" ht="15">
      <c r="A24" s="391"/>
      <c r="B24" s="443"/>
      <c r="C24" s="603" t="s">
        <v>3294</v>
      </c>
      <c r="D24" s="435"/>
      <c r="E24" s="603" t="s">
        <v>3294</v>
      </c>
      <c r="F24" s="435"/>
      <c r="G24" s="603" t="s">
        <v>3294</v>
      </c>
      <c r="H24" s="435"/>
      <c r="I24" s="603" t="s">
        <v>3294</v>
      </c>
      <c r="J24" s="435"/>
      <c r="K24" s="790"/>
      <c r="L24" s="1118"/>
      <c r="M24" s="1109"/>
      <c r="N24" s="1109"/>
      <c r="O24" s="1117"/>
      <c r="P24" s="3285"/>
      <c r="Q24" s="1788"/>
      <c r="R24" s="759"/>
      <c r="S24" s="760"/>
      <c r="T24" s="759"/>
      <c r="U24" s="760"/>
      <c r="V24" s="759"/>
      <c r="W24" s="760"/>
      <c r="X24" s="1791"/>
      <c r="Y24" s="3285"/>
      <c r="Z24" s="1792"/>
      <c r="AA24" s="1789"/>
      <c r="AB24" s="1789"/>
      <c r="AC24" s="1789"/>
    </row>
    <row r="25" spans="1:29" ht="42.75">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285"/>
      <c r="Q25" s="1788" t="str">
        <f t="shared" si="8"/>
        <v>自然及人文环境状况</v>
      </c>
      <c r="R25" s="759" t="s">
        <v>17</v>
      </c>
      <c r="S25" s="760">
        <f>F25</f>
        <v>100</v>
      </c>
      <c r="T25" s="759" t="s">
        <v>17</v>
      </c>
      <c r="U25" s="760">
        <f>H25</f>
        <v>100</v>
      </c>
      <c r="V25" s="759" t="s">
        <v>17</v>
      </c>
      <c r="W25" s="760">
        <f>J25</f>
        <v>100</v>
      </c>
      <c r="X25" s="1791"/>
      <c r="Y25" s="3285"/>
      <c r="Z25" s="1792" t="str">
        <f>Q25</f>
        <v>自然及人文环境状况</v>
      </c>
      <c r="AA25" s="1789">
        <f t="shared" si="3"/>
        <v>1</v>
      </c>
      <c r="AB25" s="1789">
        <f t="shared" si="4"/>
        <v>1</v>
      </c>
      <c r="AC25" s="1789">
        <f t="shared" si="5"/>
        <v>1</v>
      </c>
    </row>
    <row r="26" spans="1:29" ht="15">
      <c r="A26" s="391"/>
      <c r="B26" s="443"/>
      <c r="C26" s="434" t="s">
        <v>3294</v>
      </c>
      <c r="D26" s="435"/>
      <c r="E26" s="434" t="s">
        <v>3294</v>
      </c>
      <c r="F26" s="435"/>
      <c r="G26" s="434" t="s">
        <v>3294</v>
      </c>
      <c r="H26" s="435"/>
      <c r="I26" s="434" t="s">
        <v>3294</v>
      </c>
      <c r="J26" s="435"/>
      <c r="K26" s="659"/>
      <c r="L26" s="1118"/>
      <c r="M26" s="1109"/>
      <c r="N26" s="1109"/>
      <c r="O26" s="1117"/>
      <c r="P26" s="3285"/>
      <c r="Q26" s="1788"/>
      <c r="R26" s="759"/>
      <c r="S26" s="760"/>
      <c r="T26" s="759"/>
      <c r="U26" s="760"/>
      <c r="V26" s="759"/>
      <c r="W26" s="760"/>
      <c r="X26" s="1791"/>
      <c r="Y26" s="3285"/>
      <c r="Z26" s="1792"/>
      <c r="AA26" s="1789">
        <v>1</v>
      </c>
      <c r="AB26" s="1789">
        <v>1</v>
      </c>
      <c r="AC26" s="1789">
        <v>1</v>
      </c>
    </row>
    <row r="27" spans="1:29" s="112" customFormat="1" ht="55.9"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285"/>
      <c r="Q27" s="1773" t="str">
        <f t="shared" si="8"/>
        <v>公共配套设施</v>
      </c>
      <c r="R27" s="755" t="s">
        <v>17</v>
      </c>
      <c r="S27" s="756">
        <f>F27</f>
        <v>100</v>
      </c>
      <c r="T27" s="755" t="s">
        <v>17</v>
      </c>
      <c r="U27" s="756">
        <f>H27</f>
        <v>100</v>
      </c>
      <c r="V27" s="755" t="s">
        <v>17</v>
      </c>
      <c r="W27" s="756">
        <f>J27</f>
        <v>98</v>
      </c>
      <c r="X27" s="757"/>
      <c r="Y27" s="3285"/>
      <c r="Z27" s="55" t="str">
        <f>Q27</f>
        <v>公共配套设施</v>
      </c>
      <c r="AA27" s="1789">
        <f>D27/F27</f>
        <v>1</v>
      </c>
      <c r="AB27" s="1789">
        <f>D27/H27</f>
        <v>1</v>
      </c>
      <c r="AC27" s="1789">
        <f>D27/J27</f>
        <v>1.0204081632653061</v>
      </c>
    </row>
    <row r="28" spans="1:29" s="112" customFormat="1" ht="15">
      <c r="A28" s="636"/>
      <c r="B28" s="443"/>
      <c r="C28" s="2667" t="s">
        <v>3291</v>
      </c>
      <c r="D28" s="435"/>
      <c r="E28" s="2667" t="s">
        <v>3291</v>
      </c>
      <c r="F28" s="435"/>
      <c r="G28" s="2667" t="s">
        <v>3291</v>
      </c>
      <c r="H28" s="435"/>
      <c r="I28" s="2667" t="s">
        <v>3293</v>
      </c>
      <c r="J28" s="435"/>
      <c r="K28" s="659"/>
      <c r="L28" s="1110"/>
      <c r="M28" s="1111"/>
      <c r="N28" s="1111"/>
      <c r="O28" s="1112"/>
      <c r="P28" s="3285"/>
      <c r="Q28" s="1773"/>
      <c r="R28" s="755"/>
      <c r="S28" s="756"/>
      <c r="T28" s="755"/>
      <c r="U28" s="756"/>
      <c r="V28" s="755"/>
      <c r="W28" s="756"/>
      <c r="X28" s="757"/>
      <c r="Y28" s="3285"/>
      <c r="Z28" s="55"/>
      <c r="AA28" s="1789">
        <v>1</v>
      </c>
      <c r="AB28" s="1789">
        <v>1</v>
      </c>
      <c r="AC28" s="1789">
        <v>1</v>
      </c>
    </row>
    <row r="29" spans="1:29" s="112" customFormat="1" ht="28.5">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85"/>
      <c r="Q29" s="1773" t="str">
        <f t="shared" ref="Q29" si="9">B29</f>
        <v>基础设施水平</v>
      </c>
      <c r="R29" s="755" t="s">
        <v>17</v>
      </c>
      <c r="S29" s="756">
        <f>F29</f>
        <v>100</v>
      </c>
      <c r="T29" s="755" t="s">
        <v>17</v>
      </c>
      <c r="U29" s="756">
        <f>H29</f>
        <v>100</v>
      </c>
      <c r="V29" s="755" t="s">
        <v>17</v>
      </c>
      <c r="W29" s="756">
        <f>J29</f>
        <v>100</v>
      </c>
      <c r="X29" s="757"/>
      <c r="Y29" s="3285"/>
      <c r="Z29" s="55" t="str">
        <f>Q29</f>
        <v>基础设施水平</v>
      </c>
      <c r="AA29" s="1789">
        <f>D29/F29</f>
        <v>1</v>
      </c>
      <c r="AB29" s="1789">
        <f>D29/H29</f>
        <v>1</v>
      </c>
      <c r="AC29" s="1789">
        <f>D29/J29</f>
        <v>1</v>
      </c>
    </row>
    <row r="30" spans="1:29" s="112" customFormat="1" ht="15">
      <c r="A30" s="636"/>
      <c r="B30" s="443"/>
      <c r="C30" s="2667" t="s">
        <v>3295</v>
      </c>
      <c r="D30" s="435"/>
      <c r="E30" s="2667" t="s">
        <v>3295</v>
      </c>
      <c r="F30" s="435"/>
      <c r="G30" s="2667" t="s">
        <v>3295</v>
      </c>
      <c r="H30" s="435"/>
      <c r="I30" s="2667" t="s">
        <v>3295</v>
      </c>
      <c r="J30" s="435"/>
      <c r="K30" s="659"/>
      <c r="L30" s="1110"/>
      <c r="M30" s="1111"/>
      <c r="N30" s="1111"/>
      <c r="O30" s="1112"/>
      <c r="P30" s="3285"/>
      <c r="Q30" s="1773"/>
      <c r="R30" s="755"/>
      <c r="S30" s="756"/>
      <c r="T30" s="755"/>
      <c r="U30" s="756"/>
      <c r="V30" s="755"/>
      <c r="W30" s="756"/>
      <c r="X30" s="757"/>
      <c r="Y30" s="3285"/>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3296</v>
      </c>
      <c r="J31" s="422">
        <f>SUMIF(104:104,I31,105:105)-SUMIF(104:104,C31,105:105)+100</f>
        <v>98</v>
      </c>
      <c r="K31" s="660">
        <v>2</v>
      </c>
      <c r="L31" s="1118"/>
      <c r="M31" s="1109"/>
      <c r="N31" s="1109"/>
      <c r="O31" s="1117"/>
      <c r="P31" s="3285"/>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285"/>
      <c r="Z31" s="1792" t="str">
        <f t="shared" ref="Z31:Z45" si="13">Q31</f>
        <v>临街状况</v>
      </c>
      <c r="AA31" s="1789">
        <f t="shared" si="3"/>
        <v>1</v>
      </c>
      <c r="AB31" s="1789">
        <f t="shared" si="4"/>
        <v>1</v>
      </c>
      <c r="AC31" s="1789">
        <f t="shared" si="5"/>
        <v>1.0204081632653061</v>
      </c>
    </row>
    <row r="32" spans="1:29" ht="27">
      <c r="A32" s="415"/>
      <c r="B32" s="1362" t="s">
        <v>2681</v>
      </c>
      <c r="C32" s="441"/>
      <c r="D32" s="437">
        <v>100</v>
      </c>
      <c r="E32" s="439"/>
      <c r="F32" s="437">
        <f>SUMIF(106:106,E33,107:107)-SUMIF(106:106,C33,107:107)+100</f>
        <v>100</v>
      </c>
      <c r="G32" s="439"/>
      <c r="H32" s="437">
        <f>SUMIF(106:106,G33,107:107)-SUMIF(106:106,C33,107:107)+100</f>
        <v>99</v>
      </c>
      <c r="I32" s="441"/>
      <c r="J32" s="437">
        <f>SUMIF(106:106,I33,107:107)-SUMIF(106:106,C33,107:107)+100</f>
        <v>98</v>
      </c>
      <c r="K32" s="660">
        <v>1</v>
      </c>
      <c r="L32" s="1118"/>
      <c r="M32" s="1109"/>
      <c r="N32" s="1109"/>
      <c r="O32" s="1117"/>
      <c r="P32" s="3285"/>
      <c r="Q32" s="1788" t="str">
        <f t="shared" si="8"/>
        <v>毗邻道路的类型与等级</v>
      </c>
      <c r="R32" s="759" t="s">
        <v>17</v>
      </c>
      <c r="S32" s="760">
        <f t="shared" si="10"/>
        <v>100</v>
      </c>
      <c r="T32" s="759" t="s">
        <v>17</v>
      </c>
      <c r="U32" s="760">
        <f t="shared" si="11"/>
        <v>99</v>
      </c>
      <c r="V32" s="759" t="s">
        <v>17</v>
      </c>
      <c r="W32" s="760">
        <f t="shared" si="12"/>
        <v>98</v>
      </c>
      <c r="X32" s="1791"/>
      <c r="Y32" s="3285"/>
      <c r="Z32" s="1792" t="str">
        <f t="shared" si="13"/>
        <v>毗邻道路的类型与等级</v>
      </c>
      <c r="AA32" s="1789">
        <f t="shared" si="3"/>
        <v>1</v>
      </c>
      <c r="AB32" s="1789">
        <f t="shared" si="4"/>
        <v>1.0101010101010102</v>
      </c>
      <c r="AC32" s="1789">
        <f t="shared" si="5"/>
        <v>1.0204081632653061</v>
      </c>
    </row>
    <row r="33" spans="1:29" ht="15">
      <c r="A33" s="415"/>
      <c r="B33" s="443"/>
      <c r="C33" s="434" t="s">
        <v>3297</v>
      </c>
      <c r="D33" s="435"/>
      <c r="E33" s="434" t="s">
        <v>3297</v>
      </c>
      <c r="F33" s="435"/>
      <c r="G33" s="2580" t="s">
        <v>3299</v>
      </c>
      <c r="H33" s="435"/>
      <c r="I33" s="2580" t="s">
        <v>3298</v>
      </c>
      <c r="J33" s="435"/>
      <c r="K33" s="600"/>
      <c r="L33" s="1118"/>
      <c r="M33" s="1109"/>
      <c r="N33" s="1109"/>
      <c r="O33" s="1117"/>
      <c r="P33" s="3285"/>
      <c r="Q33" s="1788"/>
      <c r="R33" s="759"/>
      <c r="S33" s="760"/>
      <c r="T33" s="759"/>
      <c r="U33" s="760"/>
      <c r="V33" s="759"/>
      <c r="W33" s="760"/>
      <c r="X33" s="1791"/>
      <c r="Y33" s="3285"/>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85"/>
      <c r="Q34" s="1788" t="str">
        <f t="shared" si="8"/>
        <v>土地级别</v>
      </c>
      <c r="R34" s="759" t="s">
        <v>17</v>
      </c>
      <c r="S34" s="760">
        <f t="shared" si="10"/>
        <v>100</v>
      </c>
      <c r="T34" s="759" t="s">
        <v>17</v>
      </c>
      <c r="U34" s="760">
        <f t="shared" si="11"/>
        <v>100</v>
      </c>
      <c r="V34" s="759" t="s">
        <v>17</v>
      </c>
      <c r="W34" s="760">
        <f t="shared" si="12"/>
        <v>100</v>
      </c>
      <c r="X34" s="1791"/>
      <c r="Y34" s="3285"/>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85"/>
      <c r="Q35" s="1788">
        <f t="shared" si="8"/>
        <v>111</v>
      </c>
      <c r="R35" s="759" t="s">
        <v>17</v>
      </c>
      <c r="S35" s="760">
        <f t="shared" si="10"/>
        <v>100</v>
      </c>
      <c r="T35" s="759" t="s">
        <v>17</v>
      </c>
      <c r="U35" s="760">
        <f t="shared" si="11"/>
        <v>100</v>
      </c>
      <c r="V35" s="759" t="s">
        <v>17</v>
      </c>
      <c r="W35" s="760">
        <f t="shared" si="12"/>
        <v>100</v>
      </c>
      <c r="X35" s="1791"/>
      <c r="Y35" s="3285"/>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86" t="s">
        <v>2555</v>
      </c>
      <c r="Q36" s="1788">
        <f t="shared" si="8"/>
        <v>111</v>
      </c>
      <c r="R36" s="759" t="s">
        <v>17</v>
      </c>
      <c r="S36" s="760">
        <f t="shared" si="10"/>
        <v>100</v>
      </c>
      <c r="T36" s="759" t="s">
        <v>17</v>
      </c>
      <c r="U36" s="760">
        <f t="shared" si="11"/>
        <v>100</v>
      </c>
      <c r="V36" s="759" t="s">
        <v>17</v>
      </c>
      <c r="W36" s="760">
        <f t="shared" si="12"/>
        <v>100</v>
      </c>
      <c r="X36" s="1791"/>
      <c r="Y36" s="3287" t="s">
        <v>2555</v>
      </c>
      <c r="Z36" s="1792">
        <f t="shared" si="13"/>
        <v>111</v>
      </c>
      <c r="AA36" s="1789">
        <f t="shared" si="3"/>
        <v>1</v>
      </c>
      <c r="AB36" s="1789">
        <f t="shared" si="4"/>
        <v>1</v>
      </c>
      <c r="AC36" s="1789">
        <f t="shared" si="5"/>
        <v>1</v>
      </c>
    </row>
    <row r="37" spans="1:29" s="458" customFormat="1" ht="15.75"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87"/>
      <c r="Q37" s="1788">
        <f t="shared" si="8"/>
        <v>111</v>
      </c>
      <c r="R37" s="762" t="s">
        <v>17</v>
      </c>
      <c r="S37" s="763">
        <f t="shared" si="10"/>
        <v>100</v>
      </c>
      <c r="T37" s="762" t="s">
        <v>17</v>
      </c>
      <c r="U37" s="763">
        <f t="shared" si="11"/>
        <v>100</v>
      </c>
      <c r="V37" s="762" t="s">
        <v>17</v>
      </c>
      <c r="W37" s="763">
        <f t="shared" si="12"/>
        <v>100</v>
      </c>
      <c r="X37" s="764"/>
      <c r="Y37" s="3287"/>
      <c r="Z37" s="765">
        <f t="shared" si="13"/>
        <v>111</v>
      </c>
      <c r="AA37" s="1789">
        <f t="shared" si="3"/>
        <v>1</v>
      </c>
      <c r="AB37" s="1789">
        <f t="shared" si="4"/>
        <v>1</v>
      </c>
      <c r="AC37" s="1789">
        <f t="shared" si="5"/>
        <v>1</v>
      </c>
    </row>
    <row r="38" spans="1:29" ht="15">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287"/>
      <c r="Q38" s="1788" t="str">
        <f>B38</f>
        <v>宗地面积</v>
      </c>
      <c r="R38" s="759" t="s">
        <v>17</v>
      </c>
      <c r="S38" s="760">
        <f t="shared" si="10"/>
        <v>100.5</v>
      </c>
      <c r="T38" s="759" t="s">
        <v>17</v>
      </c>
      <c r="U38" s="760">
        <f t="shared" si="11"/>
        <v>101.5</v>
      </c>
      <c r="V38" s="759" t="s">
        <v>17</v>
      </c>
      <c r="W38" s="760">
        <f t="shared" si="12"/>
        <v>100</v>
      </c>
      <c r="X38" s="1791"/>
      <c r="Y38" s="3287"/>
      <c r="Z38" s="1792" t="str">
        <f t="shared" si="13"/>
        <v>宗地面积</v>
      </c>
      <c r="AA38" s="1789">
        <f t="shared" si="3"/>
        <v>0.99502487562189057</v>
      </c>
      <c r="AB38" s="1789">
        <f t="shared" si="4"/>
        <v>0.98522167487684731</v>
      </c>
      <c r="AC38" s="1789">
        <f t="shared" si="5"/>
        <v>1</v>
      </c>
    </row>
    <row r="39" spans="1:29" ht="15">
      <c r="A39" s="459"/>
      <c r="B39" s="409" t="s">
        <v>2741</v>
      </c>
      <c r="C39" s="2582" t="s">
        <v>3300</v>
      </c>
      <c r="D39" s="422">
        <v>100</v>
      </c>
      <c r="E39" s="2582" t="s">
        <v>3301</v>
      </c>
      <c r="F39" s="422">
        <f>SUMIF(119:119,E39,120:120)-SUMIF(119:119,C39,120:120)+100</f>
        <v>96</v>
      </c>
      <c r="G39" s="2582" t="s">
        <v>3300</v>
      </c>
      <c r="H39" s="422">
        <f>SUMIF(119:119,G39,120:120)-SUMIF(119:119,C39,120:120)+100</f>
        <v>100</v>
      </c>
      <c r="I39" s="2582" t="s">
        <v>3300</v>
      </c>
      <c r="J39" s="422">
        <f>SUMIF(119:119,I39,120:120)-SUMIF(119:119,C39,120:120)+100</f>
        <v>100</v>
      </c>
      <c r="K39" s="599">
        <v>2</v>
      </c>
      <c r="L39" s="1118"/>
      <c r="M39" s="1109"/>
      <c r="N39" s="1109"/>
      <c r="O39" s="1117"/>
      <c r="P39" s="3287"/>
      <c r="Q39" s="1788" t="str">
        <f t="shared" ref="Q39:Q45" si="14">B39</f>
        <v>宗地形状</v>
      </c>
      <c r="R39" s="759" t="s">
        <v>17</v>
      </c>
      <c r="S39" s="760">
        <f t="shared" si="10"/>
        <v>96</v>
      </c>
      <c r="T39" s="759" t="s">
        <v>17</v>
      </c>
      <c r="U39" s="760">
        <f t="shared" si="11"/>
        <v>100</v>
      </c>
      <c r="V39" s="759" t="s">
        <v>17</v>
      </c>
      <c r="W39" s="760">
        <f t="shared" si="12"/>
        <v>100</v>
      </c>
      <c r="X39" s="1791"/>
      <c r="Y39" s="3287"/>
      <c r="Z39" s="1792" t="str">
        <f t="shared" si="13"/>
        <v>宗地形状</v>
      </c>
      <c r="AA39" s="1789">
        <f t="shared" si="3"/>
        <v>1.0416666666666667</v>
      </c>
      <c r="AB39" s="1789">
        <f t="shared" si="4"/>
        <v>1</v>
      </c>
      <c r="AC39" s="1789">
        <f t="shared" si="5"/>
        <v>1</v>
      </c>
    </row>
    <row r="40" spans="1:29" ht="15">
      <c r="A40" s="459"/>
      <c r="B40" s="409" t="s">
        <v>2742</v>
      </c>
      <c r="C40" s="2582" t="s">
        <v>3302</v>
      </c>
      <c r="D40" s="422">
        <v>100</v>
      </c>
      <c r="E40" s="2582" t="s">
        <v>3302</v>
      </c>
      <c r="F40" s="422">
        <f>SUMIF(121:121,E40,122:122)-SUMIF(121:121,C40,122:122)+100</f>
        <v>100</v>
      </c>
      <c r="G40" s="2582" t="s">
        <v>3302</v>
      </c>
      <c r="H40" s="422">
        <f>SUMIF(121:121,G40,122:122)-SUMIF(121:121,C40,122:122)+100</f>
        <v>100</v>
      </c>
      <c r="I40" s="2582" t="s">
        <v>3302</v>
      </c>
      <c r="J40" s="422">
        <f>SUMIF(121:121,I40,122:122)-SUMIF(121:121,C40,122:122)+100</f>
        <v>100</v>
      </c>
      <c r="K40" s="599">
        <v>2</v>
      </c>
      <c r="L40" s="1118"/>
      <c r="M40" s="1109"/>
      <c r="N40" s="1109"/>
      <c r="O40" s="1117"/>
      <c r="P40" s="3287"/>
      <c r="Q40" s="1788" t="str">
        <f t="shared" si="14"/>
        <v>临街宽度及深度</v>
      </c>
      <c r="R40" s="759" t="s">
        <v>17</v>
      </c>
      <c r="S40" s="760">
        <f t="shared" si="10"/>
        <v>100</v>
      </c>
      <c r="T40" s="759" t="s">
        <v>17</v>
      </c>
      <c r="U40" s="760">
        <f t="shared" si="11"/>
        <v>100</v>
      </c>
      <c r="V40" s="759" t="s">
        <v>17</v>
      </c>
      <c r="W40" s="760">
        <f t="shared" si="12"/>
        <v>100</v>
      </c>
      <c r="X40" s="1791"/>
      <c r="Y40" s="3287"/>
      <c r="Z40" s="1792" t="str">
        <f t="shared" si="13"/>
        <v>临街宽度及深度</v>
      </c>
      <c r="AA40" s="1789">
        <f t="shared" si="3"/>
        <v>1</v>
      </c>
      <c r="AB40" s="1789">
        <f t="shared" si="4"/>
        <v>1</v>
      </c>
      <c r="AC40" s="1789">
        <f t="shared" si="5"/>
        <v>1</v>
      </c>
    </row>
    <row r="41" spans="1:29" s="112" customFormat="1" ht="15">
      <c r="A41" s="460"/>
      <c r="B41" s="409" t="s">
        <v>2743</v>
      </c>
      <c r="C41" s="2669" t="s">
        <v>3303</v>
      </c>
      <c r="D41" s="123">
        <v>100</v>
      </c>
      <c r="E41" s="2669" t="s">
        <v>3303</v>
      </c>
      <c r="F41" s="422">
        <f>SUMIF(123:123,E41,124:124)-SUMIF(123:123,C41,124:124)+100</f>
        <v>100</v>
      </c>
      <c r="G41" s="2669" t="s">
        <v>3303</v>
      </c>
      <c r="H41" s="422">
        <f>SUMIF(123:123,G41,124:124)-SUMIF(123:123,C41,124:124)+100</f>
        <v>100</v>
      </c>
      <c r="I41" s="2669" t="s">
        <v>3304</v>
      </c>
      <c r="J41" s="422">
        <f>SUMIF(123:123,I41,124:124)-SUMIF(123:123,C41,124:124)+100</f>
        <v>99</v>
      </c>
      <c r="K41" s="599">
        <v>1</v>
      </c>
      <c r="L41" s="1110"/>
      <c r="M41" s="1111"/>
      <c r="N41" s="1111"/>
      <c r="O41" s="1112"/>
      <c r="P41" s="3287"/>
      <c r="Q41" s="1788" t="str">
        <f t="shared" si="14"/>
        <v>宗地开发程度</v>
      </c>
      <c r="R41" s="755" t="s">
        <v>17</v>
      </c>
      <c r="S41" s="756">
        <f t="shared" si="10"/>
        <v>100</v>
      </c>
      <c r="T41" s="755" t="s">
        <v>17</v>
      </c>
      <c r="U41" s="756">
        <f t="shared" si="11"/>
        <v>100</v>
      </c>
      <c r="V41" s="755" t="s">
        <v>17</v>
      </c>
      <c r="W41" s="756">
        <f t="shared" si="12"/>
        <v>99</v>
      </c>
      <c r="X41" s="757"/>
      <c r="Y41" s="3287"/>
      <c r="Z41" s="55" t="str">
        <f t="shared" si="13"/>
        <v>宗地开发程度</v>
      </c>
      <c r="AA41" s="758">
        <f t="shared" si="3"/>
        <v>1</v>
      </c>
      <c r="AB41" s="758">
        <f t="shared" si="4"/>
        <v>1</v>
      </c>
      <c r="AC41" s="758">
        <f t="shared" si="5"/>
        <v>1.0101010101010102</v>
      </c>
    </row>
    <row r="42" spans="1:29" ht="15">
      <c r="A42" s="459"/>
      <c r="B42" s="409" t="s">
        <v>2744</v>
      </c>
      <c r="C42" s="2582" t="s">
        <v>3294</v>
      </c>
      <c r="D42" s="422">
        <v>100</v>
      </c>
      <c r="E42" s="2582" t="s">
        <v>3294</v>
      </c>
      <c r="F42" s="422">
        <f>SUMIF(125:125,E42,126:126)-SUMIF(125:125,C42,126:126)+100</f>
        <v>100</v>
      </c>
      <c r="G42" s="2582" t="s">
        <v>3294</v>
      </c>
      <c r="H42" s="422">
        <f>SUMIF(125:125,G42,126:126)-SUMIF(125:125,C42,126:126)+100</f>
        <v>100</v>
      </c>
      <c r="I42" s="2582" t="s">
        <v>3294</v>
      </c>
      <c r="J42" s="422">
        <f>SUMIF(125:125,I42,126:126)-SUMIF(125:125,C42,126:126)+100</f>
        <v>100</v>
      </c>
      <c r="K42" s="599">
        <v>2</v>
      </c>
      <c r="L42" s="1118"/>
      <c r="M42" s="1109"/>
      <c r="N42" s="1109"/>
      <c r="O42" s="1117"/>
      <c r="P42" s="3287" t="s">
        <v>2555</v>
      </c>
      <c r="Q42" s="1788" t="str">
        <f t="shared" si="14"/>
        <v>工程地质条件</v>
      </c>
      <c r="R42" s="759" t="s">
        <v>17</v>
      </c>
      <c r="S42" s="760">
        <f t="shared" si="10"/>
        <v>100</v>
      </c>
      <c r="T42" s="759" t="s">
        <v>17</v>
      </c>
      <c r="U42" s="760">
        <f t="shared" si="11"/>
        <v>100</v>
      </c>
      <c r="V42" s="759" t="s">
        <v>17</v>
      </c>
      <c r="W42" s="760">
        <f t="shared" si="12"/>
        <v>100</v>
      </c>
      <c r="X42" s="1791"/>
      <c r="Y42" s="3287"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87"/>
      <c r="Q43" s="1788">
        <f t="shared" si="14"/>
        <v>111</v>
      </c>
      <c r="R43" s="759" t="s">
        <v>17</v>
      </c>
      <c r="S43" s="760">
        <f t="shared" si="10"/>
        <v>100</v>
      </c>
      <c r="T43" s="759" t="s">
        <v>17</v>
      </c>
      <c r="U43" s="760">
        <f t="shared" si="11"/>
        <v>100</v>
      </c>
      <c r="V43" s="759" t="s">
        <v>17</v>
      </c>
      <c r="W43" s="760">
        <f t="shared" si="12"/>
        <v>100</v>
      </c>
      <c r="X43" s="1791"/>
      <c r="Y43" s="3287"/>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87"/>
      <c r="Q44" s="1788">
        <f t="shared" si="14"/>
        <v>111</v>
      </c>
      <c r="R44" s="759" t="s">
        <v>17</v>
      </c>
      <c r="S44" s="760">
        <f t="shared" si="10"/>
        <v>100</v>
      </c>
      <c r="T44" s="759" t="s">
        <v>17</v>
      </c>
      <c r="U44" s="760">
        <f t="shared" si="11"/>
        <v>100</v>
      </c>
      <c r="V44" s="759" t="s">
        <v>17</v>
      </c>
      <c r="W44" s="760">
        <f t="shared" si="12"/>
        <v>100</v>
      </c>
      <c r="X44" s="1791"/>
      <c r="Y44" s="3287"/>
      <c r="Z44" s="1792">
        <f t="shared" si="13"/>
        <v>111</v>
      </c>
      <c r="AA44" s="1789">
        <f t="shared" si="3"/>
        <v>1</v>
      </c>
      <c r="AB44" s="1789">
        <f t="shared" si="4"/>
        <v>1</v>
      </c>
      <c r="AC44" s="1789">
        <f t="shared" si="5"/>
        <v>1</v>
      </c>
    </row>
    <row r="45" spans="1:29" s="458" customFormat="1" ht="15.75"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87"/>
      <c r="Q45" s="1788">
        <f t="shared" si="14"/>
        <v>111</v>
      </c>
      <c r="R45" s="762" t="s">
        <v>17</v>
      </c>
      <c r="S45" s="763">
        <f t="shared" si="10"/>
        <v>100</v>
      </c>
      <c r="T45" s="762" t="s">
        <v>17</v>
      </c>
      <c r="U45" s="763">
        <f t="shared" si="11"/>
        <v>100</v>
      </c>
      <c r="V45" s="762" t="s">
        <v>17</v>
      </c>
      <c r="W45" s="763">
        <f t="shared" si="12"/>
        <v>100</v>
      </c>
      <c r="X45" s="764"/>
      <c r="Y45" s="3287"/>
      <c r="Z45" s="765">
        <f t="shared" si="13"/>
        <v>111</v>
      </c>
      <c r="AA45" s="1789">
        <f t="shared" si="3"/>
        <v>1</v>
      </c>
      <c r="AB45" s="1789">
        <f t="shared" si="4"/>
        <v>1</v>
      </c>
      <c r="AC45" s="1789">
        <f t="shared" si="5"/>
        <v>1</v>
      </c>
    </row>
    <row r="46" spans="1:29" ht="15">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282" t="str">
        <f>A46</f>
        <v>成交单价</v>
      </c>
      <c r="Q46" s="3282"/>
      <c r="R46" s="3288">
        <f>E46</f>
        <v>34740</v>
      </c>
      <c r="S46" s="3288"/>
      <c r="T46" s="3288">
        <f>G46</f>
        <v>23354</v>
      </c>
      <c r="U46" s="3288"/>
      <c r="V46" s="3288">
        <f>I46</f>
        <v>22858</v>
      </c>
      <c r="W46" s="3288"/>
      <c r="X46" s="744"/>
      <c r="Y46" s="766"/>
      <c r="Z46" s="744"/>
      <c r="AA46" s="744"/>
      <c r="AB46" s="744"/>
      <c r="AC46" s="744"/>
    </row>
    <row r="47" spans="1:29" ht="15.75" thickBot="1">
      <c r="A47" s="473" t="s">
        <v>2659</v>
      </c>
      <c r="B47" s="670"/>
      <c r="C47" s="477">
        <f>R48</f>
        <v>25325</v>
      </c>
      <c r="D47" s="476"/>
      <c r="E47" s="477">
        <f>R47</f>
        <v>30938</v>
      </c>
      <c r="F47" s="478"/>
      <c r="G47" s="475">
        <f>T47</f>
        <v>20988</v>
      </c>
      <c r="H47" s="476"/>
      <c r="I47" s="477">
        <f>V47</f>
        <v>24049</v>
      </c>
      <c r="J47" s="476"/>
      <c r="K47" s="769"/>
      <c r="L47" s="1121"/>
      <c r="M47" s="1122"/>
      <c r="N47" s="1122"/>
      <c r="O47" s="1122"/>
      <c r="P47" s="3282" t="str">
        <f>A47</f>
        <v>比较价值（元/平方米）</v>
      </c>
      <c r="Q47" s="3282"/>
      <c r="R47" s="3275">
        <f>ROUND(PRODUCT(R46,AA7:AA45),0)</f>
        <v>30938</v>
      </c>
      <c r="S47" s="3275"/>
      <c r="T47" s="3275">
        <f>ROUND(PRODUCT(T46,AB7:AB45),0)</f>
        <v>20988</v>
      </c>
      <c r="U47" s="3275"/>
      <c r="V47" s="3275">
        <f>ROUND(PRODUCT(V46,AC7:AC45),0)</f>
        <v>24049</v>
      </c>
      <c r="W47" s="3275"/>
      <c r="X47" s="744"/>
      <c r="Y47" s="744"/>
      <c r="Z47" s="744"/>
      <c r="AA47" s="744"/>
      <c r="AB47" s="744"/>
      <c r="AC47" s="744"/>
    </row>
    <row r="48" spans="1:29" ht="15.75" thickBot="1">
      <c r="A48" s="479" t="s">
        <v>2746</v>
      </c>
      <c r="B48" s="480"/>
      <c r="C48" s="481">
        <f>R48</f>
        <v>25325</v>
      </c>
      <c r="D48" s="481"/>
      <c r="E48" s="481"/>
      <c r="F48" s="481"/>
      <c r="G48" s="481"/>
      <c r="H48" s="481"/>
      <c r="I48" s="481"/>
      <c r="J48" s="481"/>
      <c r="K48" s="770"/>
      <c r="L48" s="1121"/>
      <c r="M48" s="1122"/>
      <c r="N48" s="1122"/>
      <c r="O48" s="1122"/>
      <c r="P48" s="3276" t="str">
        <f>A48</f>
        <v>估价对象XX用房的比较价值（楼面单价，元/平方米）</v>
      </c>
      <c r="Q48" s="3277"/>
      <c r="R48" s="3278">
        <f>ROUND(AVERAGE(R47:V47),0)</f>
        <v>25325</v>
      </c>
      <c r="S48" s="3278"/>
      <c r="T48" s="3278"/>
      <c r="U48" s="3278"/>
      <c r="V48" s="3278"/>
      <c r="W48" s="3278"/>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0.12289094317667604</v>
      </c>
      <c r="F51" s="487" t="str">
        <f>IF(OR(E51&gt;=0.3,E51&lt;=-0.3),"超过30%","")</f>
        <v/>
      </c>
      <c r="G51" s="486">
        <f>IF(G46&lt;G47,G47/G46-1,G46/G47-1)</f>
        <v>0.11273108442919755</v>
      </c>
      <c r="H51" s="487" t="str">
        <f>IF(OR(G51&gt;=0.3,G51&lt;=-0.3),"超过30%","")</f>
        <v/>
      </c>
      <c r="I51" s="486">
        <f>IF(I46&lt;I47,I47/I46-1,I46/I47-1)</f>
        <v>5.2104296088896662E-2</v>
      </c>
      <c r="J51" s="487" t="str">
        <f>IF(OR(I51&gt;=0.3,I51&lt;=-0.3),"超过30%","")</f>
        <v/>
      </c>
      <c r="K51" s="1083"/>
      <c r="L51" s="1084"/>
      <c r="M51" s="1122"/>
      <c r="N51" s="1122"/>
      <c r="O51" s="1122"/>
    </row>
    <row r="52" spans="1:15" ht="13.5" customHeight="1">
      <c r="A52" s="1122"/>
      <c r="B52" s="1122"/>
      <c r="C52" s="484" t="s">
        <v>2662</v>
      </c>
      <c r="D52" s="488"/>
      <c r="E52" s="486">
        <f>IF(E47&lt;G47,G47/E47-1,E47/G47-1)</f>
        <v>0.47408042691061558</v>
      </c>
      <c r="F52" s="487" t="str">
        <f>IF(OR(E52&gt;=0.2,E52&lt;=-0.2),"超过20%","")</f>
        <v>超过20%</v>
      </c>
      <c r="G52" s="486">
        <f>IF(G47&lt;I47,I47/G47-1,G47/I47-1)</f>
        <v>0.14584524490184858</v>
      </c>
      <c r="H52" s="487" t="str">
        <f>IF(OR(G52&gt;=0.2,G52&lt;=-0.2),"超过20%","")</f>
        <v/>
      </c>
      <c r="I52" s="486">
        <f>IF(I47&lt;E47,E47/I47-1,I47/E47-1)</f>
        <v>0.28645681733128203</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5"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279" t="s">
        <v>2753</v>
      </c>
      <c r="H55" s="3280"/>
      <c r="I55" s="131" t="s">
        <v>2754</v>
      </c>
      <c r="J55" s="2674">
        <f>项目基本情况!F35</f>
        <v>0</v>
      </c>
      <c r="K55" s="2675" t="s">
        <v>2755</v>
      </c>
      <c r="L55" s="1084"/>
      <c r="M55" s="1122"/>
      <c r="N55" s="1122"/>
      <c r="O55" s="1122"/>
    </row>
    <row r="56" spans="1:15" s="679" customFormat="1">
      <c r="A56" s="675" t="s">
        <v>2756</v>
      </c>
      <c r="B56" s="676">
        <f>C48</f>
        <v>25325</v>
      </c>
      <c r="C56" s="677">
        <v>1</v>
      </c>
      <c r="D56" s="1141">
        <v>1</v>
      </c>
      <c r="E56" s="677">
        <f>'数据-汇总表'!E8+'数据-汇总表'!E9</f>
        <v>18015.099999999999</v>
      </c>
      <c r="F56" s="1081">
        <f t="shared" ref="F56:F65" si="15">ROUND(B56*E56/10000,0)</f>
        <v>45623</v>
      </c>
      <c r="G56" s="3281"/>
      <c r="H56" s="3282"/>
      <c r="I56" s="1086">
        <v>1</v>
      </c>
      <c r="J56" s="1089">
        <v>1</v>
      </c>
      <c r="K56" s="1123"/>
      <c r="L56" s="919"/>
      <c r="M56" s="919"/>
      <c r="N56" s="919"/>
      <c r="O56" s="919"/>
    </row>
    <row r="57" spans="1:15" s="679" customFormat="1">
      <c r="A57" s="680" t="s">
        <v>2757</v>
      </c>
      <c r="B57" s="249">
        <f>ROUND($C$48*C57*D57,0)</f>
        <v>3799</v>
      </c>
      <c r="C57" s="187">
        <f t="shared" ref="C57:C65" si="16">IF($C$55="北京市系数",I57,J57)</f>
        <v>0.6</v>
      </c>
      <c r="D57" s="1142">
        <v>0.25</v>
      </c>
      <c r="E57" s="681"/>
      <c r="F57" s="1081">
        <f t="shared" si="15"/>
        <v>0</v>
      </c>
      <c r="G57" s="3283"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1899</v>
      </c>
      <c r="C58" s="187">
        <f t="shared" si="16"/>
        <v>0.3</v>
      </c>
      <c r="D58" s="1142">
        <v>0.25</v>
      </c>
      <c r="E58" s="681"/>
      <c r="F58" s="1081">
        <f t="shared" si="15"/>
        <v>0</v>
      </c>
      <c r="G58" s="3283"/>
      <c r="H58" s="1082" t="str">
        <f>项目基本情况!B37</f>
        <v>九级</v>
      </c>
      <c r="I58" s="1086">
        <f>SUMIF(修正!A45:A56,H58,修正!C45:C56)</f>
        <v>0.3</v>
      </c>
      <c r="J58" s="1090"/>
      <c r="K58" s="1123"/>
      <c r="L58" s="919"/>
      <c r="M58" s="919"/>
      <c r="N58" s="919"/>
      <c r="O58" s="919"/>
    </row>
    <row r="59" spans="1:15" s="679" customFormat="1">
      <c r="A59" s="680" t="s">
        <v>2760</v>
      </c>
      <c r="B59" s="249">
        <f t="shared" si="17"/>
        <v>1266</v>
      </c>
      <c r="C59" s="187">
        <f t="shared" si="16"/>
        <v>0.2</v>
      </c>
      <c r="D59" s="1142">
        <v>0.25</v>
      </c>
      <c r="E59" s="681"/>
      <c r="F59" s="1081">
        <f t="shared" si="15"/>
        <v>0</v>
      </c>
      <c r="G59" s="3283"/>
      <c r="H59" s="1082" t="str">
        <f>项目基本情况!B37</f>
        <v>九级</v>
      </c>
      <c r="I59" s="1086">
        <f>SUMIF(修正!A45:A56,H59,修正!D45:D56)</f>
        <v>0.2</v>
      </c>
      <c r="J59" s="1090"/>
      <c r="K59" s="1122"/>
      <c r="L59" s="919"/>
      <c r="M59" s="919"/>
      <c r="N59" s="919"/>
      <c r="O59" s="919"/>
    </row>
    <row r="60" spans="1:15" s="679" customFormat="1">
      <c r="A60" s="680" t="s">
        <v>2761</v>
      </c>
      <c r="B60" s="249">
        <f t="shared" si="17"/>
        <v>1266</v>
      </c>
      <c r="C60" s="187">
        <f t="shared" si="16"/>
        <v>0.2</v>
      </c>
      <c r="D60" s="1142">
        <v>0.25</v>
      </c>
      <c r="E60" s="681"/>
      <c r="F60" s="1081">
        <f t="shared" si="15"/>
        <v>0</v>
      </c>
      <c r="G60" s="3283"/>
      <c r="H60" s="1082" t="str">
        <f>项目基本情况!B37</f>
        <v>九级</v>
      </c>
      <c r="I60" s="1086">
        <f>SUMIF(修正!A45:A56,H60,修正!E45:E56)</f>
        <v>0.2</v>
      </c>
      <c r="J60" s="1090"/>
      <c r="K60" s="1123"/>
      <c r="L60" s="919"/>
      <c r="M60" s="919"/>
      <c r="N60" s="919"/>
      <c r="O60" s="919"/>
    </row>
    <row r="61" spans="1:15" s="679" customFormat="1">
      <c r="A61" s="680" t="s">
        <v>2762</v>
      </c>
      <c r="B61" s="249">
        <f t="shared" si="17"/>
        <v>1266</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1266</v>
      </c>
      <c r="C62" s="187">
        <f t="shared" si="16"/>
        <v>0.2</v>
      </c>
      <c r="D62" s="1142">
        <v>0.25</v>
      </c>
      <c r="E62" s="248">
        <f>'数据-汇总表'!E12</f>
        <v>1595.8600000000001</v>
      </c>
      <c r="F62" s="1081">
        <f t="shared" si="15"/>
        <v>202</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950</v>
      </c>
      <c r="C63" s="187">
        <f t="shared" si="16"/>
        <v>0.15</v>
      </c>
      <c r="D63" s="1142">
        <v>0.25</v>
      </c>
      <c r="E63" s="248">
        <f>'数据-汇总表'!E13</f>
        <v>1600.47</v>
      </c>
      <c r="F63" s="1081">
        <f t="shared" si="15"/>
        <v>152</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950</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5" thickBot="1">
      <c r="A65" s="680" t="s">
        <v>2769</v>
      </c>
      <c r="B65" s="249">
        <f t="shared" si="17"/>
        <v>950</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ht="13.5" thickBot="1">
      <c r="A66" s="682" t="s">
        <v>2770</v>
      </c>
      <c r="B66" s="683" t="s">
        <v>28</v>
      </c>
      <c r="C66" s="683" t="s">
        <v>29</v>
      </c>
      <c r="D66" s="683" t="s">
        <v>1025</v>
      </c>
      <c r="E66" s="683">
        <f>IF(B46="楼面地价",SUM(E56:E65),'数据-汇总表'!D3)</f>
        <v>21211.43</v>
      </c>
      <c r="F66" s="684">
        <f>IF(B46="楼面地价",SUM(F56:F65),ROUND(C48*E66/10000,0))</f>
        <v>45977</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2020-5-1</v>
      </c>
      <c r="D68" s="746">
        <f>EDATE(C68,-3)</f>
        <v>43862</v>
      </c>
      <c r="E68" s="746">
        <f>EDATE(D68,-3)</f>
        <v>43770</v>
      </c>
      <c r="F68" s="746">
        <f t="shared" ref="F68:O68" si="18">EDATE(E68,-3)</f>
        <v>43678</v>
      </c>
      <c r="G68" s="746">
        <f t="shared" si="18"/>
        <v>43586</v>
      </c>
      <c r="H68" s="746">
        <f t="shared" si="18"/>
        <v>43497</v>
      </c>
      <c r="I68" s="746">
        <f t="shared" si="18"/>
        <v>43405</v>
      </c>
      <c r="J68" s="746">
        <f t="shared" si="18"/>
        <v>43313</v>
      </c>
      <c r="K68" s="746">
        <f t="shared" si="18"/>
        <v>43221</v>
      </c>
      <c r="L68" s="746">
        <f t="shared" si="18"/>
        <v>43132</v>
      </c>
      <c r="M68" s="746">
        <f t="shared" si="18"/>
        <v>43040</v>
      </c>
      <c r="N68" s="746">
        <f t="shared" si="18"/>
        <v>42948</v>
      </c>
      <c r="O68" s="746">
        <f t="shared" si="18"/>
        <v>42856</v>
      </c>
    </row>
    <row r="69" spans="1:17" ht="21.75" thickBot="1">
      <c r="A69" s="748" t="s">
        <v>2664</v>
      </c>
      <c r="B69" s="744"/>
      <c r="C69" s="749"/>
      <c r="D69" s="749"/>
      <c r="E69" s="749"/>
      <c r="F69" s="750"/>
      <c r="G69" s="750"/>
      <c r="H69" s="749"/>
      <c r="I69" s="749"/>
      <c r="J69" s="1137"/>
      <c r="K69" s="1138"/>
      <c r="L69" s="1139"/>
      <c r="M69" s="1137"/>
      <c r="N69" s="1137"/>
      <c r="O69" s="1137"/>
      <c r="P69" s="490"/>
      <c r="Q69" s="491"/>
    </row>
    <row r="70" spans="1:17" s="495" customFormat="1" ht="15">
      <c r="A70" s="2678" t="s">
        <v>2771</v>
      </c>
      <c r="B70" s="1337"/>
      <c r="C70" s="1550" t="str">
        <f>YEAR(C68)&amp;"-"&amp;ROUNDUP(MONTH(C68)/3,0)</f>
        <v>2020-2</v>
      </c>
      <c r="D70" s="1550" t="str">
        <f>YEAR(D68)&amp;"-"&amp;ROUNDUP(MONTH(D68)/3,0)</f>
        <v>2020-1</v>
      </c>
      <c r="E70" s="1550" t="str">
        <f t="shared" ref="E70:O70" si="19">YEAR(E68)&amp;"-"&amp;ROUNDUP(MONTH(E68)/3,0)</f>
        <v>2019-4</v>
      </c>
      <c r="F70" s="1550" t="str">
        <f t="shared" si="19"/>
        <v>2019-3</v>
      </c>
      <c r="G70" s="1550" t="str">
        <f t="shared" si="19"/>
        <v>2019-2</v>
      </c>
      <c r="H70" s="1550" t="str">
        <f t="shared" si="19"/>
        <v>2019-1</v>
      </c>
      <c r="I70" s="1550" t="str">
        <f t="shared" si="19"/>
        <v>2018-4</v>
      </c>
      <c r="J70" s="1550" t="str">
        <f t="shared" si="19"/>
        <v>2018-3</v>
      </c>
      <c r="K70" s="1550" t="str">
        <f t="shared" si="19"/>
        <v>2018-2</v>
      </c>
      <c r="L70" s="1550" t="str">
        <f t="shared" si="19"/>
        <v>2018-1</v>
      </c>
      <c r="M70" s="1550" t="str">
        <f t="shared" si="19"/>
        <v>2017-4</v>
      </c>
      <c r="N70" s="1550" t="str">
        <f t="shared" si="19"/>
        <v>2017-3</v>
      </c>
      <c r="O70" s="1550" t="str">
        <f t="shared" si="19"/>
        <v>2017-2</v>
      </c>
      <c r="P70" s="494"/>
    </row>
    <row r="71" spans="1:17" s="112" customFormat="1" ht="30" customHeight="1">
      <c r="A71" s="2679" t="s">
        <v>2772</v>
      </c>
      <c r="B71" s="319" t="str">
        <f>"北京市平均增长率"&amp;TEXT(SUMIF(基准地价修正!N21:N25,A71,基准地价修正!P21:P25),"0.00%")</f>
        <v>北京市平均增长率0.00%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75" thickBot="1">
      <c r="A72" s="502" t="s">
        <v>2575</v>
      </c>
      <c r="B72" s="503"/>
      <c r="C72" s="504"/>
      <c r="D72" s="505"/>
      <c r="E72" s="505"/>
      <c r="F72" s="505"/>
      <c r="G72" s="505"/>
      <c r="H72" s="505"/>
      <c r="I72" s="505"/>
      <c r="J72" s="505"/>
      <c r="K72" s="505"/>
      <c r="L72" s="505"/>
      <c r="M72" s="506"/>
      <c r="N72" s="505"/>
      <c r="O72" s="1140"/>
      <c r="P72" s="491"/>
      <c r="Q72" s="491"/>
    </row>
    <row r="73" spans="1:17" s="112" customFormat="1" ht="15">
      <c r="A73" s="508" t="s">
        <v>2540</v>
      </c>
      <c r="B73" s="497"/>
      <c r="C73" s="509" t="s">
        <v>2642</v>
      </c>
      <c r="D73" s="510"/>
      <c r="E73" s="510"/>
      <c r="F73" s="510"/>
      <c r="G73" s="510"/>
      <c r="H73" s="510"/>
      <c r="I73" s="510"/>
      <c r="J73" s="510"/>
      <c r="K73" s="510"/>
      <c r="L73" s="511"/>
      <c r="M73" s="512"/>
      <c r="N73" s="1129"/>
      <c r="O73" s="1129"/>
      <c r="P73" s="513"/>
      <c r="Q73" s="491"/>
    </row>
    <row r="74" spans="1:17" s="112" customFormat="1" ht="15.75" thickBot="1">
      <c r="A74" s="508"/>
      <c r="B74" s="497"/>
      <c r="C74" s="626">
        <v>100</v>
      </c>
      <c r="D74" s="499"/>
      <c r="E74" s="499"/>
      <c r="F74" s="499"/>
      <c r="G74" s="499"/>
      <c r="H74" s="499"/>
      <c r="I74" s="499"/>
      <c r="J74" s="499"/>
      <c r="K74" s="499"/>
      <c r="L74" s="499"/>
      <c r="M74" s="501"/>
      <c r="N74" s="1129"/>
      <c r="O74" s="1129"/>
      <c r="P74" s="491"/>
      <c r="Q74" s="491"/>
    </row>
    <row r="75" spans="1:17" ht="16.5">
      <c r="A75" s="514" t="s">
        <v>2578</v>
      </c>
      <c r="B75" s="515" t="s">
        <v>2544</v>
      </c>
      <c r="C75" s="3013" t="s">
        <v>3347</v>
      </c>
      <c r="D75" s="3013" t="s">
        <v>3263</v>
      </c>
      <c r="E75" s="536" t="s">
        <v>3264</v>
      </c>
      <c r="F75" s="517"/>
      <c r="G75" s="517"/>
      <c r="H75" s="517"/>
      <c r="I75" s="517"/>
      <c r="J75" s="517"/>
      <c r="K75" s="518"/>
      <c r="L75" s="519"/>
      <c r="M75" s="520"/>
      <c r="N75" s="1130"/>
      <c r="O75" s="1130"/>
      <c r="P75" s="45"/>
      <c r="Q75" s="491"/>
    </row>
    <row r="76" spans="1:17" ht="15.75" thickBot="1">
      <c r="A76" s="521"/>
      <c r="B76" s="522"/>
      <c r="C76" s="3058">
        <v>84</v>
      </c>
      <c r="D76" s="536">
        <v>100</v>
      </c>
      <c r="E76" s="536">
        <v>100</v>
      </c>
      <c r="F76" s="523"/>
      <c r="G76" s="523"/>
      <c r="H76" s="523"/>
      <c r="I76" s="523"/>
      <c r="J76" s="523"/>
      <c r="K76" s="523"/>
      <c r="L76" s="523"/>
      <c r="M76" s="524"/>
      <c r="N76" s="1131"/>
      <c r="O76" s="1131"/>
      <c r="P76" s="45"/>
      <c r="Q76" s="491"/>
    </row>
    <row r="77" spans="1:17" ht="27.75" thickTop="1">
      <c r="A77" s="521"/>
      <c r="B77" s="525" t="s">
        <v>2547</v>
      </c>
      <c r="C77" s="526"/>
      <c r="D77" s="526"/>
      <c r="E77" s="526"/>
      <c r="F77" s="526"/>
      <c r="G77" s="526"/>
      <c r="H77" s="526"/>
      <c r="I77" s="526"/>
      <c r="J77" s="526"/>
      <c r="K77" s="527"/>
      <c r="L77" s="528"/>
      <c r="M77" s="529"/>
      <c r="N77" s="1130"/>
      <c r="O77" s="1130"/>
      <c r="P77" s="45"/>
      <c r="Q77" s="491"/>
    </row>
    <row r="78" spans="1:17" ht="15.75" thickBot="1">
      <c r="A78" s="521"/>
      <c r="B78" s="530"/>
      <c r="C78" s="531"/>
      <c r="D78" s="531"/>
      <c r="E78" s="531"/>
      <c r="F78" s="531"/>
      <c r="G78" s="531"/>
      <c r="H78" s="531"/>
      <c r="I78" s="531"/>
      <c r="J78" s="531"/>
      <c r="K78" s="531"/>
      <c r="L78" s="531"/>
      <c r="M78" s="532"/>
      <c r="N78" s="1131"/>
      <c r="O78" s="1131"/>
      <c r="P78" s="45"/>
      <c r="Q78" s="491"/>
    </row>
    <row r="79" spans="1:17" ht="15.7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ht="15">
      <c r="A80" s="521"/>
      <c r="B80" s="535"/>
      <c r="C80" s="3019">
        <v>0</v>
      </c>
      <c r="D80" s="3019">
        <v>1</v>
      </c>
      <c r="E80" s="3019">
        <v>2</v>
      </c>
      <c r="F80" s="3019">
        <v>3</v>
      </c>
      <c r="G80" s="3019">
        <v>4</v>
      </c>
      <c r="H80" s="536"/>
      <c r="I80" s="536"/>
      <c r="J80" s="536"/>
      <c r="K80" s="537"/>
      <c r="L80" s="538"/>
      <c r="M80" s="539"/>
      <c r="N80" s="1130"/>
      <c r="O80" s="1130"/>
      <c r="P80" s="45"/>
      <c r="Q80" s="491"/>
    </row>
    <row r="81" spans="1:17" ht="15.75"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75" thickTop="1">
      <c r="A82" s="540"/>
      <c r="B82" s="525" t="str">
        <f>B12</f>
        <v>限价</v>
      </c>
      <c r="C82" s="3055" t="s">
        <v>3363</v>
      </c>
      <c r="D82" s="3055" t="s">
        <v>3364</v>
      </c>
      <c r="E82" s="3055" t="s">
        <v>3365</v>
      </c>
      <c r="F82" s="541"/>
      <c r="G82" s="541"/>
      <c r="H82" s="542"/>
      <c r="I82" s="542"/>
      <c r="J82" s="542"/>
      <c r="K82" s="542"/>
      <c r="L82" s="543"/>
      <c r="M82" s="544"/>
      <c r="N82" s="1132"/>
      <c r="O82" s="1132"/>
      <c r="P82" s="545"/>
      <c r="Q82" s="546"/>
    </row>
    <row r="83" spans="1:17" s="458" customFormat="1" ht="15.75"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5.75" thickTop="1">
      <c r="A84" s="540"/>
      <c r="B84" s="525">
        <f>B13</f>
        <v>111</v>
      </c>
      <c r="C84" s="541"/>
      <c r="D84" s="541"/>
      <c r="E84" s="541"/>
      <c r="F84" s="541"/>
      <c r="G84" s="541"/>
      <c r="H84" s="542"/>
      <c r="I84" s="542"/>
      <c r="J84" s="542"/>
      <c r="K84" s="542"/>
      <c r="L84" s="543"/>
      <c r="M84" s="544"/>
      <c r="N84" s="1132"/>
      <c r="O84" s="1132"/>
      <c r="P84" s="457"/>
      <c r="Q84" s="548"/>
    </row>
    <row r="85" spans="1:17" s="458" customFormat="1" ht="15.75" thickBot="1">
      <c r="A85" s="540"/>
      <c r="B85" s="530"/>
      <c r="C85" s="547"/>
      <c r="D85" s="547"/>
      <c r="E85" s="547"/>
      <c r="F85" s="547"/>
      <c r="G85" s="547"/>
      <c r="H85" s="549"/>
      <c r="I85" s="549"/>
      <c r="J85" s="549"/>
      <c r="K85" s="549"/>
      <c r="L85" s="549"/>
      <c r="M85" s="550"/>
      <c r="N85" s="1132"/>
      <c r="O85" s="1132"/>
      <c r="P85" s="545"/>
      <c r="Q85" s="546"/>
    </row>
    <row r="86" spans="1:17" s="458" customFormat="1" ht="15.75" thickTop="1">
      <c r="A86" s="540"/>
      <c r="B86" s="533">
        <f>B14</f>
        <v>111</v>
      </c>
      <c r="C86" s="510"/>
      <c r="D86" s="510"/>
      <c r="E86" s="510"/>
      <c r="F86" s="510"/>
      <c r="G86" s="510"/>
      <c r="H86" s="551"/>
      <c r="I86" s="551"/>
      <c r="J86" s="551"/>
      <c r="K86" s="551"/>
      <c r="L86" s="552"/>
      <c r="M86" s="553"/>
      <c r="N86" s="1132"/>
      <c r="O86" s="1132"/>
      <c r="P86" s="554"/>
      <c r="Q86" s="546"/>
    </row>
    <row r="87" spans="1:17" s="458" customFormat="1" ht="15.75" thickBot="1">
      <c r="A87" s="555"/>
      <c r="B87" s="556"/>
      <c r="C87" s="557"/>
      <c r="D87" s="557"/>
      <c r="E87" s="557"/>
      <c r="F87" s="557"/>
      <c r="G87" s="557"/>
      <c r="H87" s="558"/>
      <c r="I87" s="558"/>
      <c r="J87" s="558"/>
      <c r="K87" s="558"/>
      <c r="L87" s="558"/>
      <c r="M87" s="559"/>
      <c r="N87" s="1132"/>
      <c r="O87" s="1132"/>
      <c r="P87" s="545"/>
      <c r="Q87" s="546"/>
    </row>
    <row r="88" spans="1:17">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5.75"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7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5.75"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7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5.75"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7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5.75"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15.75"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5.75"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7.75"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5.75"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7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5.75"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7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5.75"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7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5.75"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7.75" thickTop="1">
      <c r="A106" s="521"/>
      <c r="B106" s="525" t="s">
        <v>2681</v>
      </c>
      <c r="C106" s="3008" t="s">
        <v>3265</v>
      </c>
      <c r="D106" s="3008" t="s">
        <v>3266</v>
      </c>
      <c r="E106" s="3008" t="s">
        <v>3267</v>
      </c>
      <c r="F106" s="3008" t="s">
        <v>3268</v>
      </c>
      <c r="G106" s="3008" t="s">
        <v>3269</v>
      </c>
      <c r="H106" s="570"/>
      <c r="I106" s="570"/>
      <c r="J106" s="570"/>
      <c r="K106" s="571"/>
      <c r="L106" s="572"/>
      <c r="M106" s="573"/>
      <c r="N106" s="1130"/>
      <c r="O106" s="1130"/>
      <c r="P106" s="45"/>
      <c r="Q106" s="491"/>
    </row>
    <row r="107" spans="1:17" ht="15.75"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75" thickTop="1">
      <c r="A108" s="521"/>
      <c r="B108" s="525" t="s">
        <v>2739</v>
      </c>
      <c r="C108" s="570"/>
      <c r="D108" s="570"/>
      <c r="E108" s="570"/>
      <c r="F108" s="570"/>
      <c r="G108" s="570"/>
      <c r="H108" s="570"/>
      <c r="I108" s="570"/>
      <c r="J108" s="570"/>
      <c r="K108" s="571"/>
      <c r="L108" s="572"/>
      <c r="M108" s="573"/>
      <c r="N108" s="1130"/>
      <c r="O108" s="1130"/>
      <c r="P108" s="45"/>
      <c r="Q108" s="491"/>
    </row>
    <row r="109" spans="1:17" ht="15.75"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5.75" thickTop="1">
      <c r="A110" s="521"/>
      <c r="B110" s="533">
        <f>B35</f>
        <v>111</v>
      </c>
      <c r="C110" s="541"/>
      <c r="D110" s="541"/>
      <c r="E110" s="541"/>
      <c r="F110" s="541"/>
      <c r="G110" s="574"/>
      <c r="H110" s="574"/>
      <c r="I110" s="574"/>
      <c r="J110" s="574"/>
      <c r="K110" s="575"/>
      <c r="L110" s="576"/>
      <c r="M110" s="577"/>
      <c r="N110" s="1130"/>
      <c r="O110" s="1130"/>
      <c r="P110" s="45"/>
      <c r="Q110" s="491"/>
    </row>
    <row r="111" spans="1:17" ht="15.75" thickBot="1">
      <c r="A111" s="521"/>
      <c r="B111" s="556"/>
      <c r="C111" s="547"/>
      <c r="D111" s="547"/>
      <c r="E111" s="547"/>
      <c r="F111" s="547"/>
      <c r="G111" s="578"/>
      <c r="H111" s="578"/>
      <c r="I111" s="578"/>
      <c r="J111" s="578"/>
      <c r="K111" s="578"/>
      <c r="L111" s="578"/>
      <c r="M111" s="579"/>
      <c r="N111" s="1131"/>
      <c r="O111" s="1131"/>
      <c r="P111" s="45"/>
      <c r="Q111" s="491"/>
    </row>
    <row r="112" spans="1:17" ht="15" thickTop="1">
      <c r="A112" s="662"/>
      <c r="B112" s="525">
        <f>B36</f>
        <v>111</v>
      </c>
      <c r="C112" s="510"/>
      <c r="D112" s="510"/>
      <c r="E112" s="510"/>
      <c r="F112" s="510"/>
      <c r="G112" s="570"/>
      <c r="H112" s="570"/>
      <c r="I112" s="570"/>
      <c r="J112" s="570"/>
      <c r="K112" s="571"/>
      <c r="L112" s="572"/>
      <c r="M112" s="573"/>
      <c r="N112" s="1130"/>
      <c r="O112" s="1130"/>
      <c r="P112" s="45"/>
      <c r="Q112" s="491"/>
    </row>
    <row r="113" spans="1:17" ht="15.75" thickBot="1">
      <c r="A113" s="521"/>
      <c r="B113" s="530"/>
      <c r="C113" s="557"/>
      <c r="D113" s="557"/>
      <c r="E113" s="557"/>
      <c r="F113" s="557"/>
      <c r="G113" s="523"/>
      <c r="H113" s="523"/>
      <c r="I113" s="523"/>
      <c r="J113" s="523"/>
      <c r="K113" s="523"/>
      <c r="L113" s="523"/>
      <c r="M113" s="524"/>
      <c r="N113" s="1131"/>
      <c r="O113" s="1131"/>
      <c r="P113" s="45"/>
      <c r="Q113" s="491"/>
    </row>
    <row r="114" spans="1:17" s="458" customFormat="1" ht="15"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5.75" thickBot="1">
      <c r="A115" s="540"/>
      <c r="B115" s="533"/>
      <c r="C115" s="499"/>
      <c r="D115" s="664"/>
      <c r="E115" s="664"/>
      <c r="F115" s="664"/>
      <c r="G115" s="664"/>
      <c r="H115" s="664"/>
      <c r="I115" s="664"/>
      <c r="J115" s="664"/>
      <c r="K115" s="664"/>
      <c r="L115" s="664"/>
      <c r="M115" s="686"/>
      <c r="N115" s="1131"/>
      <c r="O115" s="1131"/>
      <c r="P115" s="545"/>
      <c r="Q115" s="546"/>
    </row>
    <row r="116" spans="1:17" ht="28.5">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5">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7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3270</v>
      </c>
      <c r="D119" s="3012" t="s">
        <v>3271</v>
      </c>
      <c r="E119" s="3012" t="s">
        <v>3272</v>
      </c>
      <c r="F119" s="3012" t="s">
        <v>3273</v>
      </c>
      <c r="G119" s="570"/>
      <c r="H119" s="570"/>
      <c r="I119" s="570"/>
      <c r="J119" s="570"/>
      <c r="K119" s="571"/>
      <c r="L119" s="572"/>
      <c r="M119" s="573"/>
      <c r="N119" s="1130"/>
      <c r="O119" s="1130"/>
      <c r="P119" s="45"/>
      <c r="Q119" s="491"/>
    </row>
    <row r="120" spans="1:17" ht="15.75"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3274</v>
      </c>
      <c r="D121" s="3008" t="s">
        <v>3275</v>
      </c>
      <c r="E121" s="3008" t="s">
        <v>3276</v>
      </c>
      <c r="F121" s="570"/>
      <c r="G121" s="570"/>
      <c r="H121" s="570"/>
      <c r="I121" s="570"/>
      <c r="J121" s="570"/>
      <c r="K121" s="571"/>
      <c r="L121" s="572"/>
      <c r="M121" s="573"/>
      <c r="N121" s="1130"/>
      <c r="O121" s="1130"/>
      <c r="P121" s="45"/>
      <c r="Q121" s="491"/>
    </row>
    <row r="122" spans="1:17" ht="15.75"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3277</v>
      </c>
      <c r="D123" s="3008" t="s">
        <v>3278</v>
      </c>
      <c r="E123" s="3008" t="s">
        <v>3279</v>
      </c>
      <c r="F123" s="3008" t="s">
        <v>3280</v>
      </c>
      <c r="G123" s="3008" t="s">
        <v>3281</v>
      </c>
      <c r="H123" s="570"/>
      <c r="I123" s="570"/>
      <c r="J123" s="570"/>
      <c r="K123" s="571"/>
      <c r="L123" s="572"/>
      <c r="M123" s="573"/>
      <c r="N123" s="1132"/>
      <c r="O123" s="1132"/>
      <c r="P123" s="545"/>
      <c r="Q123" s="546"/>
    </row>
    <row r="124" spans="1:17" s="458" customFormat="1" ht="15.75"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3282</v>
      </c>
      <c r="D125" s="3008" t="s">
        <v>3283</v>
      </c>
      <c r="E125" s="3012" t="s">
        <v>3284</v>
      </c>
      <c r="F125" s="3012" t="s">
        <v>3285</v>
      </c>
      <c r="G125" s="3012" t="s">
        <v>3286</v>
      </c>
      <c r="H125" s="570"/>
      <c r="I125" s="570"/>
      <c r="J125" s="570"/>
      <c r="K125" s="571"/>
      <c r="L125" s="572"/>
      <c r="M125" s="573"/>
      <c r="N125" s="1130"/>
      <c r="O125" s="1130"/>
      <c r="P125" s="45"/>
      <c r="Q125" s="491"/>
    </row>
    <row r="126" spans="1:17" ht="15.75"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5" thickTop="1">
      <c r="A127" s="586"/>
      <c r="B127" s="525">
        <f>B43</f>
        <v>111</v>
      </c>
      <c r="C127" s="541"/>
      <c r="D127" s="541"/>
      <c r="E127" s="541"/>
      <c r="F127" s="541"/>
      <c r="G127" s="541"/>
      <c r="H127" s="570"/>
      <c r="I127" s="570"/>
      <c r="J127" s="570"/>
      <c r="K127" s="571"/>
      <c r="L127" s="572"/>
      <c r="M127" s="573"/>
      <c r="N127" s="1130"/>
      <c r="O127" s="1130"/>
      <c r="P127" s="45"/>
      <c r="Q127" s="491"/>
    </row>
    <row r="128" spans="1:17" ht="15.75" thickBot="1">
      <c r="A128" s="521"/>
      <c r="B128" s="530"/>
      <c r="C128" s="547"/>
      <c r="D128" s="547"/>
      <c r="E128" s="547"/>
      <c r="F128" s="547"/>
      <c r="G128" s="523"/>
      <c r="H128" s="523"/>
      <c r="I128" s="523"/>
      <c r="J128" s="523"/>
      <c r="K128" s="523"/>
      <c r="L128" s="523"/>
      <c r="M128" s="524"/>
      <c r="N128" s="1131"/>
      <c r="O128" s="1131"/>
      <c r="P128" s="45"/>
      <c r="Q128" s="491"/>
    </row>
    <row r="129" spans="1:17" ht="15" thickTop="1">
      <c r="A129" s="586"/>
      <c r="B129" s="525">
        <f>B44</f>
        <v>111</v>
      </c>
      <c r="C129" s="510"/>
      <c r="D129" s="510"/>
      <c r="E129" s="510"/>
      <c r="F129" s="510"/>
      <c r="G129" s="570"/>
      <c r="H129" s="570"/>
      <c r="I129" s="570"/>
      <c r="J129" s="570"/>
      <c r="K129" s="571"/>
      <c r="L129" s="572"/>
      <c r="M129" s="573"/>
      <c r="N129" s="1130"/>
      <c r="O129" s="1130"/>
      <c r="P129" s="45"/>
      <c r="Q129" s="491"/>
    </row>
    <row r="130" spans="1:17" ht="15.75" thickBot="1">
      <c r="A130" s="521"/>
      <c r="B130" s="530"/>
      <c r="C130" s="557"/>
      <c r="D130" s="557"/>
      <c r="E130" s="557"/>
      <c r="F130" s="557"/>
      <c r="G130" s="523"/>
      <c r="H130" s="523"/>
      <c r="I130" s="523"/>
      <c r="J130" s="523"/>
      <c r="K130" s="523"/>
      <c r="L130" s="523"/>
      <c r="M130" s="524"/>
      <c r="N130" s="1131"/>
      <c r="O130" s="1131"/>
      <c r="P130" s="45"/>
      <c r="Q130" s="491"/>
    </row>
    <row r="131" spans="1:17" s="458" customFormat="1" ht="15"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5.75"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J8" sqref="J8"/>
    </sheetView>
  </sheetViews>
  <sheetFormatPr defaultRowHeight="13.5"/>
  <cols>
    <col min="1" max="1" width="38.25" customWidth="1"/>
    <col min="41" max="41" width="25.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07" t="s">
        <v>3226</v>
      </c>
      <c r="B2" s="3007" t="s">
        <v>3164</v>
      </c>
      <c r="C2" s="3007" t="s">
        <v>3227</v>
      </c>
      <c r="D2" s="3007" t="s">
        <v>3166</v>
      </c>
      <c r="E2" s="3007" t="s">
        <v>1326</v>
      </c>
      <c r="F2" s="3007" t="s">
        <v>3228</v>
      </c>
      <c r="G2" s="3007" t="s">
        <v>3168</v>
      </c>
      <c r="H2" s="3007" t="s">
        <v>3229</v>
      </c>
      <c r="I2" s="3007" t="s">
        <v>3230</v>
      </c>
      <c r="J2" s="3007">
        <v>82458.61</v>
      </c>
      <c r="K2" s="3007">
        <v>99309</v>
      </c>
      <c r="L2" s="3007">
        <v>1.2</v>
      </c>
      <c r="M2" s="3007" t="s">
        <v>1326</v>
      </c>
      <c r="N2" s="3007" t="s">
        <v>3231</v>
      </c>
      <c r="O2" s="3007" t="s">
        <v>3232</v>
      </c>
      <c r="P2" s="3007" t="s">
        <v>1326</v>
      </c>
      <c r="Q2" s="3007" t="s">
        <v>1326</v>
      </c>
      <c r="R2" s="3007" t="s">
        <v>1326</v>
      </c>
      <c r="S2" s="3007" t="s">
        <v>1326</v>
      </c>
      <c r="T2" s="3007" t="s">
        <v>3171</v>
      </c>
      <c r="U2" s="3007" t="s">
        <v>3172</v>
      </c>
      <c r="V2" s="3007" t="s">
        <v>1326</v>
      </c>
      <c r="W2" s="3007" t="s">
        <v>3233</v>
      </c>
      <c r="X2" s="3007" t="s">
        <v>3234</v>
      </c>
      <c r="Y2" s="3007" t="s">
        <v>3235</v>
      </c>
      <c r="Z2" s="3007" t="s">
        <v>3236</v>
      </c>
      <c r="AA2" s="3007" t="s">
        <v>3236</v>
      </c>
      <c r="AB2" s="3007" t="s">
        <v>3229</v>
      </c>
      <c r="AC2" s="3007" t="s">
        <v>3177</v>
      </c>
      <c r="AD2" s="3007" t="s">
        <v>3237</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3238</v>
      </c>
    </row>
    <row r="3" spans="1:45" s="3007" customFormat="1">
      <c r="A3" s="3007" t="s">
        <v>3251</v>
      </c>
      <c r="B3" s="3007" t="s">
        <v>3164</v>
      </c>
      <c r="C3" s="3007" t="s">
        <v>3165</v>
      </c>
      <c r="D3" s="3007" t="s">
        <v>3252</v>
      </c>
      <c r="E3" s="3007" t="s">
        <v>1326</v>
      </c>
      <c r="F3" s="3007" t="s">
        <v>3253</v>
      </c>
      <c r="G3" s="3007" t="s">
        <v>3168</v>
      </c>
      <c r="H3" s="3007" t="s">
        <v>3254</v>
      </c>
      <c r="I3" s="3007" t="s">
        <v>3255</v>
      </c>
      <c r="J3" s="3007">
        <v>168662.9</v>
      </c>
      <c r="K3" s="3007">
        <v>184119</v>
      </c>
      <c r="L3" s="3007" t="s">
        <v>3256</v>
      </c>
      <c r="M3" s="3007" t="s">
        <v>1326</v>
      </c>
      <c r="N3" s="3007" t="s">
        <v>3231</v>
      </c>
      <c r="O3" s="3007" t="s">
        <v>3257</v>
      </c>
      <c r="P3" s="3007" t="s">
        <v>1326</v>
      </c>
      <c r="Q3" s="3007" t="s">
        <v>1326</v>
      </c>
      <c r="R3" s="3007" t="s">
        <v>1326</v>
      </c>
      <c r="S3" s="3007" t="s">
        <v>1326</v>
      </c>
      <c r="T3" s="3007" t="s">
        <v>3171</v>
      </c>
      <c r="U3" s="3007" t="s">
        <v>3172</v>
      </c>
      <c r="V3" s="3007" t="s">
        <v>1326</v>
      </c>
      <c r="W3" s="3007" t="s">
        <v>3233</v>
      </c>
      <c r="X3" s="3007" t="s">
        <v>3258</v>
      </c>
      <c r="Y3" s="3007" t="s">
        <v>3259</v>
      </c>
      <c r="Z3" s="3007" t="s">
        <v>3260</v>
      </c>
      <c r="AA3" s="3007" t="s">
        <v>3260</v>
      </c>
      <c r="AB3" s="3007" t="s">
        <v>3254</v>
      </c>
      <c r="AC3" s="3007" t="s">
        <v>3177</v>
      </c>
      <c r="AD3" s="3007" t="s">
        <v>3261</v>
      </c>
      <c r="AE3" s="3007">
        <v>81000</v>
      </c>
      <c r="AF3" s="3007">
        <v>405000</v>
      </c>
      <c r="AG3" s="3007">
        <v>430000</v>
      </c>
      <c r="AH3" s="3007">
        <v>1600.83</v>
      </c>
      <c r="AI3" s="3007">
        <v>1699.64</v>
      </c>
      <c r="AJ3" s="3007">
        <v>21996.639999999999</v>
      </c>
      <c r="AK3" s="3007">
        <v>23354.45</v>
      </c>
      <c r="AL3" s="3007" t="s">
        <v>1326</v>
      </c>
      <c r="AM3" s="3007" t="s">
        <v>1326</v>
      </c>
      <c r="AN3" s="3007">
        <v>6.17</v>
      </c>
      <c r="AO3" s="3007" t="s">
        <v>3262</v>
      </c>
      <c r="AP3" s="3007" t="s">
        <v>1326</v>
      </c>
      <c r="AQ3" s="3007" t="s">
        <v>1326</v>
      </c>
      <c r="AR3" s="3007" t="s">
        <v>1326</v>
      </c>
      <c r="AS3" s="3007" t="s">
        <v>3238</v>
      </c>
    </row>
    <row r="4" spans="1:45" s="3007" customFormat="1">
      <c r="A4" s="3007" t="s">
        <v>3239</v>
      </c>
      <c r="B4" s="3007" t="s">
        <v>3164</v>
      </c>
      <c r="C4" s="3007" t="s">
        <v>3227</v>
      </c>
      <c r="D4" s="3007" t="s">
        <v>3240</v>
      </c>
      <c r="E4" s="3007" t="s">
        <v>1326</v>
      </c>
      <c r="F4" s="3007" t="s">
        <v>3241</v>
      </c>
      <c r="G4" s="3007" t="s">
        <v>3168</v>
      </c>
      <c r="H4" s="3007" t="s">
        <v>3242</v>
      </c>
      <c r="I4" s="3007" t="s">
        <v>3230</v>
      </c>
      <c r="J4" s="3007">
        <v>47849.94</v>
      </c>
      <c r="K4" s="3007">
        <v>76560</v>
      </c>
      <c r="L4" s="3007">
        <v>1.6</v>
      </c>
      <c r="M4" s="3007" t="s">
        <v>1326</v>
      </c>
      <c r="N4" s="3007" t="s">
        <v>3243</v>
      </c>
      <c r="O4" s="3007" t="s">
        <v>3244</v>
      </c>
      <c r="P4" s="3007" t="s">
        <v>1326</v>
      </c>
      <c r="Q4" s="3007" t="s">
        <v>1326</v>
      </c>
      <c r="R4" s="3007" t="s">
        <v>1326</v>
      </c>
      <c r="S4" s="3007" t="s">
        <v>1326</v>
      </c>
      <c r="T4" s="3007" t="s">
        <v>3245</v>
      </c>
      <c r="U4" s="3007" t="s">
        <v>3246</v>
      </c>
      <c r="V4" s="3007" t="s">
        <v>1326</v>
      </c>
      <c r="W4" s="3007" t="s">
        <v>3233</v>
      </c>
      <c r="X4" s="3007" t="s">
        <v>3247</v>
      </c>
      <c r="Y4" s="3007" t="s">
        <v>3248</v>
      </c>
      <c r="Z4" s="3007" t="s">
        <v>3249</v>
      </c>
      <c r="AA4" s="3007" t="s">
        <v>3249</v>
      </c>
      <c r="AB4" s="3007" t="s">
        <v>3242</v>
      </c>
      <c r="AC4" s="3007" t="s">
        <v>3177</v>
      </c>
      <c r="AD4" s="3007" t="s">
        <v>3250</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3238</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2320</v>
      </c>
      <c r="B1" s="1914"/>
      <c r="C1" s="229"/>
      <c r="D1" s="229"/>
      <c r="E1" s="229"/>
      <c r="F1" s="229"/>
      <c r="G1" s="1357">
        <f>MATCH(B1,'数据-取费表'!A6:A16,0)+5</f>
        <v>11</v>
      </c>
    </row>
    <row r="2" spans="1:9" s="231" customFormat="1" ht="18" customHeight="1">
      <c r="A2" s="232" t="s">
        <v>2321</v>
      </c>
      <c r="B2" s="233">
        <f ca="1">IF(D2="——",C52,C52-E2)</f>
        <v>68190</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27483</v>
      </c>
      <c r="C3" s="230" t="s">
        <v>2324</v>
      </c>
      <c r="D3" s="230"/>
      <c r="E3" s="230"/>
      <c r="F3" s="230"/>
      <c r="G3" s="230"/>
    </row>
    <row r="4" spans="1:9" s="239" customFormat="1" ht="15.75">
      <c r="A4" s="236" t="s">
        <v>2325</v>
      </c>
      <c r="B4" s="237"/>
      <c r="C4" s="237"/>
      <c r="D4" s="237"/>
      <c r="E4" s="237"/>
      <c r="F4" s="237"/>
      <c r="G4" s="238"/>
    </row>
    <row r="5" spans="1:9" s="245" customFormat="1" ht="13.5" customHeight="1">
      <c r="A5" s="286" t="s">
        <v>2326</v>
      </c>
      <c r="B5" s="241" t="s">
        <v>2327</v>
      </c>
      <c r="C5" s="242">
        <f ca="1">C6+C7+C8</f>
        <v>47726</v>
      </c>
      <c r="D5" s="242" t="s">
        <v>2328</v>
      </c>
      <c r="E5" s="243" t="s">
        <v>2329</v>
      </c>
      <c r="F5" s="243" t="s">
        <v>2330</v>
      </c>
      <c r="G5" s="244"/>
    </row>
    <row r="6" spans="1:9" s="245" customFormat="1" ht="13.5" customHeight="1">
      <c r="A6" s="927" t="s">
        <v>2331</v>
      </c>
      <c r="B6" s="246" t="s">
        <v>2332</v>
      </c>
      <c r="C6" s="247">
        <f>'土地比较法-住宅、综合'!F66</f>
        <v>45977</v>
      </c>
      <c r="D6" s="248"/>
      <c r="E6" s="249"/>
      <c r="F6" s="249"/>
      <c r="G6" s="250"/>
    </row>
    <row r="7" spans="1:9" s="245" customFormat="1" ht="13.5" customHeight="1">
      <c r="A7" s="927" t="s">
        <v>2333</v>
      </c>
      <c r="B7" s="246" t="s">
        <v>2334</v>
      </c>
      <c r="C7" s="251">
        <f>ROUND(C6*F7,0)</f>
        <v>1402</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347</v>
      </c>
      <c r="D8" s="253"/>
      <c r="E8" s="251"/>
      <c r="F8" s="252"/>
      <c r="G8" s="2520" t="s">
        <v>3305</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3306</v>
      </c>
      <c r="H9" s="1368"/>
      <c r="I9" s="2522" t="s">
        <v>2338</v>
      </c>
    </row>
    <row r="10" spans="1:9" s="245" customFormat="1" ht="13.5" customHeight="1">
      <c r="A10" s="928" t="s">
        <v>801</v>
      </c>
      <c r="B10" s="255" t="s">
        <v>2339</v>
      </c>
      <c r="C10" s="256">
        <f ca="1">ROUND(D10*E10/10000,0)</f>
        <v>198</v>
      </c>
      <c r="D10" s="1010">
        <f ca="1">IF(B1="",'数据-汇总表'!E6,IF(INDIRECT("'数据-取费表'!c"&amp;$G$1)="住宅",INDIRECT("'数据-取费表'!s"&amp;$G$1),INDIRECT("'数据-取费表'!k"&amp;$G$1)+INDIRECT("'数据-取费表'!s"&amp;$G$1)))</f>
        <v>12386.459999999997</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24811.999999999996</v>
      </c>
      <c r="E19" s="242">
        <f>'数据-取费表'!B31</f>
        <v>200</v>
      </c>
      <c r="F19" s="262"/>
      <c r="G19" s="2520" t="s">
        <v>3307</v>
      </c>
    </row>
    <row r="20" spans="1:7" s="245" customFormat="1" ht="13.5" customHeight="1">
      <c r="A20" s="286" t="s">
        <v>2352</v>
      </c>
      <c r="B20" s="241" t="s">
        <v>2353</v>
      </c>
      <c r="C20" s="263">
        <f ca="1">ROUND((C5+C19)*F20,0)</f>
        <v>955</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2594</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2569</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25</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4.75">
      <c r="A27" s="286" t="s">
        <v>2371</v>
      </c>
      <c r="B27" s="275" t="s">
        <v>2372</v>
      </c>
      <c r="C27" s="276">
        <f ca="1">C28</f>
        <v>5501</v>
      </c>
      <c r="D27" s="266">
        <f ca="1">C29</f>
        <v>2.3E-3</v>
      </c>
      <c r="E27" s="267" t="s">
        <v>2373</v>
      </c>
      <c r="F27" s="277">
        <f ca="1">IF(B1="",'数据-取费表'!Q16,INDIRECT("'数据-取费表'!q"&amp;$G$1))</f>
        <v>0.15</v>
      </c>
      <c r="G27" s="278" t="s">
        <v>2374</v>
      </c>
    </row>
    <row r="28" spans="1:7" s="245" customFormat="1" ht="13.5" customHeight="1">
      <c r="A28" s="929" t="s">
        <v>791</v>
      </c>
      <c r="B28" s="279" t="s">
        <v>2375</v>
      </c>
      <c r="C28" s="280">
        <f ca="1">ROUND((C5+C19+C20)*F27*'数据-取费表'!B21/'数据-取费表'!B20,0)</f>
        <v>5501</v>
      </c>
      <c r="D28" s="266"/>
      <c r="E28" s="267"/>
      <c r="F28" s="277"/>
      <c r="G28" s="278"/>
    </row>
    <row r="29" spans="1:7" s="245" customFormat="1" ht="13.5" customHeight="1">
      <c r="A29" s="929" t="s">
        <v>792</v>
      </c>
      <c r="B29" s="279" t="s">
        <v>2376</v>
      </c>
      <c r="C29" s="269">
        <f ca="1">ROUND(C21*F27*'数据-取费表'!B21/'数据-取费表'!B20,4)</f>
        <v>2.3E-3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61453</v>
      </c>
      <c r="D31" s="261"/>
      <c r="E31" s="242"/>
      <c r="F31" s="281"/>
      <c r="G31" s="265" t="s">
        <v>2381</v>
      </c>
    </row>
    <row r="32" spans="1:7" s="239" customFormat="1" ht="15.75">
      <c r="A32" s="283" t="s">
        <v>2382</v>
      </c>
      <c r="B32" s="284"/>
      <c r="C32" s="284"/>
      <c r="D32" s="284"/>
      <c r="E32" s="284"/>
      <c r="F32" s="284"/>
      <c r="G32" s="285"/>
    </row>
    <row r="33" spans="1:7" s="245" customFormat="1" ht="13.5" customHeight="1">
      <c r="A33" s="286" t="s">
        <v>782</v>
      </c>
      <c r="B33" s="241" t="s">
        <v>2383</v>
      </c>
      <c r="C33" s="287">
        <f ca="1">SUM(C34:C38)</f>
        <v>5182</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4491</v>
      </c>
      <c r="D34" s="248"/>
      <c r="E34" s="251"/>
      <c r="F34" s="288">
        <f ca="1">IF('数据-取费表'!B24=0,1,IF(B1="",'数据-取费表'!N16,INDIRECT("'数据-取费表'!n"&amp;$G$1)))</f>
        <v>0.75</v>
      </c>
      <c r="G34" s="250" t="s">
        <v>2385</v>
      </c>
    </row>
    <row r="35" spans="1:7" ht="13.5" customHeight="1">
      <c r="A35" s="929" t="s">
        <v>796</v>
      </c>
      <c r="B35" s="246" t="s">
        <v>2386</v>
      </c>
      <c r="C35" s="251">
        <f ca="1">ROUND(C34*F35,0)</f>
        <v>135</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117</v>
      </c>
      <c r="D36" s="251"/>
      <c r="E36" s="251"/>
      <c r="F36" s="290">
        <f>'数据-取费表'!B34</f>
        <v>0.05</v>
      </c>
      <c r="G36" s="291" t="s">
        <v>2389</v>
      </c>
    </row>
    <row r="37" spans="1:7" s="289" customFormat="1" ht="13.5" customHeight="1">
      <c r="A37" s="929" t="s">
        <v>798</v>
      </c>
      <c r="B37" s="246" t="s">
        <v>2390</v>
      </c>
      <c r="C37" s="280">
        <f ca="1">ROUND(E37*D37*F34/10000,0)</f>
        <v>372</v>
      </c>
      <c r="D37" s="248">
        <f ca="1">D19</f>
        <v>24811.999999999996</v>
      </c>
      <c r="E37" s="280">
        <f>'数据-取费表'!B35</f>
        <v>200</v>
      </c>
      <c r="F37" s="290"/>
      <c r="G37" s="292" t="s">
        <v>2391</v>
      </c>
    </row>
    <row r="38" spans="1:7" ht="13.5" customHeight="1">
      <c r="A38" s="929" t="s">
        <v>799</v>
      </c>
      <c r="B38" s="246" t="s">
        <v>2392</v>
      </c>
      <c r="C38" s="251">
        <f ca="1">ROUND(C34*F38,0)</f>
        <v>67</v>
      </c>
      <c r="D38" s="251"/>
      <c r="E38" s="251"/>
      <c r="F38" s="290">
        <f>'数据-取费表'!B36</f>
        <v>1.4999999999999999E-2</v>
      </c>
      <c r="G38" s="250" t="s">
        <v>2387</v>
      </c>
    </row>
    <row r="39" spans="1:7" s="245" customFormat="1" ht="13.5" customHeight="1">
      <c r="A39" s="286" t="s">
        <v>2393</v>
      </c>
      <c r="B39" s="241" t="s">
        <v>2394</v>
      </c>
      <c r="C39" s="263">
        <f ca="1">ROUND(C33*F20,0)</f>
        <v>104</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141</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138</v>
      </c>
      <c r="D42" s="269"/>
      <c r="E42" s="269"/>
      <c r="F42" s="270"/>
      <c r="G42" s="3318" t="s">
        <v>2403</v>
      </c>
    </row>
    <row r="43" spans="1:7" ht="13.5" customHeight="1">
      <c r="A43" s="929" t="s">
        <v>792</v>
      </c>
      <c r="B43" s="246" t="s">
        <v>2404</v>
      </c>
      <c r="C43" s="269">
        <f ca="1">ROUND(IF('数据-取费表'!B22&lt;=1,C39*F22*'数据-取费表'!B21/2,C39*(POWER((1+F22),'数据-取费表'!B21/2)-1)),0)</f>
        <v>3</v>
      </c>
      <c r="D43" s="269"/>
      <c r="E43" s="269"/>
      <c r="F43" s="270"/>
      <c r="G43" s="3319"/>
    </row>
    <row r="44" spans="1:7" ht="13.5" customHeight="1">
      <c r="A44" s="929" t="s">
        <v>793</v>
      </c>
      <c r="B44" s="246" t="s">
        <v>2405</v>
      </c>
      <c r="C44" s="269">
        <f ca="1">ROUND(IF('数据-取费表'!B22&lt;=1,C40*F22*'数据-取费表'!B21/2,C40*(POWER((1+F22),'数据-取费表'!B21/2)-1)),4)</f>
        <v>5.0000000000000001E-4</v>
      </c>
      <c r="D44" s="269"/>
      <c r="E44" s="269"/>
      <c r="F44" s="270"/>
      <c r="G44" s="3320"/>
    </row>
    <row r="45" spans="1:7" s="245" customFormat="1" ht="13.5" customHeight="1">
      <c r="A45" s="286" t="s">
        <v>2406</v>
      </c>
      <c r="B45" s="275" t="s">
        <v>2372</v>
      </c>
      <c r="C45" s="276">
        <f ca="1">C46</f>
        <v>793</v>
      </c>
      <c r="D45" s="266">
        <f ca="1">C47</f>
        <v>3.0000000000000001E-3</v>
      </c>
      <c r="E45" s="267" t="s">
        <v>2398</v>
      </c>
      <c r="F45" s="277"/>
      <c r="G45" s="278" t="s">
        <v>2407</v>
      </c>
    </row>
    <row r="46" spans="1:7" s="245" customFormat="1" ht="13.5" customHeight="1">
      <c r="A46" s="929" t="s">
        <v>791</v>
      </c>
      <c r="B46" s="279" t="s">
        <v>2408</v>
      </c>
      <c r="C46" s="280">
        <f ca="1">ROUND((C33+C39)*F27,0)</f>
        <v>793</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6737</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6737</v>
      </c>
      <c r="D51" s="263"/>
      <c r="E51" s="263"/>
      <c r="F51" s="295"/>
      <c r="G51" s="265" t="s">
        <v>2419</v>
      </c>
    </row>
    <row r="52" spans="1:7" s="239" customFormat="1" ht="16.5" thickBot="1">
      <c r="A52" s="296" t="s">
        <v>2420</v>
      </c>
      <c r="B52" s="297"/>
      <c r="C52" s="298">
        <f ca="1">C31+C51</f>
        <v>68190</v>
      </c>
      <c r="D52" s="297"/>
      <c r="E52" s="297"/>
      <c r="F52" s="297"/>
      <c r="G52" s="299"/>
    </row>
    <row r="55" spans="1:7" ht="15">
      <c r="B55" s="301" t="s">
        <v>2421</v>
      </c>
      <c r="C55" s="302"/>
    </row>
    <row r="56" spans="1:7">
      <c r="B56" s="304" t="s">
        <v>1507</v>
      </c>
      <c r="C56" s="306">
        <f ca="1">1-C57</f>
        <v>0.90100000000000002</v>
      </c>
    </row>
    <row r="57" spans="1:7">
      <c r="B57" s="304" t="s">
        <v>1508</v>
      </c>
      <c r="C57" s="305">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10189</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4106</v>
      </c>
      <c r="C3" s="230" t="s">
        <v>2324</v>
      </c>
      <c r="D3" s="230"/>
      <c r="E3" s="230"/>
      <c r="F3" s="230"/>
      <c r="G3" s="230"/>
    </row>
    <row r="4" spans="1:8" s="239" customFormat="1" ht="15.75">
      <c r="A4" s="236" t="s">
        <v>2325</v>
      </c>
      <c r="B4" s="237"/>
      <c r="C4" s="237"/>
      <c r="D4" s="237"/>
      <c r="E4" s="237"/>
      <c r="F4" s="237"/>
      <c r="G4" s="238"/>
    </row>
    <row r="5" spans="1:8" s="245" customFormat="1" ht="13.5" customHeight="1">
      <c r="A5" s="286" t="s">
        <v>2326</v>
      </c>
      <c r="B5" s="241" t="s">
        <v>2327</v>
      </c>
      <c r="C5" s="242">
        <f ca="1">C6+C7+C8</f>
        <v>3472899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3472899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1981834</v>
      </c>
      <c r="D10" s="1010">
        <f ca="1">IF(B1="",'数据-汇总表'!E6,IF(INDIRECT("'数据-取费表'!c"&amp;$G$1)="住宅",INDIRECT("'数据-取费表'!s"&amp;$G$1),INDIRECT("'数据-取费表'!k"&amp;$G$1)+INDIRECT("'数据-取费表'!s"&amp;$G$1)))</f>
        <v>12386.459999999997</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4962400</v>
      </c>
      <c r="D19" s="1014">
        <f ca="1">D9+D10</f>
        <v>24811.999999999996</v>
      </c>
      <c r="E19" s="242">
        <f>'数据-取费表'!B31</f>
        <v>200</v>
      </c>
      <c r="F19" s="262"/>
      <c r="G19" s="2520"/>
    </row>
    <row r="20" spans="1:7" s="245" customFormat="1" ht="13.5" customHeight="1">
      <c r="A20" s="286" t="s">
        <v>2433</v>
      </c>
      <c r="B20" s="241" t="s">
        <v>2434</v>
      </c>
      <c r="C20" s="263">
        <f ca="1">ROUND((C5+C19)*F20,0)</f>
        <v>168706</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614072</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250360</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357737</v>
      </c>
      <c r="D24" s="269"/>
      <c r="E24" s="269"/>
      <c r="F24" s="270"/>
      <c r="G24" s="271" t="s">
        <v>2445</v>
      </c>
    </row>
    <row r="25" spans="1:7" s="245" customFormat="1" ht="24">
      <c r="A25" s="929" t="s">
        <v>2335</v>
      </c>
      <c r="B25" s="246" t="s">
        <v>2446</v>
      </c>
      <c r="C25" s="1359">
        <f ca="1">ROUND(IF('数据-取费表'!B22&lt;=1,C20*F22*'数据-取费表'!B22/2,C20*(POWER((1+F22),'数据-取费表'!B22/2)-1)),0)</f>
        <v>5975</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4.75">
      <c r="A27" s="286" t="s">
        <v>2371</v>
      </c>
      <c r="B27" s="275" t="s">
        <v>2372</v>
      </c>
      <c r="C27" s="276">
        <f ca="1">C28</f>
        <v>1290601</v>
      </c>
      <c r="D27" s="266">
        <f ca="1">C29</f>
        <v>3.0000000000000001E-3</v>
      </c>
      <c r="E27" s="267" t="s">
        <v>2373</v>
      </c>
      <c r="F27" s="277">
        <f ca="1">IF(B1="",'数据-取费表'!Q16,INDIRECT("'数据-取费表'!q"&amp;$G$1))</f>
        <v>0.15</v>
      </c>
      <c r="G27" s="278" t="s">
        <v>2374</v>
      </c>
    </row>
    <row r="28" spans="1:7" s="245" customFormat="1" ht="13.5" customHeight="1">
      <c r="A28" s="929" t="s">
        <v>791</v>
      </c>
      <c r="B28" s="279" t="s">
        <v>2375</v>
      </c>
      <c r="C28" s="280">
        <f ca="1">ROUND((C5+C19+C20)*F27,0)</f>
        <v>1290601</v>
      </c>
      <c r="D28" s="266"/>
      <c r="E28" s="267"/>
      <c r="F28" s="277"/>
      <c r="G28" s="278"/>
    </row>
    <row r="29" spans="1:7" s="245" customFormat="1" ht="13.5" customHeight="1">
      <c r="A29" s="929" t="s">
        <v>792</v>
      </c>
      <c r="B29" s="279" t="s">
        <v>2376</v>
      </c>
      <c r="C29" s="269">
        <f ca="1">ROUND(C21*F27,4)</f>
        <v>3.0000000000000001E-3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11385350</v>
      </c>
      <c r="D31" s="261"/>
      <c r="E31" s="242"/>
      <c r="F31" s="281"/>
      <c r="G31" s="265" t="s">
        <v>2381</v>
      </c>
    </row>
    <row r="32" spans="1:7" s="239" customFormat="1" ht="15.75">
      <c r="A32" s="283" t="s">
        <v>2448</v>
      </c>
      <c r="B32" s="284"/>
      <c r="C32" s="284"/>
      <c r="D32" s="284"/>
      <c r="E32" s="284"/>
      <c r="F32" s="284"/>
      <c r="G32" s="285"/>
    </row>
    <row r="33" spans="1:7" s="245" customFormat="1" ht="13.5" customHeight="1">
      <c r="A33" s="286" t="s">
        <v>782</v>
      </c>
      <c r="B33" s="241" t="s">
        <v>2449</v>
      </c>
      <c r="C33" s="287">
        <f ca="1">SUM(C34:C38)</f>
        <v>69085830</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59875825</v>
      </c>
      <c r="D34" s="248"/>
      <c r="E34" s="251"/>
      <c r="F34" s="288"/>
      <c r="G34" s="250"/>
    </row>
    <row r="35" spans="1:7" ht="13.5" customHeight="1">
      <c r="A35" s="929" t="s">
        <v>796</v>
      </c>
      <c r="B35" s="246" t="s">
        <v>2386</v>
      </c>
      <c r="C35" s="251">
        <f ca="1">ROUND(C34*F35,0)</f>
        <v>1796275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4962400</v>
      </c>
      <c r="D37" s="248">
        <f ca="1">D19</f>
        <v>24811.999999999996</v>
      </c>
      <c r="E37" s="280">
        <f>'数据-取费表'!B35</f>
        <v>200</v>
      </c>
      <c r="F37" s="290"/>
      <c r="G37" s="292"/>
    </row>
    <row r="38" spans="1:7" ht="13.5" customHeight="1">
      <c r="A38" s="929" t="s">
        <v>799</v>
      </c>
      <c r="B38" s="246" t="s">
        <v>2392</v>
      </c>
      <c r="C38" s="251">
        <f ca="1">ROUND(C34*F38,0)</f>
        <v>898137</v>
      </c>
      <c r="D38" s="251"/>
      <c r="E38" s="251"/>
      <c r="F38" s="290">
        <f>'数据-取费表'!B36</f>
        <v>1.4999999999999999E-2</v>
      </c>
      <c r="G38" s="250" t="s">
        <v>2387</v>
      </c>
    </row>
    <row r="39" spans="1:7" s="245" customFormat="1" ht="13.5" customHeight="1">
      <c r="A39" s="286" t="s">
        <v>2393</v>
      </c>
      <c r="B39" s="241" t="s">
        <v>2394</v>
      </c>
      <c r="C39" s="263">
        <f ca="1">ROUND(C33*F20,0)</f>
        <v>1381717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2495788</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2446851</v>
      </c>
      <c r="D42" s="269"/>
      <c r="E42" s="269"/>
      <c r="F42" s="270"/>
      <c r="G42" s="3318" t="s">
        <v>2450</v>
      </c>
    </row>
    <row r="43" spans="1:7" ht="13.5" customHeight="1">
      <c r="A43" s="929" t="s">
        <v>792</v>
      </c>
      <c r="B43" s="246" t="s">
        <v>2404</v>
      </c>
      <c r="C43" s="269">
        <f ca="1">ROUND(IF('数据-取费表'!B22&lt;=1,C39*F22*'数据-取费表'!B20/2,C39*(POWER((1+F22),'数据-取费表'!B20/2)-1)),0)</f>
        <v>48937</v>
      </c>
      <c r="D43" s="269"/>
      <c r="E43" s="269"/>
      <c r="F43" s="270"/>
      <c r="G43" s="3319"/>
    </row>
    <row r="44" spans="1:7" ht="13.5" customHeight="1">
      <c r="A44" s="929" t="s">
        <v>793</v>
      </c>
      <c r="B44" s="246" t="s">
        <v>2405</v>
      </c>
      <c r="C44" s="269">
        <f ca="1">ROUND(IF('数据-取费表'!B22&lt;=1,C40*F22*'数据-取费表'!B20/2,C40*(POWER((1+F22),'数据-取费表'!B20/2)-1)),4)</f>
        <v>6.9999999999999999E-4</v>
      </c>
      <c r="D44" s="269"/>
      <c r="E44" s="269"/>
      <c r="F44" s="270"/>
      <c r="G44" s="3320"/>
    </row>
    <row r="45" spans="1:7" s="245" customFormat="1" ht="13.5" customHeight="1">
      <c r="A45" s="286" t="s">
        <v>2406</v>
      </c>
      <c r="B45" s="275" t="s">
        <v>2372</v>
      </c>
      <c r="C45" s="276">
        <f ca="1">C46</f>
        <v>10570132</v>
      </c>
      <c r="D45" s="266">
        <f ca="1">C47</f>
        <v>3.0000000000000001E-3</v>
      </c>
      <c r="E45" s="267" t="s">
        <v>2398</v>
      </c>
      <c r="F45" s="277"/>
      <c r="G45" s="278" t="s">
        <v>2407</v>
      </c>
    </row>
    <row r="46" spans="1:7" s="245" customFormat="1" ht="13.5" customHeight="1">
      <c r="A46" s="929" t="s">
        <v>791</v>
      </c>
      <c r="B46" s="279" t="s">
        <v>2408</v>
      </c>
      <c r="C46" s="280">
        <f ca="1">ROUND((C33+C39)*F27,0)</f>
        <v>10570132</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90502131</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90502131</v>
      </c>
      <c r="D51" s="263"/>
      <c r="E51" s="263"/>
      <c r="F51" s="295"/>
      <c r="G51" s="265" t="s">
        <v>2419</v>
      </c>
    </row>
    <row r="52" spans="1:7" s="239" customFormat="1" ht="16.5" thickBot="1">
      <c r="A52" s="296" t="s">
        <v>2420</v>
      </c>
      <c r="B52" s="297"/>
      <c r="C52" s="298">
        <f ca="1">C31+C51</f>
        <v>101887481</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83" customWidth="1"/>
    <col min="2" max="2" width="25.75" style="930" customWidth="1"/>
    <col min="3" max="3" width="10.375" style="973" customWidth="1"/>
    <col min="4" max="4" width="9.875" style="930" customWidth="1"/>
    <col min="5" max="5" width="9.5" style="783" customWidth="1"/>
    <col min="6" max="6" width="10.125" style="930" customWidth="1"/>
    <col min="7" max="7" width="10.75" style="930" customWidth="1"/>
    <col min="8" max="8" width="10" style="930" customWidth="1"/>
    <col min="9" max="11" width="9.5" style="930" customWidth="1"/>
    <col min="12" max="12" width="9" style="930" customWidth="1"/>
    <col min="13" max="13" width="10.5" style="930" bestFit="1" customWidth="1"/>
    <col min="14" max="254" width="9" style="930" customWidth="1"/>
    <col min="255" max="16384" width="6.625" style="930"/>
  </cols>
  <sheetData>
    <row r="1" spans="1:33" ht="20.25">
      <c r="A1" s="227" t="s">
        <v>2453</v>
      </c>
      <c r="B1" s="1559"/>
      <c r="C1" s="1560"/>
      <c r="D1" s="1558"/>
      <c r="E1" s="307"/>
      <c r="F1" s="307"/>
      <c r="G1" s="1559"/>
      <c r="H1" s="307"/>
      <c r="I1" s="307"/>
      <c r="J1" s="307"/>
      <c r="K1" s="307">
        <f>MATCH(C1,'数据-取费表'!A6:A16,0)+5</f>
        <v>11</v>
      </c>
    </row>
    <row r="2" spans="1:33" ht="18" customHeight="1">
      <c r="A2" s="232" t="s">
        <v>2321</v>
      </c>
      <c r="B2" s="235">
        <f ca="1">C32</f>
        <v>59217</v>
      </c>
      <c r="C2" s="307" t="s">
        <v>2454</v>
      </c>
      <c r="D2" s="307"/>
      <c r="E2" s="307"/>
      <c r="F2" s="307"/>
      <c r="G2" s="307"/>
      <c r="H2" s="307"/>
      <c r="I2" s="307"/>
      <c r="J2" s="307"/>
      <c r="K2" s="307"/>
    </row>
    <row r="3" spans="1:33" ht="18" customHeight="1" thickBot="1">
      <c r="A3" s="234" t="s">
        <v>2323</v>
      </c>
      <c r="B3" s="235">
        <f ca="1">ROUND(B2*10000/IF(C1="",'数据-汇总表'!E3,INDIRECT("'数据-取费表'!K"&amp;$K$1)),0)</f>
        <v>23866</v>
      </c>
      <c r="C3" s="307" t="s">
        <v>2455</v>
      </c>
      <c r="D3" s="307"/>
      <c r="E3" s="307"/>
      <c r="F3" s="307"/>
      <c r="G3" s="307"/>
      <c r="H3" s="307"/>
      <c r="I3" s="307"/>
      <c r="J3" s="307"/>
      <c r="K3" s="307"/>
    </row>
    <row r="4" spans="1:33" s="934" customFormat="1" ht="16.5" customHeight="1">
      <c r="A4" s="931" t="s">
        <v>2456</v>
      </c>
      <c r="B4" s="932"/>
      <c r="C4" s="974">
        <f ca="1">SUM(C8:K8)</f>
        <v>70450</v>
      </c>
      <c r="D4" s="932"/>
      <c r="E4" s="932"/>
      <c r="F4" s="932"/>
      <c r="G4" s="932"/>
      <c r="H4" s="932"/>
      <c r="I4" s="932"/>
      <c r="J4" s="932"/>
      <c r="K4" s="933"/>
    </row>
    <row r="5" spans="1:33" s="938" customFormat="1" ht="15">
      <c r="A5" s="935" t="s">
        <v>2457</v>
      </c>
      <c r="B5" s="936" t="s">
        <v>2458</v>
      </c>
      <c r="C5" s="2524" t="s">
        <v>3138</v>
      </c>
      <c r="D5" s="2524" t="s">
        <v>3335</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46236</v>
      </c>
      <c r="D6" s="940">
        <f>典型户型修正!R25</f>
        <v>54096</v>
      </c>
      <c r="E6" s="940">
        <f ca="1">收益法商!B3</f>
        <v>18352</v>
      </c>
      <c r="F6" s="940">
        <f ca="1">收益法仓!B3</f>
        <v>5414</v>
      </c>
      <c r="G6" s="940">
        <f ca="1">收益法车!B3</f>
        <v>3930</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50111</v>
      </c>
      <c r="D8" s="975">
        <f t="shared" ref="D8:G8" si="0">ROUND(D6*D7/10000,0)</f>
        <v>8588</v>
      </c>
      <c r="E8" s="975">
        <f t="shared" ca="1" si="0"/>
        <v>10258</v>
      </c>
      <c r="F8" s="975">
        <f t="shared" ca="1" si="0"/>
        <v>864</v>
      </c>
      <c r="G8" s="975">
        <f t="shared" ca="1" si="0"/>
        <v>629</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1496</v>
      </c>
      <c r="D11" s="951"/>
      <c r="E11" s="362"/>
      <c r="F11" s="952">
        <f ca="1">1-IF('数据-取费表'!B24=0,1,IF(C1="",'数据-取费表'!N16,INDIRECT("'数据-取费表'!n"&amp;$K$1)))</f>
        <v>0.25</v>
      </c>
      <c r="G11" s="8"/>
      <c r="H11" s="946"/>
      <c r="I11" s="946"/>
      <c r="J11" s="946"/>
      <c r="K11" s="947"/>
    </row>
    <row r="12" spans="1:33" s="953" customFormat="1" ht="13.5" customHeight="1">
      <c r="A12" s="949" t="s">
        <v>1330</v>
      </c>
      <c r="B12" s="950" t="s">
        <v>2472</v>
      </c>
      <c r="C12" s="24">
        <f ca="1">ROUND(C11*F12,0)</f>
        <v>45</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39</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124</v>
      </c>
      <c r="D14" s="1011">
        <f ca="1">IF(C1="",'数据-汇总表'!E3,INDIRECT("'数据-取费表'!K"&amp;$K$1)+INDIRECT("'数据-取费表'!S"&amp;$K$1))</f>
        <v>24811.999999999996</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22</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1726</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24811.999999999996</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198</v>
      </c>
      <c r="D20" s="1011">
        <f ca="1">IF(C1="",'数据-汇总表'!E6,IF(INDIRECT("'数据-取费表'!c"&amp;$K$1)="住宅",INDIRECT("'数据-取费表'!s"&amp;$K$1),INDIRECT("'数据-取费表'!k"&amp;$K$1)+INDIRECT("'数据-取费表'!s"&amp;$K$1)))</f>
        <v>12386.459999999997</v>
      </c>
      <c r="E20" s="24">
        <f>'数据-取费表'!B28</f>
        <v>160</v>
      </c>
      <c r="F20" s="954"/>
      <c r="G20" s="15"/>
      <c r="H20" s="959"/>
      <c r="I20" s="959"/>
      <c r="J20" s="959"/>
      <c r="K20" s="960"/>
    </row>
    <row r="21" spans="1:33" s="953" customFormat="1" ht="13.5" customHeight="1">
      <c r="A21" s="939" t="s">
        <v>802</v>
      </c>
      <c r="B21" s="963" t="s">
        <v>2487</v>
      </c>
      <c r="C21" s="964">
        <f ca="1">C16+C17+C18</f>
        <v>1726</v>
      </c>
      <c r="D21" s="965"/>
      <c r="E21" s="312"/>
      <c r="F21" s="312"/>
      <c r="G21" s="127" t="s">
        <v>2488</v>
      </c>
      <c r="H21" s="957"/>
      <c r="I21" s="957"/>
      <c r="J21" s="957"/>
      <c r="K21" s="958"/>
    </row>
    <row r="22" spans="1:33" s="953" customFormat="1" ht="13.5" customHeight="1">
      <c r="A22" s="939" t="s">
        <v>2460</v>
      </c>
      <c r="B22" s="963" t="s">
        <v>2489</v>
      </c>
      <c r="C22" s="964">
        <f ca="1">ROUND(C21*F22,0)</f>
        <v>35</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352</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18</v>
      </c>
      <c r="D25" s="311">
        <f ca="1">C26</f>
        <v>1.78E-2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1.78E-2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18</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317</v>
      </c>
      <c r="D28" s="311">
        <f ca="1">C29</f>
        <v>3.8100000000000002E-2</v>
      </c>
      <c r="E28" s="313" t="s">
        <v>15</v>
      </c>
      <c r="F28" s="319">
        <f ca="1">IF(C1="",'数据-取费表'!Q16,INDIRECT("'数据-取费表'!q"&amp;$K$1))</f>
        <v>0.15</v>
      </c>
      <c r="G28" s="967"/>
      <c r="H28" s="968"/>
      <c r="I28" s="968"/>
      <c r="J28" s="968"/>
      <c r="K28" s="969"/>
    </row>
    <row r="29" spans="1:33" s="322" customFormat="1" ht="13.5" customHeight="1">
      <c r="A29" s="949" t="s">
        <v>803</v>
      </c>
      <c r="B29" s="972" t="s">
        <v>2502</v>
      </c>
      <c r="C29" s="315">
        <f ca="1">ROUND((1+C24)*F28*'数据-取费表'!B24/'数据-取费表'!B20,4)</f>
        <v>3.8100000000000002E-2</v>
      </c>
      <c r="D29" s="315"/>
      <c r="E29" s="316"/>
      <c r="F29" s="321"/>
      <c r="G29" s="127" t="s">
        <v>2503</v>
      </c>
      <c r="H29" s="957"/>
      <c r="I29" s="957"/>
      <c r="J29" s="957"/>
      <c r="K29" s="958"/>
    </row>
    <row r="30" spans="1:33" s="322" customFormat="1" ht="13.5" customHeight="1">
      <c r="A30" s="949" t="s">
        <v>804</v>
      </c>
      <c r="B30" s="972" t="s">
        <v>2504</v>
      </c>
      <c r="C30" s="323">
        <f ca="1">ROUND((C21+C22+C23)*F28,0)</f>
        <v>317</v>
      </c>
      <c r="D30" s="315"/>
      <c r="E30" s="316"/>
      <c r="F30" s="321"/>
      <c r="G30" s="127"/>
      <c r="H30" s="957"/>
      <c r="I30" s="957"/>
      <c r="J30" s="957"/>
      <c r="K30" s="958"/>
    </row>
    <row r="31" spans="1:33" s="953" customFormat="1" ht="13.5" customHeight="1" thickBot="1">
      <c r="A31" s="2530" t="s">
        <v>2505</v>
      </c>
      <c r="B31" s="983" t="s">
        <v>2506</v>
      </c>
      <c r="C31" s="984">
        <f ca="1">ROUND(C4*F31/(1+'数据-取费表'!C42),0)</f>
        <v>3757</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59217</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c r="D1" s="1798"/>
      <c r="E1" s="1799" t="s">
        <v>1381</v>
      </c>
      <c r="F1" s="1261">
        <f ca="1">J53</f>
        <v>-0.37000000000000011</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21" t="s">
        <v>1397</v>
      </c>
      <c r="C6" s="1274">
        <f ca="1">ROUND(F6*F8*F7*(1-F9),0)</f>
        <v>0</v>
      </c>
      <c r="D6" s="151" t="s">
        <v>3016</v>
      </c>
      <c r="E6" s="334" t="s">
        <v>1399</v>
      </c>
      <c r="F6" s="335">
        <f ca="1">INDIRECT("'数据-取费表'!u"&amp;$G$1)</f>
        <v>0</v>
      </c>
      <c r="G6" s="1829"/>
      <c r="H6" s="1269" t="s">
        <v>1031</v>
      </c>
      <c r="I6" s="3321" t="s">
        <v>1397</v>
      </c>
      <c r="J6" s="333">
        <f ca="1">ROUND(M6*M8*M7*(1-M9),0)</f>
        <v>0</v>
      </c>
      <c r="K6" s="1812" t="s">
        <v>3017</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0</v>
      </c>
      <c r="G7" s="1829"/>
      <c r="H7" s="336"/>
      <c r="I7" s="3322"/>
      <c r="J7" s="338"/>
      <c r="K7" s="339"/>
      <c r="L7" s="334" t="s">
        <v>1400</v>
      </c>
      <c r="M7" s="335">
        <f ca="1">F7</f>
        <v>0</v>
      </c>
    </row>
    <row r="8" spans="1:37" ht="18" customHeight="1">
      <c r="A8" s="336"/>
      <c r="B8" s="3322"/>
      <c r="C8" s="338"/>
      <c r="D8" s="339"/>
      <c r="E8" s="334" t="s">
        <v>1401</v>
      </c>
      <c r="F8" s="335">
        <f ca="1">INDIRECT("'数据-取费表'!ai"&amp;$G$1)</f>
        <v>0</v>
      </c>
      <c r="G8" s="1829"/>
      <c r="H8" s="336"/>
      <c r="I8" s="3322"/>
      <c r="J8" s="338"/>
      <c r="K8" s="339"/>
      <c r="L8" s="334" t="s">
        <v>1401</v>
      </c>
      <c r="M8" s="335">
        <f ca="1">INDIRECT("'数据-取费表'!ai"&amp;$G$1)</f>
        <v>0</v>
      </c>
    </row>
    <row r="9" spans="1:37" ht="18" customHeight="1">
      <c r="A9" s="336"/>
      <c r="B9" s="3323"/>
      <c r="C9" s="338"/>
      <c r="D9" s="339"/>
      <c r="E9" s="334" t="s">
        <v>1402</v>
      </c>
      <c r="F9" s="344">
        <f ca="1">INDIRECT("'数据-取费表'!w"&amp;$G$1)</f>
        <v>0</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5"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5"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28.5"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5"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5"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5"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-0.37000000000000011</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-0.37000000000000011</v>
      </c>
      <c r="K53" s="3324" t="s">
        <v>1542</v>
      </c>
      <c r="L53" s="3325"/>
      <c r="O53" s="1862" t="s">
        <v>1042</v>
      </c>
      <c r="P53" s="1863" t="s">
        <v>1543</v>
      </c>
      <c r="Q53" s="1864" t="e">
        <f ca="1">Q47+Q48</f>
        <v>#DIV/0!</v>
      </c>
      <c r="R53" s="1864" t="s">
        <v>1043</v>
      </c>
    </row>
    <row r="54" spans="1:18" s="1820" customFormat="1" ht="13.5"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75"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75"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5"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5"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16.5"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5"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5" thickBot="1">
      <c r="A69" s="1148"/>
      <c r="B69" s="1149"/>
      <c r="C69" s="338"/>
      <c r="D69" s="1167" t="s">
        <v>1467</v>
      </c>
      <c r="E69" s="1147" t="s">
        <v>1468</v>
      </c>
      <c r="F69" s="366">
        <f ca="1">F41</f>
        <v>0</v>
      </c>
      <c r="O69" s="1872" t="s">
        <v>1044</v>
      </c>
      <c r="P69" s="1911" t="s">
        <v>1578</v>
      </c>
      <c r="Q69" s="1864">
        <f ca="1">C39</f>
        <v>0</v>
      </c>
      <c r="R69" s="1864" t="s">
        <v>1523</v>
      </c>
    </row>
    <row r="70" spans="1:18" s="1820" customFormat="1" ht="13.5" thickBot="1">
      <c r="A70" s="1151"/>
      <c r="B70" s="1152"/>
      <c r="C70" s="342"/>
      <c r="D70" s="1163"/>
      <c r="E70" s="1147" t="s">
        <v>1471</v>
      </c>
      <c r="F70" s="1253">
        <f ca="1">F42</f>
        <v>0</v>
      </c>
      <c r="O70" s="1872" t="s">
        <v>1045</v>
      </c>
      <c r="P70" s="1911" t="s">
        <v>1579</v>
      </c>
      <c r="Q70" s="1864">
        <f ca="1">C13</f>
        <v>0</v>
      </c>
      <c r="R70" s="1864" t="s">
        <v>1523</v>
      </c>
    </row>
    <row r="71" spans="1:18" s="1820" customFormat="1" ht="13.5"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5"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2" customWidth="1"/>
    <col min="2" max="2" width="12" style="1922" customWidth="1"/>
    <col min="3" max="3" width="9" style="1922"/>
    <col min="4" max="4" width="14.125" style="1922" customWidth="1"/>
    <col min="5" max="5" width="9" style="1922"/>
    <col min="6" max="6" width="12.875" style="1922" customWidth="1"/>
    <col min="7" max="16384" width="9" style="1922"/>
  </cols>
  <sheetData>
    <row r="1" spans="1:6" ht="21">
      <c r="A1" s="2531" t="s">
        <v>2517</v>
      </c>
      <c r="B1" s="2532"/>
      <c r="C1" s="2532"/>
      <c r="D1" s="2532"/>
      <c r="E1" s="2533"/>
    </row>
    <row r="2" spans="1:6" ht="15.75">
      <c r="A2" s="2534" t="s">
        <v>2321</v>
      </c>
      <c r="B2" s="2535">
        <f ca="1">SUMIF(B6:B13,"&lt;&gt;#ref!",B6:B13)</f>
        <v>11751</v>
      </c>
      <c r="C2" s="2536" t="s">
        <v>2510</v>
      </c>
      <c r="D2" s="2537" t="s">
        <v>2511</v>
      </c>
      <c r="E2" s="2538">
        <f>SUM(E6:E13)</f>
        <v>9920.36</v>
      </c>
    </row>
    <row r="3" spans="1:6" ht="15.75">
      <c r="A3" s="2534" t="s">
        <v>1389</v>
      </c>
      <c r="B3" s="2535">
        <f ca="1">ROUND(B2*10000/E2,0)</f>
        <v>11845</v>
      </c>
      <c r="C3" s="2536" t="s">
        <v>2518</v>
      </c>
      <c r="D3" s="2539"/>
      <c r="E3" s="2540"/>
    </row>
    <row r="4" spans="1:6" ht="15.75">
      <c r="A4" s="2541"/>
      <c r="B4" s="2539"/>
      <c r="C4" s="2539"/>
      <c r="D4" s="2539"/>
      <c r="E4" s="2540"/>
    </row>
    <row r="5" spans="1:6" ht="15">
      <c r="A5" s="2542" t="s">
        <v>2512</v>
      </c>
      <c r="B5" s="3326" t="s">
        <v>2513</v>
      </c>
      <c r="C5" s="3326"/>
      <c r="D5" s="2543"/>
      <c r="E5" s="2544" t="s">
        <v>2514</v>
      </c>
      <c r="F5" s="2545" t="s">
        <v>2515</v>
      </c>
    </row>
    <row r="6" spans="1:6">
      <c r="A6" s="2546">
        <f>'数据-取费表'!AN6</f>
        <v>0</v>
      </c>
      <c r="B6" s="2545" t="e">
        <f ca="1">IF(F6="是",'数据-取费表'!AO6,0)</f>
        <v>#REF!</v>
      </c>
      <c r="C6" s="2536" t="s">
        <v>2510</v>
      </c>
      <c r="D6" s="2539"/>
      <c r="E6" s="2547">
        <f>IF(OR(A6=0,F6="否"),0,'数据-取费表'!K6+'数据-取费表'!S6)</f>
        <v>0</v>
      </c>
      <c r="F6" s="2548" t="s">
        <v>2516</v>
      </c>
    </row>
    <row r="7" spans="1:6">
      <c r="A7" s="2546">
        <f>'数据-取费表'!AN7</f>
        <v>0</v>
      </c>
      <c r="B7" s="2545" t="e">
        <f ca="1">IF(F7="是",'数据-取费表'!AO7,0)</f>
        <v>#REF!</v>
      </c>
      <c r="C7" s="2536" t="s">
        <v>2510</v>
      </c>
      <c r="D7" s="2539"/>
      <c r="E7" s="2547">
        <f>IF(OR(A7=0,F7="否"),0,'数据-取费表'!K7+'数据-取费表'!S7)</f>
        <v>0</v>
      </c>
      <c r="F7" s="2548" t="s">
        <v>2516</v>
      </c>
    </row>
    <row r="8" spans="1:6">
      <c r="A8" s="2546" t="str">
        <f>'数据-取费表'!AN8</f>
        <v>收益法商</v>
      </c>
      <c r="B8" s="2545">
        <f ca="1">IF(F8="是",'数据-取费表'!AO8,0)</f>
        <v>10258</v>
      </c>
      <c r="C8" s="2536" t="s">
        <v>2510</v>
      </c>
      <c r="D8" s="2539"/>
      <c r="E8" s="2547">
        <f>IF(OR(A8=0,F8="否"),0,'数据-取费表'!K8+'数据-取费表'!S8)</f>
        <v>6311.3099999999995</v>
      </c>
      <c r="F8" s="2548" t="s">
        <v>2516</v>
      </c>
    </row>
    <row r="9" spans="1:6">
      <c r="A9" s="2546" t="str">
        <f>'数据-取费表'!AN9</f>
        <v>收益法仓</v>
      </c>
      <c r="B9" s="2545">
        <f ca="1">IF(F9="是",'数据-取费表'!AO9,0)</f>
        <v>864</v>
      </c>
      <c r="C9" s="2536" t="s">
        <v>2510</v>
      </c>
      <c r="D9" s="2539"/>
      <c r="E9" s="2547">
        <f>IF(OR(A9=0,F9="否"),0,'数据-取费表'!K9+'数据-取费表'!S9)</f>
        <v>1801.92</v>
      </c>
      <c r="F9" s="2548" t="s">
        <v>2516</v>
      </c>
    </row>
    <row r="10" spans="1:6">
      <c r="A10" s="2546" t="str">
        <f>'数据-取费表'!AN10</f>
        <v>收益法车</v>
      </c>
      <c r="B10" s="2545">
        <f ca="1">IF(F10="是",'数据-取费表'!AO10,0)</f>
        <v>629</v>
      </c>
      <c r="C10" s="2536" t="s">
        <v>2510</v>
      </c>
      <c r="D10" s="2539"/>
      <c r="E10" s="2547">
        <f>IF(OR(A10=0,F10="否"),0,'数据-取费表'!K10+'数据-取费表'!S10)</f>
        <v>1807.13</v>
      </c>
      <c r="F10" s="2548" t="s">
        <v>2516</v>
      </c>
    </row>
    <row r="11" spans="1:6">
      <c r="A11" s="2546">
        <f>'数据-取费表'!AN11</f>
        <v>0</v>
      </c>
      <c r="B11" s="2545" t="e">
        <f ca="1">IF(F11="是",'数据-取费表'!AO11,0)</f>
        <v>#REF!</v>
      </c>
      <c r="C11" s="2536" t="s">
        <v>2510</v>
      </c>
      <c r="D11" s="2539"/>
      <c r="E11" s="2547">
        <f>IF(OR(A11=0,F11="否"),0,'数据-取费表'!K11+'数据-取费表'!S11)</f>
        <v>0</v>
      </c>
      <c r="F11" s="2548" t="s">
        <v>2516</v>
      </c>
    </row>
    <row r="12" spans="1:6">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43" t="s">
        <v>1072</v>
      </c>
      <c r="B1" s="3344"/>
      <c r="C1" s="3345"/>
      <c r="D1" s="3346">
        <f>SUM(I10,I15,I20,I21,I23)</f>
        <v>0</v>
      </c>
      <c r="E1" s="3346"/>
      <c r="F1" s="3346"/>
      <c r="G1" s="3346"/>
      <c r="H1" s="3346"/>
      <c r="I1" s="3347"/>
    </row>
    <row r="2" spans="1:9">
      <c r="A2" s="3333" t="s">
        <v>1073</v>
      </c>
      <c r="B2" s="3334" t="s">
        <v>1074</v>
      </c>
      <c r="C2" s="3334"/>
      <c r="D2" s="1279" t="s">
        <v>1075</v>
      </c>
      <c r="E2" s="1279" t="s">
        <v>1076</v>
      </c>
      <c r="F2" s="1279" t="s">
        <v>1077</v>
      </c>
      <c r="G2" s="1279" t="s">
        <v>1078</v>
      </c>
      <c r="H2" s="1279" t="s">
        <v>1079</v>
      </c>
      <c r="I2" s="1280" t="s">
        <v>1080</v>
      </c>
    </row>
    <row r="3" spans="1:9">
      <c r="A3" s="3333"/>
      <c r="B3" s="3334" t="s">
        <v>1081</v>
      </c>
      <c r="C3" s="3334"/>
      <c r="D3" s="1281"/>
      <c r="E3" s="1279"/>
      <c r="F3" s="1282"/>
      <c r="G3" s="1282"/>
      <c r="H3" s="1283"/>
      <c r="I3" s="1284">
        <f>ROUND(D3*E3*F3*G3*H3/10000,0)</f>
        <v>0</v>
      </c>
    </row>
    <row r="4" spans="1:9">
      <c r="A4" s="3333"/>
      <c r="B4" s="3334" t="s">
        <v>1082</v>
      </c>
      <c r="C4" s="3334"/>
      <c r="D4" s="1281"/>
      <c r="E4" s="1279"/>
      <c r="F4" s="1282"/>
      <c r="G4" s="1282"/>
      <c r="H4" s="1283"/>
      <c r="I4" s="1284">
        <f t="shared" ref="I4:I9" si="0">ROUND(D4*E4*F4*G4*H4/10000,0)</f>
        <v>0</v>
      </c>
    </row>
    <row r="5" spans="1:9">
      <c r="A5" s="3333"/>
      <c r="B5" s="3334" t="s">
        <v>1083</v>
      </c>
      <c r="C5" s="3334"/>
      <c r="D5" s="1281"/>
      <c r="E5" s="1279"/>
      <c r="F5" s="1282"/>
      <c r="G5" s="1282"/>
      <c r="H5" s="1283"/>
      <c r="I5" s="1284">
        <f t="shared" si="0"/>
        <v>0</v>
      </c>
    </row>
    <row r="6" spans="1:9">
      <c r="A6" s="3333"/>
      <c r="B6" s="3334" t="s">
        <v>1084</v>
      </c>
      <c r="C6" s="3334"/>
      <c r="D6" s="1281"/>
      <c r="E6" s="1279"/>
      <c r="F6" s="1282"/>
      <c r="G6" s="1282"/>
      <c r="H6" s="1283"/>
      <c r="I6" s="1284">
        <f t="shared" si="0"/>
        <v>0</v>
      </c>
    </row>
    <row r="7" spans="1:9">
      <c r="A7" s="3333"/>
      <c r="B7" s="3334" t="s">
        <v>1085</v>
      </c>
      <c r="C7" s="3334"/>
      <c r="D7" s="1281"/>
      <c r="E7" s="1279"/>
      <c r="F7" s="1282"/>
      <c r="G7" s="1282"/>
      <c r="H7" s="1283"/>
      <c r="I7" s="1284">
        <f t="shared" si="0"/>
        <v>0</v>
      </c>
    </row>
    <row r="8" spans="1:9">
      <c r="A8" s="3333"/>
      <c r="B8" s="3334" t="s">
        <v>1086</v>
      </c>
      <c r="C8" s="3334"/>
      <c r="D8" s="1281"/>
      <c r="E8" s="1279"/>
      <c r="F8" s="1282"/>
      <c r="G8" s="1282"/>
      <c r="H8" s="1283"/>
      <c r="I8" s="1284">
        <f t="shared" si="0"/>
        <v>0</v>
      </c>
    </row>
    <row r="9" spans="1:9">
      <c r="A9" s="3333"/>
      <c r="B9" s="3334" t="s">
        <v>1087</v>
      </c>
      <c r="C9" s="3334"/>
      <c r="D9" s="1281"/>
      <c r="E9" s="1279"/>
      <c r="F9" s="1282"/>
      <c r="G9" s="1282"/>
      <c r="H9" s="1283"/>
      <c r="I9" s="1284">
        <f t="shared" si="0"/>
        <v>0</v>
      </c>
    </row>
    <row r="10" spans="1:9">
      <c r="A10" s="3333"/>
      <c r="B10" s="3335" t="s">
        <v>1088</v>
      </c>
      <c r="C10" s="3335"/>
      <c r="D10" s="1285"/>
      <c r="E10" s="1285" t="e">
        <f>ROUND(D1*10000/D10/H9,0)</f>
        <v>#DIV/0!</v>
      </c>
      <c r="F10" s="1286"/>
      <c r="G10" s="1286"/>
      <c r="H10" s="1287"/>
      <c r="I10" s="1288">
        <f>SUM(I3:I9)</f>
        <v>0</v>
      </c>
    </row>
    <row r="11" spans="1:9" ht="14.25">
      <c r="A11" s="3333" t="s">
        <v>1089</v>
      </c>
      <c r="B11" s="3334" t="s">
        <v>1090</v>
      </c>
      <c r="C11" s="3334"/>
      <c r="D11" s="1281" t="s">
        <v>1091</v>
      </c>
      <c r="E11" s="1281" t="s">
        <v>1092</v>
      </c>
      <c r="F11" s="1282" t="s">
        <v>1093</v>
      </c>
      <c r="G11" s="1282" t="s">
        <v>1079</v>
      </c>
      <c r="H11" s="1289" t="s">
        <v>1094</v>
      </c>
      <c r="I11" s="1280" t="s">
        <v>1080</v>
      </c>
    </row>
    <row r="12" spans="1:9">
      <c r="A12" s="3333"/>
      <c r="B12" s="3334" t="s">
        <v>1095</v>
      </c>
      <c r="C12" s="3334"/>
      <c r="D12" s="1281"/>
      <c r="E12" s="1281"/>
      <c r="F12" s="1282"/>
      <c r="G12" s="1283"/>
      <c r="H12" s="1290"/>
      <c r="I12" s="1280">
        <f>ROUND(D12*E12*F12*G12/10000,0)</f>
        <v>0</v>
      </c>
    </row>
    <row r="13" spans="1:9">
      <c r="A13" s="3333"/>
      <c r="B13" s="3334" t="s">
        <v>1096</v>
      </c>
      <c r="C13" s="3334"/>
      <c r="D13" s="1281"/>
      <c r="E13" s="1281"/>
      <c r="F13" s="1282"/>
      <c r="G13" s="1283"/>
      <c r="H13" s="1290"/>
      <c r="I13" s="1280">
        <f>ROUND(D13*E13*F13*G13/10000,0)</f>
        <v>0</v>
      </c>
    </row>
    <row r="14" spans="1:9">
      <c r="A14" s="3333"/>
      <c r="B14" s="3334" t="s">
        <v>1097</v>
      </c>
      <c r="C14" s="3334"/>
      <c r="D14" s="1281"/>
      <c r="E14" s="1281"/>
      <c r="F14" s="1282"/>
      <c r="G14" s="1283"/>
      <c r="H14" s="1290"/>
      <c r="I14" s="1280">
        <f>ROUND(D14*E14*F14*G14/10000,0)</f>
        <v>0</v>
      </c>
    </row>
    <row r="15" spans="1:9">
      <c r="A15" s="3333"/>
      <c r="B15" s="3335" t="s">
        <v>1088</v>
      </c>
      <c r="C15" s="3335"/>
      <c r="D15" s="1285"/>
      <c r="E15" s="1285">
        <f>SUM(E12:E14)</f>
        <v>0</v>
      </c>
      <c r="F15" s="1286"/>
      <c r="G15" s="1283"/>
      <c r="H15" s="1290"/>
      <c r="I15" s="1291">
        <f>SUM(I12:I14)</f>
        <v>0</v>
      </c>
    </row>
    <row r="16" spans="1:9" ht="24">
      <c r="A16" s="3333" t="s">
        <v>1098</v>
      </c>
      <c r="B16" s="3334" t="s">
        <v>1099</v>
      </c>
      <c r="C16" s="3334"/>
      <c r="D16" s="1281" t="s">
        <v>1075</v>
      </c>
      <c r="E16" s="1292" t="s">
        <v>1100</v>
      </c>
      <c r="F16" s="1282" t="s">
        <v>1101</v>
      </c>
      <c r="G16" s="1283" t="s">
        <v>1079</v>
      </c>
      <c r="H16" s="1289" t="s">
        <v>1094</v>
      </c>
      <c r="I16" s="1280" t="s">
        <v>1080</v>
      </c>
    </row>
    <row r="17" spans="1:9" ht="14.25">
      <c r="A17" s="3333"/>
      <c r="B17" s="3334" t="s">
        <v>1102</v>
      </c>
      <c r="C17" s="3334"/>
      <c r="D17" s="1281"/>
      <c r="E17" s="1281"/>
      <c r="F17" s="1282"/>
      <c r="G17" s="1283"/>
      <c r="H17" s="1293"/>
      <c r="I17" s="1294">
        <f>ROUND(D17*E17*F17*G17/10000,0)</f>
        <v>0</v>
      </c>
    </row>
    <row r="18" spans="1:9" ht="14.25">
      <c r="A18" s="3333"/>
      <c r="B18" s="3334" t="s">
        <v>1103</v>
      </c>
      <c r="C18" s="3334"/>
      <c r="D18" s="1281"/>
      <c r="E18" s="1281"/>
      <c r="F18" s="1282"/>
      <c r="G18" s="1283"/>
      <c r="H18" s="1293"/>
      <c r="I18" s="1294">
        <f>ROUND(D18*E18*F18*G18/10000,0)</f>
        <v>0</v>
      </c>
    </row>
    <row r="19" spans="1:9" ht="14.25">
      <c r="A19" s="3333"/>
      <c r="B19" s="3334" t="s">
        <v>1104</v>
      </c>
      <c r="C19" s="3334"/>
      <c r="D19" s="1281"/>
      <c r="E19" s="1281"/>
      <c r="F19" s="1282"/>
      <c r="G19" s="1283"/>
      <c r="H19" s="1293"/>
      <c r="I19" s="1294">
        <f>ROUND(D19*E19*F19*G19/10000,0)</f>
        <v>0</v>
      </c>
    </row>
    <row r="20" spans="1:9">
      <c r="A20" s="3333"/>
      <c r="B20" s="3335" t="s">
        <v>1088</v>
      </c>
      <c r="C20" s="3335"/>
      <c r="D20" s="1285">
        <f>SUM(D17:D19)</f>
        <v>0</v>
      </c>
      <c r="E20" s="1285"/>
      <c r="F20" s="1286"/>
      <c r="G20" s="1283"/>
      <c r="H20" s="1290"/>
      <c r="I20" s="1291">
        <f>SUM(I17:I19)</f>
        <v>0</v>
      </c>
    </row>
    <row r="21" spans="1:9">
      <c r="A21" s="3333" t="s">
        <v>1105</v>
      </c>
      <c r="B21" s="3336"/>
      <c r="C21" s="3336"/>
      <c r="D21" s="3336"/>
      <c r="E21" s="3336"/>
      <c r="F21" s="3336"/>
      <c r="G21" s="3336"/>
      <c r="H21" s="1743">
        <v>0.1</v>
      </c>
      <c r="I21" s="1288">
        <f>ROUND(I10*H21,0)</f>
        <v>0</v>
      </c>
    </row>
    <row r="22" spans="1:9" ht="14.25">
      <c r="A22" s="3337" t="s">
        <v>1106</v>
      </c>
      <c r="B22" s="3338"/>
      <c r="C22" s="3339"/>
      <c r="D22" s="1295" t="s">
        <v>1107</v>
      </c>
      <c r="E22" s="1295" t="s">
        <v>1108</v>
      </c>
      <c r="F22" s="1296" t="s">
        <v>1109</v>
      </c>
      <c r="G22" s="1296" t="s">
        <v>1110</v>
      </c>
      <c r="H22" s="1289" t="s">
        <v>1111</v>
      </c>
      <c r="I22" s="1280" t="s">
        <v>1112</v>
      </c>
    </row>
    <row r="23" spans="1:9" ht="14.25" thickBot="1">
      <c r="A23" s="3340"/>
      <c r="B23" s="3341"/>
      <c r="C23" s="3342"/>
      <c r="D23" s="1297"/>
      <c r="E23" s="1297"/>
      <c r="F23" s="1297"/>
      <c r="G23" s="1298"/>
      <c r="H23" s="1299"/>
      <c r="I23" s="1300">
        <f>ROUND(E23*D23*F23*(1-G23)/10000,0)</f>
        <v>0</v>
      </c>
    </row>
    <row r="26" spans="1:9">
      <c r="A26" s="1301" t="s">
        <v>1113</v>
      </c>
      <c r="B26" s="1301"/>
      <c r="C26" s="1301"/>
      <c r="D26" s="1301"/>
      <c r="E26" s="3330">
        <f>C27-C30-C31-C32</f>
        <v>0</v>
      </c>
      <c r="F26" s="3330"/>
      <c r="G26" s="3330"/>
      <c r="H26" s="1715" t="s">
        <v>1335</v>
      </c>
    </row>
    <row r="27" spans="1:9">
      <c r="A27" s="1302">
        <v>1</v>
      </c>
      <c r="B27" s="1303" t="s">
        <v>1114</v>
      </c>
      <c r="C27" s="1303">
        <f>C28+C29</f>
        <v>0</v>
      </c>
      <c r="D27" s="1303"/>
      <c r="E27" s="3331"/>
      <c r="F27" s="3331"/>
      <c r="G27" s="3331"/>
    </row>
    <row r="28" spans="1:9">
      <c r="A28" s="1304" t="s">
        <v>1115</v>
      </c>
      <c r="B28" s="1303" t="s">
        <v>1116</v>
      </c>
      <c r="C28" s="1303"/>
      <c r="D28" s="1303"/>
      <c r="E28" s="3331"/>
      <c r="F28" s="3331"/>
      <c r="G28" s="3331"/>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32"/>
      <c r="F32" s="3332"/>
      <c r="G32" s="3332"/>
    </row>
    <row r="33" spans="1:7" hidden="1">
      <c r="A33" s="3327" t="s">
        <v>1125</v>
      </c>
      <c r="B33" s="3328"/>
      <c r="C33" s="3328"/>
      <c r="D33" s="3329"/>
      <c r="E33" s="3330"/>
      <c r="F33" s="3330"/>
      <c r="G33" s="3330"/>
    </row>
    <row r="34" spans="1:7" hidden="1">
      <c r="A34" s="1306">
        <v>1</v>
      </c>
      <c r="B34" s="1303" t="s">
        <v>1126</v>
      </c>
      <c r="C34" s="1303"/>
      <c r="D34" s="1303"/>
      <c r="E34" s="3331"/>
      <c r="F34" s="3331"/>
      <c r="G34" s="3331"/>
    </row>
    <row r="35" spans="1:7" hidden="1">
      <c r="A35" s="1306">
        <v>2</v>
      </c>
      <c r="B35" s="1303" t="s">
        <v>1127</v>
      </c>
      <c r="C35" s="1303"/>
      <c r="D35" s="1303"/>
      <c r="E35" s="3331"/>
      <c r="F35" s="3331"/>
      <c r="G35" s="3331"/>
    </row>
    <row r="36" spans="1:7" hidden="1">
      <c r="A36" s="1306">
        <v>3</v>
      </c>
      <c r="B36" s="1303" t="s">
        <v>1128</v>
      </c>
      <c r="C36" s="1303"/>
      <c r="D36" s="1303"/>
      <c r="E36" s="3331"/>
      <c r="F36" s="3331"/>
      <c r="G36" s="3331"/>
    </row>
    <row r="37" spans="1:7" hidden="1">
      <c r="A37" s="1306">
        <v>4</v>
      </c>
      <c r="B37" s="1303" t="s">
        <v>1129</v>
      </c>
      <c r="C37" s="1303"/>
      <c r="D37" s="1303"/>
      <c r="E37" s="3331"/>
      <c r="F37" s="3331"/>
      <c r="G37" s="3331"/>
    </row>
    <row r="38" spans="1:7" hidden="1">
      <c r="A38" s="3327" t="s">
        <v>1130</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D121" sqref="D121"/>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2520</v>
      </c>
      <c r="C1" s="1612" t="s">
        <v>2521</v>
      </c>
      <c r="D1" s="1599" t="s">
        <v>3138</v>
      </c>
      <c r="E1" s="2553"/>
      <c r="F1" s="2554" t="s">
        <v>3333</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50111</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46236</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5">
      <c r="A4" s="388" t="s">
        <v>2525</v>
      </c>
      <c r="B4" s="389"/>
      <c r="C4" s="3279" t="s">
        <v>2526</v>
      </c>
      <c r="D4" s="3292"/>
      <c r="E4" s="3293" t="s">
        <v>2527</v>
      </c>
      <c r="F4" s="3294"/>
      <c r="G4" s="3279" t="s">
        <v>2528</v>
      </c>
      <c r="H4" s="3292"/>
      <c r="I4" s="3279" t="s">
        <v>2529</v>
      </c>
      <c r="J4" s="3292"/>
      <c r="K4" s="2566" t="s">
        <v>2530</v>
      </c>
      <c r="L4" s="1108"/>
      <c r="M4" s="1109"/>
      <c r="N4" s="1109"/>
      <c r="O4" s="1109"/>
      <c r="P4" s="3295" t="s">
        <v>2531</v>
      </c>
      <c r="Q4" s="3296"/>
      <c r="R4" s="3301" t="s">
        <v>2527</v>
      </c>
      <c r="S4" s="3302"/>
      <c r="T4" s="3301" t="s">
        <v>2528</v>
      </c>
      <c r="U4" s="3302"/>
      <c r="V4" s="3288" t="s">
        <v>2529</v>
      </c>
      <c r="W4" s="3288"/>
      <c r="X4" s="1791"/>
      <c r="Y4" s="3301" t="s">
        <v>2531</v>
      </c>
      <c r="Z4" s="3302"/>
      <c r="AA4" s="3289" t="s">
        <v>2527</v>
      </c>
      <c r="AB4" s="3289" t="s">
        <v>2528</v>
      </c>
      <c r="AC4" s="3289" t="s">
        <v>2529</v>
      </c>
    </row>
    <row r="5" spans="1:29" ht="15">
      <c r="A5" s="391"/>
      <c r="B5" s="392"/>
      <c r="C5" s="3309" t="s">
        <v>2532</v>
      </c>
      <c r="D5" s="3310"/>
      <c r="E5" s="3357" t="s">
        <v>3331</v>
      </c>
      <c r="F5" s="3317"/>
      <c r="G5" s="3356" t="s">
        <v>3334</v>
      </c>
      <c r="H5" s="3310"/>
      <c r="I5" s="3356" t="s">
        <v>3349</v>
      </c>
      <c r="J5" s="3310"/>
      <c r="K5" s="256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256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v>43952</v>
      </c>
      <c r="F7" s="400">
        <f>SUMIF(58:58,YEAR(E7)&amp;"-"&amp;MONTH(E7),59:59)</f>
        <v>100</v>
      </c>
      <c r="G7" s="399">
        <v>43952</v>
      </c>
      <c r="H7" s="398">
        <f>SUMIF(58:58,YEAR(G7)&amp;"-"&amp;MONTH(G7),59:59)</f>
        <v>100</v>
      </c>
      <c r="I7" s="399">
        <v>43952</v>
      </c>
      <c r="J7" s="398">
        <f>SUMIF(58:58,YEAR(I7)&amp;"-"&amp;MONTH(I7),59:59)</f>
        <v>100</v>
      </c>
      <c r="K7" s="2568"/>
      <c r="L7" s="1110"/>
      <c r="M7" s="1111"/>
      <c r="N7" s="1111"/>
      <c r="O7" s="1111"/>
      <c r="P7" s="3311" t="s">
        <v>2539</v>
      </c>
      <c r="Q7" s="3313"/>
      <c r="R7" s="755" t="s">
        <v>23</v>
      </c>
      <c r="S7" s="756">
        <f t="shared" ref="S7:S15" si="0">F7</f>
        <v>100</v>
      </c>
      <c r="T7" s="755" t="s">
        <v>23</v>
      </c>
      <c r="U7" s="756">
        <f t="shared" ref="U7:U15" si="1">H7</f>
        <v>100</v>
      </c>
      <c r="V7" s="755" t="s">
        <v>23</v>
      </c>
      <c r="W7" s="756">
        <f t="shared" ref="W7:W15" si="2">J7</f>
        <v>100</v>
      </c>
      <c r="X7" s="757"/>
      <c r="Y7" s="3311" t="s">
        <v>2539</v>
      </c>
      <c r="Z7" s="3312"/>
      <c r="AA7" s="758">
        <f>D7/F7</f>
        <v>1</v>
      </c>
      <c r="AB7" s="758">
        <f>D7/H7</f>
        <v>1</v>
      </c>
      <c r="AC7" s="758">
        <f>D7/J7</f>
        <v>1</v>
      </c>
    </row>
    <row r="8" spans="1:29" s="112" customFormat="1" ht="15.7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11" t="s">
        <v>2542</v>
      </c>
      <c r="Q8" s="3312"/>
      <c r="R8" s="755" t="s">
        <v>23</v>
      </c>
      <c r="S8" s="756">
        <f t="shared" si="0"/>
        <v>100</v>
      </c>
      <c r="T8" s="755" t="s">
        <v>23</v>
      </c>
      <c r="U8" s="756">
        <f t="shared" si="1"/>
        <v>100</v>
      </c>
      <c r="V8" s="755" t="s">
        <v>23</v>
      </c>
      <c r="W8" s="756">
        <f t="shared" si="2"/>
        <v>100</v>
      </c>
      <c r="X8" s="757"/>
      <c r="Y8" s="3311" t="s">
        <v>2542</v>
      </c>
      <c r="Z8" s="3312"/>
      <c r="AA8" s="758">
        <f t="shared" ref="AA8:AA19" si="3">D8/F8</f>
        <v>1</v>
      </c>
      <c r="AB8" s="758">
        <f t="shared" ref="AB8:AB19" si="4">D8/H8</f>
        <v>1</v>
      </c>
      <c r="AC8" s="758">
        <f t="shared" ref="AC8:AC19" si="5">D8/J8</f>
        <v>1</v>
      </c>
    </row>
    <row r="9" spans="1:29" s="112" customFormat="1">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t="s">
        <v>3332</v>
      </c>
      <c r="D10" s="123">
        <v>100</v>
      </c>
      <c r="E10" s="410" t="s">
        <v>3332</v>
      </c>
      <c r="F10" s="412">
        <f>SUMIF(65:65,E10,66:66)-SUMIF(65:65,C10,66:66)+100</f>
        <v>100</v>
      </c>
      <c r="G10" s="410" t="s">
        <v>3332</v>
      </c>
      <c r="H10" s="123">
        <f>SUMIF(65:65,G10,66:66)-SUMIF(65:65,C10,66:66)+100</f>
        <v>100</v>
      </c>
      <c r="I10" s="410" t="s">
        <v>3332</v>
      </c>
      <c r="J10" s="123">
        <f>SUMIF(65:65,I10,66:66)-SUMIF(65:65,C10,66:66)+100</f>
        <v>100</v>
      </c>
      <c r="K10" s="413">
        <v>1</v>
      </c>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281"/>
      <c r="Q11" s="1773" t="str">
        <f t="shared" si="6"/>
        <v>容积率</v>
      </c>
      <c r="R11" s="755" t="s">
        <v>21</v>
      </c>
      <c r="S11" s="756">
        <f t="shared" si="0"/>
        <v>98</v>
      </c>
      <c r="T11" s="755" t="s">
        <v>21</v>
      </c>
      <c r="U11" s="756">
        <f t="shared" si="1"/>
        <v>100</v>
      </c>
      <c r="V11" s="755" t="s">
        <v>21</v>
      </c>
      <c r="W11" s="756">
        <f t="shared" si="2"/>
        <v>98</v>
      </c>
      <c r="X11" s="757"/>
      <c r="Y11" s="3103"/>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281"/>
      <c r="Q12" s="1773">
        <f t="shared" si="6"/>
        <v>111</v>
      </c>
      <c r="R12" s="755" t="s">
        <v>21</v>
      </c>
      <c r="S12" s="756">
        <f t="shared" si="0"/>
        <v>100</v>
      </c>
      <c r="T12" s="755" t="s">
        <v>21</v>
      </c>
      <c r="U12" s="756">
        <f t="shared" si="1"/>
        <v>100</v>
      </c>
      <c r="V12" s="755" t="s">
        <v>21</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281"/>
      <c r="Q13" s="1773">
        <f t="shared" si="6"/>
        <v>111</v>
      </c>
      <c r="R13" s="755" t="s">
        <v>21</v>
      </c>
      <c r="S13" s="756">
        <f t="shared" si="0"/>
        <v>100</v>
      </c>
      <c r="T13" s="755" t="s">
        <v>21</v>
      </c>
      <c r="U13" s="756">
        <f t="shared" si="1"/>
        <v>100</v>
      </c>
      <c r="V13" s="755" t="s">
        <v>21</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281"/>
      <c r="Q14" s="1773">
        <f t="shared" si="6"/>
        <v>111</v>
      </c>
      <c r="R14" s="755" t="s">
        <v>21</v>
      </c>
      <c r="S14" s="756">
        <f t="shared" si="0"/>
        <v>100</v>
      </c>
      <c r="T14" s="755" t="s">
        <v>21</v>
      </c>
      <c r="U14" s="756">
        <f t="shared" si="1"/>
        <v>100</v>
      </c>
      <c r="V14" s="755" t="s">
        <v>21</v>
      </c>
      <c r="W14" s="756">
        <f t="shared" si="2"/>
        <v>100</v>
      </c>
      <c r="X14" s="757"/>
      <c r="Y14" s="3103"/>
      <c r="Z14" s="55">
        <f t="shared" si="7"/>
        <v>111</v>
      </c>
      <c r="AA14" s="758">
        <f t="shared" si="3"/>
        <v>1</v>
      </c>
      <c r="AB14" s="758">
        <f t="shared" si="4"/>
        <v>1</v>
      </c>
      <c r="AC14" s="758">
        <f t="shared" si="5"/>
        <v>1</v>
      </c>
    </row>
    <row r="15" spans="1:29" ht="85.5">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3350</v>
      </c>
      <c r="F15" s="428">
        <f>SUMIF(76:76,E16,77:77)-SUMIF(76:76,C16,77:77)+100</f>
        <v>103</v>
      </c>
      <c r="G15" s="3039" t="s">
        <v>3351</v>
      </c>
      <c r="H15" s="428">
        <f>SUMIF(76:76,G16,77:77)-SUMIF(76:76,C16,77:77)+100</f>
        <v>100</v>
      </c>
      <c r="I15" s="3039" t="s">
        <v>3350</v>
      </c>
      <c r="J15" s="428">
        <f>SUMIF(76:76,I16,77:77)-SUMIF(76:76,C16,77:77)+100</f>
        <v>103</v>
      </c>
      <c r="K15" s="432">
        <f>'土地比较法-住宅、综合'!K15</f>
        <v>3</v>
      </c>
      <c r="L15" s="1118"/>
      <c r="M15" s="1109"/>
      <c r="N15" s="1109"/>
      <c r="O15" s="1109"/>
      <c r="P15" s="3354" t="s">
        <v>2550</v>
      </c>
      <c r="Q15" s="1788" t="str">
        <f t="shared" si="6"/>
        <v>居住社区成熟度</v>
      </c>
      <c r="R15" s="759" t="s">
        <v>21</v>
      </c>
      <c r="S15" s="760">
        <f t="shared" si="0"/>
        <v>103</v>
      </c>
      <c r="T15" s="759" t="s">
        <v>21</v>
      </c>
      <c r="U15" s="760">
        <f t="shared" si="1"/>
        <v>100</v>
      </c>
      <c r="V15" s="759" t="s">
        <v>21</v>
      </c>
      <c r="W15" s="760">
        <f t="shared" si="2"/>
        <v>103</v>
      </c>
      <c r="X15" s="1791"/>
      <c r="Y15" s="3284" t="s">
        <v>2550</v>
      </c>
      <c r="Z15" s="1792" t="str">
        <f t="shared" si="7"/>
        <v>居住社区成熟度</v>
      </c>
      <c r="AA15" s="1789">
        <f t="shared" si="3"/>
        <v>0.970873786407767</v>
      </c>
      <c r="AB15" s="1789">
        <f t="shared" si="4"/>
        <v>1</v>
      </c>
      <c r="AC15" s="1789">
        <f t="shared" si="5"/>
        <v>0.970873786407767</v>
      </c>
    </row>
    <row r="16" spans="1:29" ht="15">
      <c r="A16" s="415"/>
      <c r="B16" s="433"/>
      <c r="C16" s="434" t="s">
        <v>3292</v>
      </c>
      <c r="D16" s="435"/>
      <c r="E16" s="3042" t="s">
        <v>3294</v>
      </c>
      <c r="F16" s="435"/>
      <c r="G16" s="2574" t="s">
        <v>3292</v>
      </c>
      <c r="H16" s="437"/>
      <c r="I16" s="2574" t="s">
        <v>3294</v>
      </c>
      <c r="J16" s="435"/>
      <c r="K16" s="2575"/>
      <c r="L16" s="1118"/>
      <c r="M16" s="1109"/>
      <c r="N16" s="1109"/>
      <c r="O16" s="1109"/>
      <c r="P16" s="3355"/>
      <c r="Q16" s="1788"/>
      <c r="R16" s="759"/>
      <c r="S16" s="760"/>
      <c r="T16" s="759"/>
      <c r="U16" s="760"/>
      <c r="V16" s="759"/>
      <c r="W16" s="760"/>
      <c r="X16" s="1791"/>
      <c r="Y16" s="3285"/>
      <c r="Z16" s="1792"/>
      <c r="AA16" s="1789">
        <v>1</v>
      </c>
      <c r="AB16" s="1789">
        <v>1</v>
      </c>
      <c r="AC16" s="1789">
        <v>1</v>
      </c>
    </row>
    <row r="17" spans="1:29" ht="85.5">
      <c r="A17" s="415"/>
      <c r="B17" s="438" t="s">
        <v>2090</v>
      </c>
      <c r="C17" s="2576" t="str">
        <f>估价对象房地状况!C6</f>
        <v>估价对象周边道路密集度一般、周边有931、948路等公交线路经过，停车便捷程度较好，综合评价交通便捷度一般。</v>
      </c>
      <c r="D17" s="437">
        <v>100</v>
      </c>
      <c r="E17" s="3040" t="s">
        <v>3329</v>
      </c>
      <c r="F17" s="437">
        <f>SUMIF(78:78,E18,79:79)-SUMIF(78:78,C18,79:79)+100</f>
        <v>102</v>
      </c>
      <c r="G17" s="3052" t="s">
        <v>3353</v>
      </c>
      <c r="H17" s="442">
        <f>SUMIF(78:78,G18,79:79)-SUMIF(78:78,C18,79:79)+100</f>
        <v>100</v>
      </c>
      <c r="I17" s="3052" t="s">
        <v>3369</v>
      </c>
      <c r="J17" s="442">
        <f>SUMIF(78:78,I18,79:79)-SUMIF(78:78,C18,79:79)+100</f>
        <v>102</v>
      </c>
      <c r="K17" s="432">
        <f>'土地比较法-住宅、综合'!K21</f>
        <v>2</v>
      </c>
      <c r="L17" s="1118"/>
      <c r="M17" s="1109"/>
      <c r="N17" s="1109"/>
      <c r="O17" s="1109"/>
      <c r="P17" s="3355"/>
      <c r="Q17" s="1788" t="str">
        <f>B17</f>
        <v>交通便捷度</v>
      </c>
      <c r="R17" s="759" t="s">
        <v>21</v>
      </c>
      <c r="S17" s="760">
        <f>F17</f>
        <v>102</v>
      </c>
      <c r="T17" s="759" t="s">
        <v>21</v>
      </c>
      <c r="U17" s="760">
        <f>H17</f>
        <v>100</v>
      </c>
      <c r="V17" s="759" t="s">
        <v>21</v>
      </c>
      <c r="W17" s="760">
        <f>J17</f>
        <v>102</v>
      </c>
      <c r="X17" s="1791"/>
      <c r="Y17" s="3285"/>
      <c r="Z17" s="1792" t="str">
        <f>Q17</f>
        <v>交通便捷度</v>
      </c>
      <c r="AA17" s="1789">
        <f t="shared" si="3"/>
        <v>0.98039215686274506</v>
      </c>
      <c r="AB17" s="1789">
        <f t="shared" si="4"/>
        <v>1</v>
      </c>
      <c r="AC17" s="1789">
        <f t="shared" si="5"/>
        <v>0.98039215686274506</v>
      </c>
    </row>
    <row r="18" spans="1:29" ht="15">
      <c r="A18" s="415"/>
      <c r="B18" s="443"/>
      <c r="C18" s="2577" t="s">
        <v>3292</v>
      </c>
      <c r="D18" s="437"/>
      <c r="E18" s="3043" t="s">
        <v>3294</v>
      </c>
      <c r="F18" s="437"/>
      <c r="G18" s="2577" t="s">
        <v>3292</v>
      </c>
      <c r="H18" s="435"/>
      <c r="I18" s="2579" t="s">
        <v>3294</v>
      </c>
      <c r="J18" s="435"/>
      <c r="K18" s="2575"/>
      <c r="L18" s="1118"/>
      <c r="M18" s="1109"/>
      <c r="N18" s="1109"/>
      <c r="O18" s="1109"/>
      <c r="P18" s="3355"/>
      <c r="Q18" s="1788"/>
      <c r="R18" s="759"/>
      <c r="S18" s="760"/>
      <c r="T18" s="759"/>
      <c r="U18" s="760"/>
      <c r="V18" s="759"/>
      <c r="W18" s="760"/>
      <c r="X18" s="1791"/>
      <c r="Y18" s="3285"/>
      <c r="Z18" s="1792"/>
      <c r="AA18" s="1789">
        <v>1</v>
      </c>
      <c r="AB18" s="1789">
        <v>1</v>
      </c>
      <c r="AC18" s="1789">
        <v>1</v>
      </c>
    </row>
    <row r="19" spans="1:29" ht="79.150000000000006" customHeight="1">
      <c r="A19" s="415"/>
      <c r="B19" s="438" t="s">
        <v>2088</v>
      </c>
      <c r="C19" s="2576" t="str">
        <f>估价对象房地状况!C7</f>
        <v>周边有银行、购物场所、餐饮等配套设施，所在区域公共配套设施齐备情况较差</v>
      </c>
      <c r="D19" s="442">
        <v>100</v>
      </c>
      <c r="E19" s="3041" t="s">
        <v>3330</v>
      </c>
      <c r="F19" s="442">
        <f>SUMIF(80:80,E20,81:81)-SUMIF(80:80,C20,81:81)+100</f>
        <v>104</v>
      </c>
      <c r="G19" s="444" t="s">
        <v>3354</v>
      </c>
      <c r="H19" s="437">
        <f>SUMIF(80:80,G20,81:81)-SUMIF(80:80,C20,81:81)+100</f>
        <v>100</v>
      </c>
      <c r="I19" s="3041" t="s">
        <v>3330</v>
      </c>
      <c r="J19" s="437">
        <f>SUMIF(80:80,I20,81:81)-SUMIF(80:80,C20,81:81)+100</f>
        <v>102</v>
      </c>
      <c r="K19" s="432">
        <f>'土地比较法-住宅、综合'!K27</f>
        <v>2</v>
      </c>
      <c r="L19" s="1118"/>
      <c r="M19" s="1109"/>
      <c r="N19" s="1109"/>
      <c r="O19" s="1109"/>
      <c r="P19" s="3355"/>
      <c r="Q19" s="1788" t="str">
        <f>B19</f>
        <v>公共配套设施</v>
      </c>
      <c r="R19" s="759" t="s">
        <v>21</v>
      </c>
      <c r="S19" s="760">
        <f>F19</f>
        <v>104</v>
      </c>
      <c r="T19" s="759" t="s">
        <v>21</v>
      </c>
      <c r="U19" s="760">
        <f>H19</f>
        <v>100</v>
      </c>
      <c r="V19" s="759" t="s">
        <v>21</v>
      </c>
      <c r="W19" s="760">
        <f>J19</f>
        <v>102</v>
      </c>
      <c r="X19" s="1791"/>
      <c r="Y19" s="3285"/>
      <c r="Z19" s="1792" t="str">
        <f>Q19</f>
        <v>公共配套设施</v>
      </c>
      <c r="AA19" s="1789">
        <f t="shared" si="3"/>
        <v>0.96153846153846156</v>
      </c>
      <c r="AB19" s="1789">
        <f t="shared" si="4"/>
        <v>1</v>
      </c>
      <c r="AC19" s="1789">
        <f t="shared" si="5"/>
        <v>0.98039215686274506</v>
      </c>
    </row>
    <row r="20" spans="1:29" ht="15">
      <c r="A20" s="415"/>
      <c r="B20" s="443"/>
      <c r="C20" s="434" t="s">
        <v>3291</v>
      </c>
      <c r="D20" s="435"/>
      <c r="E20" s="3042" t="s">
        <v>3294</v>
      </c>
      <c r="F20" s="435"/>
      <c r="G20" s="434" t="s">
        <v>3291</v>
      </c>
      <c r="H20" s="435"/>
      <c r="I20" s="2574" t="s">
        <v>3292</v>
      </c>
      <c r="J20" s="435"/>
      <c r="K20" s="2575"/>
      <c r="L20" s="1118"/>
      <c r="M20" s="1109"/>
      <c r="N20" s="1109"/>
      <c r="O20" s="1109"/>
      <c r="P20" s="3355"/>
      <c r="Q20" s="1788"/>
      <c r="R20" s="759"/>
      <c r="S20" s="760"/>
      <c r="T20" s="759"/>
      <c r="U20" s="760"/>
      <c r="V20" s="759"/>
      <c r="W20" s="760"/>
      <c r="X20" s="1791"/>
      <c r="Y20" s="3285"/>
      <c r="Z20" s="1792"/>
      <c r="AA20" s="1789">
        <v>1</v>
      </c>
      <c r="AB20" s="1789">
        <v>1</v>
      </c>
      <c r="AC20" s="1789">
        <v>1</v>
      </c>
    </row>
    <row r="21" spans="1:29" ht="28.5">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t="s">
        <v>3295</v>
      </c>
      <c r="D22" s="435"/>
      <c r="E22" s="2577" t="s">
        <v>3295</v>
      </c>
      <c r="F22" s="435"/>
      <c r="G22" s="2577" t="s">
        <v>3295</v>
      </c>
      <c r="H22" s="435"/>
      <c r="I22" s="2577" t="s">
        <v>3295</v>
      </c>
      <c r="J22" s="435"/>
      <c r="K22" s="2581"/>
      <c r="L22" s="1118"/>
      <c r="M22" s="1109"/>
      <c r="N22" s="1109"/>
      <c r="O22" s="1109"/>
      <c r="P22" s="3355"/>
      <c r="Q22" s="1788"/>
      <c r="R22" s="759"/>
      <c r="S22" s="760"/>
      <c r="T22" s="759"/>
      <c r="U22" s="760"/>
      <c r="V22" s="759"/>
      <c r="W22" s="760"/>
      <c r="X22" s="1791"/>
      <c r="Y22" s="3285"/>
      <c r="Z22" s="1792"/>
      <c r="AA22" s="1789">
        <v>1</v>
      </c>
      <c r="AB22" s="1789">
        <v>1</v>
      </c>
      <c r="AC22" s="1789">
        <v>1</v>
      </c>
    </row>
    <row r="23" spans="1:29" ht="66">
      <c r="A23" s="415"/>
      <c r="B23" s="438" t="s">
        <v>2095</v>
      </c>
      <c r="C23" s="2576" t="str">
        <f>估价对象房地状况!C9</f>
        <v>临近潭柘寺景区、戒台寺景区，绿化率高，综合评价环境状况较好</v>
      </c>
      <c r="D23" s="437">
        <v>100</v>
      </c>
      <c r="E23" s="3040" t="s">
        <v>3355</v>
      </c>
      <c r="F23" s="437">
        <f>SUMIF(84:84,E24,85:85)-SUMIF(84:84,C24,85:85)+100</f>
        <v>98</v>
      </c>
      <c r="G23" s="3040" t="s">
        <v>3359</v>
      </c>
      <c r="H23" s="437">
        <f>SUMIF(84:84,G24,85:85)-SUMIF(84:84,C24,85:85)+100</f>
        <v>100</v>
      </c>
      <c r="I23" s="3040" t="s">
        <v>3356</v>
      </c>
      <c r="J23" s="437">
        <f>SUMIF(84:84,I24,85:85)-SUMIF(84:84,C24,85:85)+100</f>
        <v>98</v>
      </c>
      <c r="K23" s="432">
        <f>'土地比较法-住宅、综合'!K25</f>
        <v>2</v>
      </c>
      <c r="L23" s="1118"/>
      <c r="M23" s="1109"/>
      <c r="N23" s="1109"/>
      <c r="O23" s="1109"/>
      <c r="P23" s="3355"/>
      <c r="Q23" s="1788" t="str">
        <f>B23</f>
        <v>自然及人文环境</v>
      </c>
      <c r="R23" s="759" t="s">
        <v>21</v>
      </c>
      <c r="S23" s="760">
        <f>F23</f>
        <v>98</v>
      </c>
      <c r="T23" s="759" t="s">
        <v>21</v>
      </c>
      <c r="U23" s="760">
        <f>H23</f>
        <v>100</v>
      </c>
      <c r="V23" s="759" t="s">
        <v>21</v>
      </c>
      <c r="W23" s="760">
        <f>J23</f>
        <v>98</v>
      </c>
      <c r="X23" s="1791"/>
      <c r="Y23" s="3285"/>
      <c r="Z23" s="1792" t="str">
        <f>Q23</f>
        <v>自然及人文环境</v>
      </c>
      <c r="AA23" s="1789">
        <f>D23/F23</f>
        <v>1.0204081632653061</v>
      </c>
      <c r="AB23" s="1789">
        <f>D23/H23</f>
        <v>1</v>
      </c>
      <c r="AC23" s="1789">
        <f>D23/J23</f>
        <v>1.0204081632653061</v>
      </c>
    </row>
    <row r="24" spans="1:29" ht="15">
      <c r="A24" s="415"/>
      <c r="B24" s="443"/>
      <c r="C24" s="434" t="s">
        <v>3294</v>
      </c>
      <c r="D24" s="435"/>
      <c r="E24" s="3042" t="s">
        <v>3292</v>
      </c>
      <c r="F24" s="435"/>
      <c r="G24" s="434" t="s">
        <v>3294</v>
      </c>
      <c r="H24" s="435"/>
      <c r="I24" s="2574" t="s">
        <v>3292</v>
      </c>
      <c r="J24" s="435"/>
      <c r="K24" s="2575"/>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355"/>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285"/>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355"/>
      <c r="Q26" s="1788" t="str">
        <f t="shared" si="11"/>
        <v>朝向</v>
      </c>
      <c r="R26" s="759" t="s">
        <v>21</v>
      </c>
      <c r="S26" s="760">
        <f t="shared" si="12"/>
        <v>100</v>
      </c>
      <c r="T26" s="759" t="s">
        <v>21</v>
      </c>
      <c r="U26" s="760">
        <f t="shared" si="13"/>
        <v>100</v>
      </c>
      <c r="V26" s="759" t="s">
        <v>21</v>
      </c>
      <c r="W26" s="760">
        <f t="shared" si="14"/>
        <v>100</v>
      </c>
      <c r="X26" s="1791"/>
      <c r="Y26" s="3285"/>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355"/>
      <c r="Q27" s="1773">
        <f t="shared" si="11"/>
        <v>0</v>
      </c>
      <c r="R27" s="755" t="s">
        <v>21</v>
      </c>
      <c r="S27" s="756">
        <f t="shared" si="12"/>
        <v>100</v>
      </c>
      <c r="T27" s="755" t="s">
        <v>21</v>
      </c>
      <c r="U27" s="756">
        <f t="shared" si="13"/>
        <v>100</v>
      </c>
      <c r="V27" s="755" t="s">
        <v>21</v>
      </c>
      <c r="W27" s="756">
        <f t="shared" si="14"/>
        <v>100</v>
      </c>
      <c r="X27" s="757"/>
      <c r="Y27" s="3285"/>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355"/>
      <c r="Q28" s="1788">
        <f t="shared" si="11"/>
        <v>0</v>
      </c>
      <c r="R28" s="759" t="s">
        <v>21</v>
      </c>
      <c r="S28" s="760">
        <f t="shared" si="12"/>
        <v>100</v>
      </c>
      <c r="T28" s="759" t="s">
        <v>21</v>
      </c>
      <c r="U28" s="760">
        <f t="shared" si="13"/>
        <v>100</v>
      </c>
      <c r="V28" s="759" t="s">
        <v>21</v>
      </c>
      <c r="W28" s="760">
        <f t="shared" si="14"/>
        <v>100</v>
      </c>
      <c r="X28" s="1791"/>
      <c r="Y28" s="3285"/>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355"/>
      <c r="Q29" s="1788">
        <f t="shared" si="11"/>
        <v>0</v>
      </c>
      <c r="R29" s="759" t="s">
        <v>21</v>
      </c>
      <c r="S29" s="760">
        <f t="shared" si="12"/>
        <v>100</v>
      </c>
      <c r="T29" s="759" t="s">
        <v>21</v>
      </c>
      <c r="U29" s="760">
        <f t="shared" si="13"/>
        <v>100</v>
      </c>
      <c r="V29" s="759" t="s">
        <v>21</v>
      </c>
      <c r="W29" s="760">
        <f t="shared" si="14"/>
        <v>100</v>
      </c>
      <c r="X29" s="1791"/>
      <c r="Y29" s="3285"/>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355"/>
      <c r="Q30" s="1788">
        <f t="shared" si="11"/>
        <v>0</v>
      </c>
      <c r="R30" s="759" t="s">
        <v>21</v>
      </c>
      <c r="S30" s="760">
        <f t="shared" si="12"/>
        <v>100</v>
      </c>
      <c r="T30" s="759" t="s">
        <v>21</v>
      </c>
      <c r="U30" s="760">
        <f t="shared" si="13"/>
        <v>100</v>
      </c>
      <c r="V30" s="759" t="s">
        <v>21</v>
      </c>
      <c r="W30" s="760">
        <f t="shared" si="14"/>
        <v>100</v>
      </c>
      <c r="X30" s="1791"/>
      <c r="Y30" s="3285"/>
      <c r="Z30" s="1792">
        <f t="shared" si="18"/>
        <v>0</v>
      </c>
      <c r="AA30" s="1789">
        <f t="shared" si="15"/>
        <v>1</v>
      </c>
      <c r="AB30" s="1789">
        <f t="shared" si="16"/>
        <v>1</v>
      </c>
      <c r="AC30" s="1789">
        <f t="shared" si="17"/>
        <v>1</v>
      </c>
    </row>
    <row r="31" spans="1:29" ht="15.75"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355"/>
      <c r="Q31" s="1788">
        <f t="shared" si="11"/>
        <v>0</v>
      </c>
      <c r="R31" s="759" t="s">
        <v>21</v>
      </c>
      <c r="S31" s="760">
        <f t="shared" si="12"/>
        <v>100</v>
      </c>
      <c r="T31" s="759" t="s">
        <v>21</v>
      </c>
      <c r="U31" s="760">
        <f t="shared" si="13"/>
        <v>100</v>
      </c>
      <c r="V31" s="759" t="s">
        <v>21</v>
      </c>
      <c r="W31" s="760">
        <f t="shared" si="14"/>
        <v>100</v>
      </c>
      <c r="X31" s="1791"/>
      <c r="Y31" s="3285"/>
      <c r="Z31" s="1792">
        <f t="shared" si="18"/>
        <v>0</v>
      </c>
      <c r="AA31" s="1789">
        <f t="shared" si="15"/>
        <v>1</v>
      </c>
      <c r="AB31" s="1789">
        <f t="shared" si="16"/>
        <v>1</v>
      </c>
      <c r="AC31" s="1789">
        <f t="shared" si="17"/>
        <v>1</v>
      </c>
    </row>
    <row r="32" spans="1:29" ht="15">
      <c r="A32" s="427" t="s">
        <v>2553</v>
      </c>
      <c r="B32" s="71" t="s">
        <v>2554</v>
      </c>
      <c r="C32" s="3027" t="s">
        <v>3321</v>
      </c>
      <c r="D32" s="454">
        <v>100</v>
      </c>
      <c r="E32" s="3032" t="s">
        <v>3357</v>
      </c>
      <c r="F32" s="448">
        <f>SUMIF(100:100,E32,101:101)-SUMIF(100:100,C32,101:101)+100</f>
        <v>98</v>
      </c>
      <c r="G32" s="3027" t="s">
        <v>3321</v>
      </c>
      <c r="H32" s="454">
        <f>SUMIF(100:100,G32,101:101)-SUMIF(100:100,C32,101:101)+100</f>
        <v>100</v>
      </c>
      <c r="I32" s="3032" t="s">
        <v>3357</v>
      </c>
      <c r="J32" s="422">
        <f>SUMIF(100:100,I32,101:101)-SUMIF(100:100,C32,101:101)+100</f>
        <v>98</v>
      </c>
      <c r="K32" s="413">
        <v>2</v>
      </c>
      <c r="L32" s="1118"/>
      <c r="M32" s="1109"/>
      <c r="N32" s="1109"/>
      <c r="O32" s="1109"/>
      <c r="P32" s="3350" t="s">
        <v>2555</v>
      </c>
      <c r="Q32" s="1788" t="str">
        <f t="shared" si="11"/>
        <v>建筑类型</v>
      </c>
      <c r="R32" s="759" t="s">
        <v>21</v>
      </c>
      <c r="S32" s="760">
        <f t="shared" si="12"/>
        <v>98</v>
      </c>
      <c r="T32" s="759" t="s">
        <v>21</v>
      </c>
      <c r="U32" s="760">
        <f t="shared" si="13"/>
        <v>100</v>
      </c>
      <c r="V32" s="759" t="s">
        <v>21</v>
      </c>
      <c r="W32" s="760">
        <f t="shared" si="14"/>
        <v>98</v>
      </c>
      <c r="X32" s="1791"/>
      <c r="Y32" s="3287" t="s">
        <v>2555</v>
      </c>
      <c r="Z32" s="1792" t="str">
        <f t="shared" si="18"/>
        <v>建筑类型</v>
      </c>
      <c r="AA32" s="1789">
        <f t="shared" si="15"/>
        <v>1.0204081632653061</v>
      </c>
      <c r="AB32" s="1789">
        <f t="shared" si="16"/>
        <v>1</v>
      </c>
      <c r="AC32" s="1789">
        <f t="shared" si="17"/>
        <v>1.0204081632653061</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351"/>
      <c r="Q33" s="761" t="str">
        <f t="shared" si="11"/>
        <v>项目建筑规模</v>
      </c>
      <c r="R33" s="762" t="s">
        <v>21</v>
      </c>
      <c r="S33" s="763">
        <f t="shared" si="12"/>
        <v>99</v>
      </c>
      <c r="T33" s="762" t="s">
        <v>21</v>
      </c>
      <c r="U33" s="763">
        <f t="shared" si="13"/>
        <v>98</v>
      </c>
      <c r="V33" s="762" t="s">
        <v>21</v>
      </c>
      <c r="W33" s="763">
        <f t="shared" si="14"/>
        <v>98</v>
      </c>
      <c r="X33" s="764"/>
      <c r="Y33" s="3287"/>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3322</v>
      </c>
      <c r="D34" s="422">
        <v>100</v>
      </c>
      <c r="E34" s="3033" t="s">
        <v>3322</v>
      </c>
      <c r="F34" s="448">
        <f>SUMIF(105:105,E34,106:106)-SUMIF(105:105,C34,106:106)+100</f>
        <v>100</v>
      </c>
      <c r="G34" s="3028" t="s">
        <v>3322</v>
      </c>
      <c r="H34" s="422">
        <f>SUMIF(105:105,G34,106:106)-SUMIF(105:105,C34,106:106)+100</f>
        <v>100</v>
      </c>
      <c r="I34" s="3028" t="s">
        <v>3322</v>
      </c>
      <c r="J34" s="422">
        <f>SUMIF(105:105,I34,106:106)-SUMIF(105:105,C34,106:106)+100</f>
        <v>100</v>
      </c>
      <c r="K34" s="3038">
        <v>2</v>
      </c>
      <c r="L34" s="1118"/>
      <c r="M34" s="1109"/>
      <c r="N34" s="1109"/>
      <c r="O34" s="1109"/>
      <c r="P34" s="3351"/>
      <c r="Q34" s="1788" t="str">
        <f t="shared" si="11"/>
        <v>建筑结构</v>
      </c>
      <c r="R34" s="759" t="s">
        <v>21</v>
      </c>
      <c r="S34" s="760">
        <f t="shared" si="12"/>
        <v>100</v>
      </c>
      <c r="T34" s="759" t="s">
        <v>21</v>
      </c>
      <c r="U34" s="760">
        <f t="shared" si="13"/>
        <v>100</v>
      </c>
      <c r="V34" s="759" t="s">
        <v>21</v>
      </c>
      <c r="W34" s="760">
        <f t="shared" si="14"/>
        <v>100</v>
      </c>
      <c r="X34" s="1791"/>
      <c r="Y34" s="3287"/>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351"/>
      <c r="Q35" s="1788" t="str">
        <f t="shared" si="11"/>
        <v>建筑品质</v>
      </c>
      <c r="R35" s="759" t="s">
        <v>21</v>
      </c>
      <c r="S35" s="760">
        <f t="shared" si="12"/>
        <v>100</v>
      </c>
      <c r="T35" s="759" t="s">
        <v>21</v>
      </c>
      <c r="U35" s="760">
        <f t="shared" si="13"/>
        <v>100</v>
      </c>
      <c r="V35" s="759" t="s">
        <v>21</v>
      </c>
      <c r="W35" s="760">
        <f t="shared" si="14"/>
        <v>100</v>
      </c>
      <c r="X35" s="1791"/>
      <c r="Y35" s="3287"/>
      <c r="Z35" s="1792" t="str">
        <f t="shared" si="18"/>
        <v>建筑品质</v>
      </c>
      <c r="AA35" s="1789">
        <f t="shared" si="15"/>
        <v>1</v>
      </c>
      <c r="AB35" s="1789">
        <f t="shared" si="16"/>
        <v>1</v>
      </c>
      <c r="AC35" s="1789">
        <f t="shared" si="17"/>
        <v>1</v>
      </c>
    </row>
    <row r="36" spans="1:29" ht="15">
      <c r="A36" s="459"/>
      <c r="B36" s="409" t="s">
        <v>2559</v>
      </c>
      <c r="C36" s="3029" t="s">
        <v>3323</v>
      </c>
      <c r="D36" s="422">
        <v>100</v>
      </c>
      <c r="E36" s="3034" t="s">
        <v>3323</v>
      </c>
      <c r="F36" s="448">
        <f>SUMIF(109:109,E36,110:110)-SUMIF(109:109,C36,110:110)+100</f>
        <v>100</v>
      </c>
      <c r="G36" s="3029" t="s">
        <v>3323</v>
      </c>
      <c r="H36" s="422">
        <f>SUMIF(109:109,G36,110:110)-SUMIF(109:109,C36,110:110)+100</f>
        <v>100</v>
      </c>
      <c r="I36" s="3029" t="s">
        <v>3323</v>
      </c>
      <c r="J36" s="422">
        <f>SUMIF(109:109,I36,110:110)-SUMIF(109:109,C36,110:110)+100</f>
        <v>100</v>
      </c>
      <c r="K36" s="3038">
        <v>2</v>
      </c>
      <c r="L36" s="1118"/>
      <c r="M36" s="1109"/>
      <c r="N36" s="1109"/>
      <c r="O36" s="1109"/>
      <c r="P36" s="3351"/>
      <c r="Q36" s="1788" t="str">
        <f t="shared" si="11"/>
        <v>公共部分装修</v>
      </c>
      <c r="R36" s="759" t="s">
        <v>21</v>
      </c>
      <c r="S36" s="760">
        <f t="shared" si="12"/>
        <v>100</v>
      </c>
      <c r="T36" s="759" t="s">
        <v>21</v>
      </c>
      <c r="U36" s="760">
        <f t="shared" si="13"/>
        <v>100</v>
      </c>
      <c r="V36" s="759" t="s">
        <v>21</v>
      </c>
      <c r="W36" s="760">
        <f t="shared" si="14"/>
        <v>100</v>
      </c>
      <c r="X36" s="1791"/>
      <c r="Y36" s="3287"/>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351"/>
      <c r="Q37" s="1773" t="str">
        <f t="shared" si="11"/>
        <v>成新度</v>
      </c>
      <c r="R37" s="755" t="s">
        <v>21</v>
      </c>
      <c r="S37" s="756">
        <f t="shared" si="12"/>
        <v>100</v>
      </c>
      <c r="T37" s="755" t="s">
        <v>21</v>
      </c>
      <c r="U37" s="756">
        <f t="shared" si="13"/>
        <v>100</v>
      </c>
      <c r="V37" s="755" t="s">
        <v>21</v>
      </c>
      <c r="W37" s="756">
        <f t="shared" si="14"/>
        <v>100</v>
      </c>
      <c r="X37" s="757"/>
      <c r="Y37" s="3287"/>
      <c r="Z37" s="55" t="str">
        <f t="shared" si="18"/>
        <v>成新度</v>
      </c>
      <c r="AA37" s="758">
        <f t="shared" si="15"/>
        <v>1</v>
      </c>
      <c r="AB37" s="758">
        <f t="shared" si="16"/>
        <v>1</v>
      </c>
      <c r="AC37" s="758">
        <f t="shared" si="17"/>
        <v>1</v>
      </c>
    </row>
    <row r="38" spans="1:29" ht="15">
      <c r="A38" s="459"/>
      <c r="B38" s="409" t="s">
        <v>2561</v>
      </c>
      <c r="C38" s="3029" t="s">
        <v>3324</v>
      </c>
      <c r="D38" s="422">
        <v>100</v>
      </c>
      <c r="E38" s="3034" t="s">
        <v>3324</v>
      </c>
      <c r="F38" s="448">
        <f>SUMIF(114:114,E38,115:115)-SUMIF(114:114,C38,115:115)+100</f>
        <v>100</v>
      </c>
      <c r="G38" s="3029" t="s">
        <v>3324</v>
      </c>
      <c r="H38" s="422">
        <f>SUMIF(114:114,G38,115:115)-SUMIF(114:114,C38,115:115)+100</f>
        <v>100</v>
      </c>
      <c r="I38" s="3029" t="s">
        <v>3324</v>
      </c>
      <c r="J38" s="422">
        <f>SUMIF(114:114,I38,115:115)-SUMIF(114:114,C38,115:115)+100</f>
        <v>100</v>
      </c>
      <c r="K38" s="3038">
        <v>3</v>
      </c>
      <c r="L38" s="1118"/>
      <c r="M38" s="1109"/>
      <c r="N38" s="1109"/>
      <c r="O38" s="1109"/>
      <c r="P38" s="3351" t="s">
        <v>2555</v>
      </c>
      <c r="Q38" s="1788" t="str">
        <f t="shared" si="11"/>
        <v>物业管理</v>
      </c>
      <c r="R38" s="759" t="s">
        <v>21</v>
      </c>
      <c r="S38" s="760">
        <f t="shared" si="12"/>
        <v>100</v>
      </c>
      <c r="T38" s="759" t="s">
        <v>21</v>
      </c>
      <c r="U38" s="760">
        <f t="shared" si="13"/>
        <v>100</v>
      </c>
      <c r="V38" s="759" t="s">
        <v>21</v>
      </c>
      <c r="W38" s="760">
        <f t="shared" si="14"/>
        <v>100</v>
      </c>
      <c r="X38" s="1791"/>
      <c r="Y38" s="3287" t="s">
        <v>2555</v>
      </c>
      <c r="Z38" s="1792" t="str">
        <f t="shared" si="18"/>
        <v>物业管理</v>
      </c>
      <c r="AA38" s="1789">
        <f t="shared" si="15"/>
        <v>1</v>
      </c>
      <c r="AB38" s="1789">
        <f t="shared" si="16"/>
        <v>1</v>
      </c>
      <c r="AC38" s="1789">
        <f t="shared" si="17"/>
        <v>1</v>
      </c>
    </row>
    <row r="39" spans="1:29" ht="15">
      <c r="A39" s="459"/>
      <c r="B39" s="409" t="s">
        <v>2562</v>
      </c>
      <c r="C39" s="3029" t="s">
        <v>3303</v>
      </c>
      <c r="D39" s="422">
        <v>100</v>
      </c>
      <c r="E39" s="3029" t="s">
        <v>3303</v>
      </c>
      <c r="F39" s="448">
        <f>SUMIF(116:116,E39,117:117)-SUMIF(116:116,C39,117:117)+100</f>
        <v>100</v>
      </c>
      <c r="G39" s="3029" t="s">
        <v>3303</v>
      </c>
      <c r="H39" s="422">
        <f>SUMIF(116:116,G39,117:117)-SUMIF(116:116,C39,117:117)+100</f>
        <v>100</v>
      </c>
      <c r="I39" s="3029" t="s">
        <v>3303</v>
      </c>
      <c r="J39" s="422">
        <f>SUMIF(116:116,I39,117:117)-SUMIF(116:116,C39,117:117)+100</f>
        <v>100</v>
      </c>
      <c r="K39" s="3038">
        <v>2</v>
      </c>
      <c r="L39" s="1118"/>
      <c r="M39" s="1109"/>
      <c r="N39" s="1109"/>
      <c r="O39" s="1109"/>
      <c r="P39" s="3351"/>
      <c r="Q39" s="1788" t="str">
        <f t="shared" si="11"/>
        <v>市政基础设施</v>
      </c>
      <c r="R39" s="759" t="s">
        <v>21</v>
      </c>
      <c r="S39" s="760">
        <f t="shared" si="12"/>
        <v>100</v>
      </c>
      <c r="T39" s="759" t="s">
        <v>21</v>
      </c>
      <c r="U39" s="760">
        <f t="shared" si="13"/>
        <v>100</v>
      </c>
      <c r="V39" s="759" t="s">
        <v>21</v>
      </c>
      <c r="W39" s="760">
        <f t="shared" si="14"/>
        <v>100</v>
      </c>
      <c r="X39" s="1791"/>
      <c r="Y39" s="3287"/>
      <c r="Z39" s="1792" t="str">
        <f t="shared" si="18"/>
        <v>市政基础设施</v>
      </c>
      <c r="AA39" s="1789">
        <f t="shared" si="15"/>
        <v>1</v>
      </c>
      <c r="AB39" s="1789">
        <f t="shared" si="16"/>
        <v>1</v>
      </c>
      <c r="AC39" s="1789">
        <f t="shared" si="17"/>
        <v>1</v>
      </c>
    </row>
    <row r="40" spans="1:29" ht="15">
      <c r="A40" s="459"/>
      <c r="B40" s="409" t="s">
        <v>2563</v>
      </c>
      <c r="C40" s="3029" t="s">
        <v>3325</v>
      </c>
      <c r="D40" s="422">
        <v>100</v>
      </c>
      <c r="E40" s="3034" t="s">
        <v>3325</v>
      </c>
      <c r="F40" s="448">
        <f>SUMIF(118:118,E40,119:119)-SUMIF(118:118,C40,119:119)+100</f>
        <v>100</v>
      </c>
      <c r="G40" s="3029" t="s">
        <v>3325</v>
      </c>
      <c r="H40" s="422">
        <f>SUMIF(118:118,G40,119:119)-SUMIF(118:118,C40,119:119)+100</f>
        <v>100</v>
      </c>
      <c r="I40" s="3029" t="s">
        <v>3325</v>
      </c>
      <c r="J40" s="422">
        <f>SUMIF(118:118,I40,119:119)-SUMIF(118:118,C40,119:119)+100</f>
        <v>100</v>
      </c>
      <c r="K40" s="3038">
        <v>5</v>
      </c>
      <c r="L40" s="1118"/>
      <c r="M40" s="1109"/>
      <c r="N40" s="1109"/>
      <c r="O40" s="1109"/>
      <c r="P40" s="3351"/>
      <c r="Q40" s="1788" t="str">
        <f t="shared" si="11"/>
        <v>房型</v>
      </c>
      <c r="R40" s="759" t="s">
        <v>21</v>
      </c>
      <c r="S40" s="760">
        <f t="shared" si="12"/>
        <v>100</v>
      </c>
      <c r="T40" s="759" t="s">
        <v>21</v>
      </c>
      <c r="U40" s="760">
        <f t="shared" si="13"/>
        <v>100</v>
      </c>
      <c r="V40" s="759" t="s">
        <v>21</v>
      </c>
      <c r="W40" s="760">
        <f t="shared" si="14"/>
        <v>100</v>
      </c>
      <c r="X40" s="1791"/>
      <c r="Y40" s="3287"/>
      <c r="Z40" s="1792" t="str">
        <f t="shared" si="18"/>
        <v>房型</v>
      </c>
      <c r="AA40" s="1789">
        <f t="shared" si="15"/>
        <v>1</v>
      </c>
      <c r="AB40" s="1789">
        <f t="shared" si="16"/>
        <v>1</v>
      </c>
      <c r="AC40" s="1789">
        <f t="shared" si="17"/>
        <v>1</v>
      </c>
    </row>
    <row r="41" spans="1:29" s="458" customFormat="1" ht="28.5">
      <c r="A41" s="455"/>
      <c r="B41" s="409" t="s">
        <v>2564</v>
      </c>
      <c r="C41" s="3031" t="s">
        <v>3372</v>
      </c>
      <c r="D41" s="123">
        <v>100</v>
      </c>
      <c r="E41" s="3036" t="s">
        <v>3373</v>
      </c>
      <c r="F41" s="412">
        <f>SUMIF(120:120,E41,121:121)-SUMIF(120:120,C41,121:121)+100</f>
        <v>102.5</v>
      </c>
      <c r="G41" s="3036" t="s">
        <v>3374</v>
      </c>
      <c r="H41" s="123">
        <f>SUMIF(120:120,G41,121:121)-SUMIF(120:120,C41,121:121)+100</f>
        <v>102.5</v>
      </c>
      <c r="I41" s="3036" t="s">
        <v>3375</v>
      </c>
      <c r="J41" s="422">
        <f>SUMIF(120:120,I41,121:121)-SUMIF(120:120,C41,121:121)+100</f>
        <v>102.5</v>
      </c>
      <c r="K41" s="2570"/>
      <c r="L41" s="1116"/>
      <c r="M41" s="1119"/>
      <c r="N41" s="1119"/>
      <c r="O41" s="1119"/>
      <c r="P41" s="3351"/>
      <c r="Q41" s="761" t="str">
        <f t="shared" si="11"/>
        <v>单套/主力户型建筑面积</v>
      </c>
      <c r="R41" s="762" t="s">
        <v>21</v>
      </c>
      <c r="S41" s="763">
        <f t="shared" si="12"/>
        <v>102.5</v>
      </c>
      <c r="T41" s="762" t="s">
        <v>21</v>
      </c>
      <c r="U41" s="763">
        <f t="shared" si="13"/>
        <v>102.5</v>
      </c>
      <c r="V41" s="762" t="s">
        <v>21</v>
      </c>
      <c r="W41" s="763">
        <f t="shared" si="14"/>
        <v>102.5</v>
      </c>
      <c r="X41" s="764"/>
      <c r="Y41" s="3287"/>
      <c r="Z41" s="765" t="str">
        <f t="shared" si="18"/>
        <v>单套/主力户型建筑面积</v>
      </c>
      <c r="AA41" s="1789">
        <f t="shared" si="15"/>
        <v>0.97560975609756095</v>
      </c>
      <c r="AB41" s="1789">
        <f t="shared" si="16"/>
        <v>0.97560975609756095</v>
      </c>
      <c r="AC41" s="1789">
        <f t="shared" si="17"/>
        <v>0.97560975609756095</v>
      </c>
    </row>
    <row r="42" spans="1:29" ht="15">
      <c r="A42" s="459"/>
      <c r="B42" s="409" t="s">
        <v>2565</v>
      </c>
      <c r="C42" s="3029" t="s">
        <v>3326</v>
      </c>
      <c r="D42" s="422">
        <v>100</v>
      </c>
      <c r="E42" s="3034" t="s">
        <v>3326</v>
      </c>
      <c r="F42" s="448">
        <f>SUMIF(122:122,E42,123:123)-SUMIF(122:122,C42,123:123)+100</f>
        <v>100</v>
      </c>
      <c r="G42" s="3029" t="s">
        <v>3326</v>
      </c>
      <c r="H42" s="422">
        <f>SUMIF(122:122,G42,123:123)-SUMIF(122:122,C42,123:123)+100</f>
        <v>100</v>
      </c>
      <c r="I42" s="3029" t="s">
        <v>3326</v>
      </c>
      <c r="J42" s="422">
        <f>SUMIF(122:122,I42,123:123)-SUMIF(122:122,C42,123:123)+100</f>
        <v>100</v>
      </c>
      <c r="K42" s="413">
        <v>2</v>
      </c>
      <c r="L42" s="1118"/>
      <c r="M42" s="1109"/>
      <c r="N42" s="1109"/>
      <c r="O42" s="1109"/>
      <c r="P42" s="3351"/>
      <c r="Q42" s="1788" t="str">
        <f t="shared" si="11"/>
        <v>内部装修</v>
      </c>
      <c r="R42" s="759" t="s">
        <v>21</v>
      </c>
      <c r="S42" s="760">
        <f t="shared" si="12"/>
        <v>100</v>
      </c>
      <c r="T42" s="759" t="s">
        <v>21</v>
      </c>
      <c r="U42" s="760">
        <f t="shared" si="13"/>
        <v>100</v>
      </c>
      <c r="V42" s="759" t="s">
        <v>21</v>
      </c>
      <c r="W42" s="760">
        <f t="shared" si="14"/>
        <v>100</v>
      </c>
      <c r="X42" s="1791"/>
      <c r="Y42" s="3287"/>
      <c r="Z42" s="1792" t="str">
        <f t="shared" si="18"/>
        <v>内部装修</v>
      </c>
      <c r="AA42" s="1789">
        <f t="shared" si="15"/>
        <v>1</v>
      </c>
      <c r="AB42" s="1789">
        <f t="shared" si="16"/>
        <v>1</v>
      </c>
      <c r="AC42" s="1789">
        <f t="shared" si="17"/>
        <v>1</v>
      </c>
    </row>
    <row r="43" spans="1:29" ht="15">
      <c r="A43" s="459"/>
      <c r="B43" s="409" t="s">
        <v>2566</v>
      </c>
      <c r="C43" s="3029" t="s">
        <v>3327</v>
      </c>
      <c r="D43" s="422">
        <v>100</v>
      </c>
      <c r="E43" s="3034" t="s">
        <v>3327</v>
      </c>
      <c r="F43" s="448">
        <f>SUMIF(124:124,E43,125:125)-SUMIF(124:124,C43,125:125)+100</f>
        <v>100</v>
      </c>
      <c r="G43" s="3029" t="s">
        <v>3327</v>
      </c>
      <c r="H43" s="422">
        <f>SUMIF(124:124,G43,125:125)-SUMIF(124:124,C43,125:125)+100</f>
        <v>100</v>
      </c>
      <c r="I43" s="3029" t="s">
        <v>3327</v>
      </c>
      <c r="J43" s="422">
        <f>SUMIF(124:124,I43,125:125)-SUMIF(124:124,C43,125:125)+100</f>
        <v>100</v>
      </c>
      <c r="K43" s="413">
        <v>2</v>
      </c>
      <c r="L43" s="1118"/>
      <c r="M43" s="1109"/>
      <c r="N43" s="1109"/>
      <c r="O43" s="1109"/>
      <c r="P43" s="3351"/>
      <c r="Q43" s="1788" t="str">
        <f t="shared" si="11"/>
        <v>内部装修维护情况</v>
      </c>
      <c r="R43" s="759" t="s">
        <v>21</v>
      </c>
      <c r="S43" s="760">
        <f t="shared" si="12"/>
        <v>100</v>
      </c>
      <c r="T43" s="759" t="s">
        <v>21</v>
      </c>
      <c r="U43" s="760">
        <f t="shared" si="13"/>
        <v>100</v>
      </c>
      <c r="V43" s="759" t="s">
        <v>21</v>
      </c>
      <c r="W43" s="760">
        <f t="shared" si="14"/>
        <v>100</v>
      </c>
      <c r="X43" s="1791"/>
      <c r="Y43" s="3287"/>
      <c r="Z43" s="1792" t="str">
        <f t="shared" si="18"/>
        <v>内部装修维护情况</v>
      </c>
      <c r="AA43" s="1789">
        <f t="shared" si="15"/>
        <v>1</v>
      </c>
      <c r="AB43" s="1789">
        <f t="shared" si="16"/>
        <v>1</v>
      </c>
      <c r="AC43" s="1789">
        <f t="shared" si="17"/>
        <v>1</v>
      </c>
    </row>
    <row r="44" spans="1:29" s="112" customFormat="1" ht="15">
      <c r="A44" s="460"/>
      <c r="B44" s="3020" t="s">
        <v>3366</v>
      </c>
      <c r="C44" s="3057" t="s">
        <v>3367</v>
      </c>
      <c r="D44" s="123">
        <v>100</v>
      </c>
      <c r="E44" s="3057" t="s">
        <v>3368</v>
      </c>
      <c r="F44" s="412">
        <f>SUMIF(126:126,E44,127:127)-SUMIF(126:126,C44,127:127)+100</f>
        <v>105</v>
      </c>
      <c r="G44" s="3057" t="s">
        <v>3367</v>
      </c>
      <c r="H44" s="123">
        <f>SUMIF(126:126,G44,127:127)-SUMIF(126:126,C44,127:127)+100</f>
        <v>100</v>
      </c>
      <c r="I44" s="3057" t="s">
        <v>3367</v>
      </c>
      <c r="J44" s="123">
        <f>SUMIF(126:126,I44,127:127)-SUMIF(126:126,C44,127:127)+100</f>
        <v>100</v>
      </c>
      <c r="K44" s="2570"/>
      <c r="L44" s="1110"/>
      <c r="M44" s="1111"/>
      <c r="N44" s="1111"/>
      <c r="O44" s="1111"/>
      <c r="P44" s="3351"/>
      <c r="Q44" s="1773" t="str">
        <f t="shared" si="11"/>
        <v>状态</v>
      </c>
      <c r="R44" s="755" t="s">
        <v>21</v>
      </c>
      <c r="S44" s="756">
        <f t="shared" si="12"/>
        <v>105</v>
      </c>
      <c r="T44" s="755" t="s">
        <v>21</v>
      </c>
      <c r="U44" s="756">
        <f t="shared" si="13"/>
        <v>100</v>
      </c>
      <c r="V44" s="755" t="s">
        <v>21</v>
      </c>
      <c r="W44" s="756">
        <f t="shared" si="14"/>
        <v>100</v>
      </c>
      <c r="X44" s="757"/>
      <c r="Y44" s="3287"/>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51"/>
      <c r="Q45" s="1788">
        <f t="shared" si="11"/>
        <v>111</v>
      </c>
      <c r="R45" s="759" t="s">
        <v>21</v>
      </c>
      <c r="S45" s="760">
        <f t="shared" si="12"/>
        <v>100</v>
      </c>
      <c r="T45" s="759" t="s">
        <v>21</v>
      </c>
      <c r="U45" s="760">
        <f t="shared" si="13"/>
        <v>100</v>
      </c>
      <c r="V45" s="759" t="s">
        <v>21</v>
      </c>
      <c r="W45" s="760">
        <f t="shared" si="14"/>
        <v>100</v>
      </c>
      <c r="X45" s="1791"/>
      <c r="Y45" s="3287"/>
      <c r="Z45" s="1792">
        <f t="shared" si="18"/>
        <v>111</v>
      </c>
      <c r="AA45" s="1789">
        <f t="shared" si="15"/>
        <v>1</v>
      </c>
      <c r="AB45" s="1789">
        <f t="shared" si="16"/>
        <v>1</v>
      </c>
      <c r="AC45" s="1789">
        <f t="shared" si="17"/>
        <v>1</v>
      </c>
    </row>
    <row r="46" spans="1:29" ht="15.75"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52"/>
      <c r="Q46" s="1788">
        <f t="shared" si="11"/>
        <v>111</v>
      </c>
      <c r="R46" s="759" t="s">
        <v>20</v>
      </c>
      <c r="S46" s="760">
        <f t="shared" si="12"/>
        <v>100</v>
      </c>
      <c r="T46" s="759" t="s">
        <v>20</v>
      </c>
      <c r="U46" s="760">
        <f t="shared" si="13"/>
        <v>100</v>
      </c>
      <c r="V46" s="759" t="s">
        <v>20</v>
      </c>
      <c r="W46" s="760">
        <f t="shared" si="14"/>
        <v>100</v>
      </c>
      <c r="X46" s="1791"/>
      <c r="Y46" s="3353"/>
      <c r="Z46" s="1792">
        <f t="shared" si="18"/>
        <v>111</v>
      </c>
      <c r="AA46" s="1789">
        <f t="shared" si="15"/>
        <v>1</v>
      </c>
      <c r="AB46" s="1789">
        <f t="shared" si="16"/>
        <v>1</v>
      </c>
      <c r="AC46" s="1789">
        <f t="shared" si="17"/>
        <v>1</v>
      </c>
    </row>
    <row r="47" spans="1:29" ht="15">
      <c r="A47" s="466" t="s">
        <v>2567</v>
      </c>
      <c r="B47" s="467"/>
      <c r="C47" s="1385" t="s">
        <v>19</v>
      </c>
      <c r="D47" s="1386"/>
      <c r="E47" s="1387">
        <v>48153</v>
      </c>
      <c r="F47" s="1388"/>
      <c r="G47" s="1389">
        <v>47259</v>
      </c>
      <c r="H47" s="1390"/>
      <c r="I47" s="1387">
        <v>48342</v>
      </c>
      <c r="J47" s="1390"/>
      <c r="K47" s="2588"/>
      <c r="L47" s="1121"/>
      <c r="M47" s="1122"/>
      <c r="N47" s="1109"/>
      <c r="O47" s="1122"/>
      <c r="P47" s="3282" t="str">
        <f>A47</f>
        <v>成交单价（元/平方米）</v>
      </c>
      <c r="Q47" s="3282"/>
      <c r="R47" s="3349">
        <f>E47</f>
        <v>48153</v>
      </c>
      <c r="S47" s="3349"/>
      <c r="T47" s="3349">
        <f>G47</f>
        <v>47259</v>
      </c>
      <c r="U47" s="3349"/>
      <c r="V47" s="3349">
        <f>I47</f>
        <v>48342</v>
      </c>
      <c r="W47" s="3349"/>
      <c r="X47" s="744"/>
      <c r="Y47" s="766"/>
      <c r="Z47" s="744"/>
      <c r="AA47" s="744"/>
      <c r="AB47" s="744"/>
      <c r="AC47" s="744"/>
    </row>
    <row r="48" spans="1:29" ht="15.75" thickBot="1">
      <c r="A48" s="473" t="s">
        <v>2568</v>
      </c>
      <c r="B48" s="474"/>
      <c r="C48" s="1391">
        <f>R49</f>
        <v>46236</v>
      </c>
      <c r="D48" s="1392"/>
      <c r="E48" s="1393">
        <f>R48</f>
        <v>43947</v>
      </c>
      <c r="F48" s="1393"/>
      <c r="G48" s="1391">
        <f>T48</f>
        <v>47047</v>
      </c>
      <c r="H48" s="1392"/>
      <c r="I48" s="1393">
        <f>V48</f>
        <v>47715</v>
      </c>
      <c r="J48" s="1392"/>
      <c r="K48" s="2589"/>
      <c r="L48" s="1121"/>
      <c r="M48" s="1122"/>
      <c r="N48" s="1122"/>
      <c r="O48" s="1122"/>
      <c r="P48" s="3282" t="str">
        <f>A48</f>
        <v>比较价值（元/平方米）</v>
      </c>
      <c r="Q48" s="3282"/>
      <c r="R48" s="3349">
        <f>IF(F1="售价",ROUND(PRODUCT(R47,AA7:AA46),0),ROUND(PRODUCT(R47,AA7:AA46),1))</f>
        <v>43947</v>
      </c>
      <c r="S48" s="3349"/>
      <c r="T48" s="3349">
        <f>IF(F1="售价",ROUND(PRODUCT(T47,AB7:AB46),0),ROUND(PRODUCT(T47,AB7:AB46),1))</f>
        <v>47047</v>
      </c>
      <c r="U48" s="3349"/>
      <c r="V48" s="3349">
        <f>IF(F1="售价",ROUND(PRODUCT(V47,AC7:AC46),0),ROUND(PRODUCT(V47,AC7:AC46),1))</f>
        <v>47715</v>
      </c>
      <c r="W48" s="3349"/>
      <c r="X48" s="744"/>
      <c r="Y48" s="744"/>
      <c r="Z48" s="744"/>
      <c r="AA48" s="744"/>
      <c r="AB48" s="744"/>
      <c r="AC48" s="744"/>
    </row>
    <row r="49" spans="1:29" ht="15.75" thickBot="1">
      <c r="A49" s="479" t="s">
        <v>2569</v>
      </c>
      <c r="B49" s="480"/>
      <c r="C49" s="1394">
        <f>R49</f>
        <v>46236</v>
      </c>
      <c r="D49" s="1395"/>
      <c r="E49" s="1395"/>
      <c r="F49" s="1395"/>
      <c r="G49" s="1395"/>
      <c r="H49" s="1395"/>
      <c r="I49" s="1395"/>
      <c r="J49" s="1395"/>
      <c r="K49" s="2590"/>
      <c r="L49" s="1121"/>
      <c r="M49" s="1122"/>
      <c r="N49" s="1122"/>
      <c r="O49" s="1122"/>
      <c r="P49" s="3276" t="str">
        <f>A49</f>
        <v>估价对象XX用房的比较价值（楼面单价，元/平方米）</v>
      </c>
      <c r="Q49" s="3277"/>
      <c r="R49" s="3348">
        <f>IF(F1="售价",ROUND(AVERAGE(R48:V48),0),ROUND(AVERAGE(R48:V48),1))</f>
        <v>46236</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9.5706191548911246E-2</v>
      </c>
      <c r="F52" s="487" t="str">
        <f>IF(OR(E52&gt;=0.3,E52&lt;=-0.3),"超过30%","")</f>
        <v/>
      </c>
      <c r="G52" s="486">
        <f>IF(G47&lt;G48,G48/G47-1,G47/G48-1)</f>
        <v>4.5061321657067221E-3</v>
      </c>
      <c r="H52" s="487" t="str">
        <f>IF(OR(G52&gt;=0.3,G52&lt;=-0.3),"超过30%","")</f>
        <v/>
      </c>
      <c r="I52" s="486">
        <f>IF(I47&lt;I48,I48/I47-1,I47/I48-1)</f>
        <v>1.3140521848475251E-2</v>
      </c>
      <c r="J52" s="487" t="str">
        <f>IF(OR(I52&gt;=0.3,I52&lt;=-0.3),"超过30%","")</f>
        <v/>
      </c>
      <c r="K52" s="1083"/>
      <c r="L52" s="1084"/>
      <c r="M52" s="1122"/>
      <c r="N52" s="1122"/>
      <c r="O52" s="1122"/>
    </row>
    <row r="53" spans="1:29" ht="13.5" customHeight="1">
      <c r="A53" s="1122"/>
      <c r="B53" s="1122"/>
      <c r="C53" s="484" t="s">
        <v>2571</v>
      </c>
      <c r="D53" s="488"/>
      <c r="E53" s="486">
        <f>IF(E48&lt;G48,G48/E48-1,E48/G48-1)</f>
        <v>7.0539513504903617E-2</v>
      </c>
      <c r="F53" s="487" t="str">
        <f>IF(OR(E53&gt;=0.2,E53&lt;=-0.2),"超过20%","")</f>
        <v/>
      </c>
      <c r="G53" s="486">
        <f>IF(G48&lt;I48,I48/G48-1,G48/I48-1)</f>
        <v>1.4198567390056649E-2</v>
      </c>
      <c r="H53" s="487" t="str">
        <f>IF(OR(G53&gt;=0.2,G53&lt;=-0.2),"超过20%","")</f>
        <v/>
      </c>
      <c r="I53" s="486">
        <f>IF(I48&lt;E48,E48/I48-1,I48/E48-1)</f>
        <v>8.5739640931121519E-2</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1.8917031676506157E-2</v>
      </c>
      <c r="F54" s="487" t="str">
        <f>IF(OR(E54&gt;=0.3,E54&lt;=-0.3),"超过30%","")</f>
        <v/>
      </c>
      <c r="G54" s="486">
        <f>IF(G47&lt;I47,I47/G47-1,G47/I47-1)</f>
        <v>2.2916269916841259E-2</v>
      </c>
      <c r="H54" s="487" t="str">
        <f>IF(OR(G54&gt;=0.3,G54&lt;=-0.3),"超过30%","")</f>
        <v/>
      </c>
      <c r="I54" s="486">
        <f>IF(I47&lt;E47,E47/I47-1,I47/E47-1)</f>
        <v>3.9249890972525847E-3</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1.75" thickBot="1">
      <c r="A57" s="748" t="s">
        <v>2573</v>
      </c>
      <c r="B57" s="744"/>
      <c r="C57" s="749"/>
      <c r="D57" s="749"/>
      <c r="E57" s="749"/>
      <c r="F57" s="750"/>
      <c r="G57" s="750"/>
      <c r="H57" s="749"/>
      <c r="I57" s="749"/>
      <c r="J57" s="749"/>
      <c r="K57" s="1138"/>
      <c r="L57" s="1139"/>
      <c r="M57" s="1137"/>
      <c r="N57" s="1137"/>
      <c r="O57" s="1137"/>
      <c r="P57" s="2593"/>
      <c r="Q57" s="491"/>
    </row>
    <row r="58" spans="1:29" s="495" customFormat="1" ht="15">
      <c r="A58" s="492" t="s">
        <v>2574</v>
      </c>
      <c r="B58" s="493"/>
      <c r="C58" s="1554" t="str">
        <f>YEAR(C7)&amp;"-"&amp;MONTH(C7)</f>
        <v>2020-5</v>
      </c>
      <c r="D58" s="1553">
        <f>EDATE(C58,-1)</f>
        <v>43922</v>
      </c>
      <c r="E58" s="1553">
        <f>EDATE(D58,-1)</f>
        <v>43891</v>
      </c>
      <c r="F58" s="1553">
        <f t="shared" ref="F58:O58" si="19">EDATE(E58,-1)</f>
        <v>43862</v>
      </c>
      <c r="G58" s="1553">
        <f t="shared" si="19"/>
        <v>43831</v>
      </c>
      <c r="H58" s="1553">
        <f t="shared" si="19"/>
        <v>43800</v>
      </c>
      <c r="I58" s="1553">
        <f t="shared" si="19"/>
        <v>43770</v>
      </c>
      <c r="J58" s="1553">
        <f t="shared" si="19"/>
        <v>43739</v>
      </c>
      <c r="K58" s="1553">
        <f t="shared" si="19"/>
        <v>43709</v>
      </c>
      <c r="L58" s="1553">
        <f t="shared" si="19"/>
        <v>43678</v>
      </c>
      <c r="M58" s="1553">
        <f t="shared" si="19"/>
        <v>43647</v>
      </c>
      <c r="N58" s="1553">
        <f t="shared" si="19"/>
        <v>43617</v>
      </c>
      <c r="O58" s="1553">
        <f t="shared" si="19"/>
        <v>43586</v>
      </c>
      <c r="P58" s="1548"/>
    </row>
    <row r="59" spans="1:29" s="112" customFormat="1" ht="15">
      <c r="A59" s="496"/>
      <c r="B59" s="2594"/>
      <c r="C59" s="1551">
        <v>100</v>
      </c>
      <c r="D59" s="498">
        <v>100</v>
      </c>
      <c r="E59" s="499">
        <v>100</v>
      </c>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2576</v>
      </c>
      <c r="B61" s="497"/>
      <c r="C61" s="509" t="s">
        <v>2577</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t="str">
        <f>C9</f>
        <v>住宅</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7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ht="15">
      <c r="A68" s="521"/>
      <c r="B68" s="535"/>
      <c r="C68" s="3019">
        <v>0</v>
      </c>
      <c r="D68" s="3019">
        <v>1</v>
      </c>
      <c r="E68" s="3019">
        <v>2</v>
      </c>
      <c r="F68" s="3019">
        <v>3</v>
      </c>
      <c r="G68" s="3019">
        <v>4</v>
      </c>
      <c r="H68" s="536"/>
      <c r="I68" s="536"/>
      <c r="J68" s="536"/>
      <c r="K68" s="537"/>
      <c r="L68" s="538"/>
      <c r="M68" s="539"/>
      <c r="N68" s="1130"/>
      <c r="O68" s="1130"/>
      <c r="P68" s="2597"/>
      <c r="Q68" s="491"/>
    </row>
    <row r="69" spans="1:17" ht="15.75"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47"/>
      <c r="E73" s="547"/>
      <c r="F73" s="547"/>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7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5.75"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75" thickTop="1">
      <c r="A86" s="566"/>
      <c r="B86" s="525" t="s">
        <v>2600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75" thickTop="1">
      <c r="A88" s="566"/>
      <c r="B88" s="525" t="s">
        <v>2601</v>
      </c>
      <c r="C88" s="541"/>
      <c r="D88" s="541"/>
      <c r="E88" s="541"/>
      <c r="F88" s="2602"/>
      <c r="G88" s="541"/>
      <c r="H88" s="541"/>
      <c r="I88" s="541"/>
      <c r="J88" s="541"/>
      <c r="K88" s="541"/>
      <c r="L88" s="541"/>
      <c r="M88" s="568"/>
      <c r="N88" s="1129"/>
      <c r="O88" s="1129"/>
      <c r="P88" s="2597"/>
      <c r="Q88" s="491"/>
    </row>
    <row r="89" spans="1:17" s="112" customFormat="1" ht="15.75"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5.75" thickTop="1">
      <c r="A90" s="540"/>
      <c r="B90" s="525">
        <f>B27</f>
        <v>0</v>
      </c>
      <c r="C90" s="541"/>
      <c r="D90" s="541"/>
      <c r="E90" s="541"/>
      <c r="F90" s="541"/>
      <c r="G90" s="541"/>
      <c r="H90" s="542"/>
      <c r="I90" s="542"/>
      <c r="J90" s="542"/>
      <c r="K90" s="542"/>
      <c r="L90" s="543"/>
      <c r="M90" s="544"/>
      <c r="N90" s="1132"/>
      <c r="O90" s="1132"/>
      <c r="P90" s="2598"/>
      <c r="Q90" s="546"/>
    </row>
    <row r="91" spans="1:17" s="458" customFormat="1" ht="15.75" thickBot="1">
      <c r="A91" s="540"/>
      <c r="B91" s="530"/>
      <c r="C91" s="547"/>
      <c r="D91" s="547"/>
      <c r="E91" s="547"/>
      <c r="F91" s="547"/>
      <c r="G91" s="547"/>
      <c r="H91" s="549"/>
      <c r="I91" s="549"/>
      <c r="J91" s="549"/>
      <c r="K91" s="549"/>
      <c r="L91" s="549"/>
      <c r="M91" s="550"/>
      <c r="N91" s="1132"/>
      <c r="O91" s="1132"/>
      <c r="P91" s="2598"/>
      <c r="Q91" s="546"/>
    </row>
    <row r="92" spans="1:17" ht="15.75" thickTop="1">
      <c r="A92" s="521"/>
      <c r="B92" s="525">
        <f>B28</f>
        <v>0</v>
      </c>
      <c r="C92" s="541"/>
      <c r="D92" s="541"/>
      <c r="E92" s="541"/>
      <c r="F92" s="541"/>
      <c r="G92" s="570"/>
      <c r="H92" s="570"/>
      <c r="I92" s="570"/>
      <c r="J92" s="570"/>
      <c r="K92" s="571"/>
      <c r="L92" s="572"/>
      <c r="M92" s="573"/>
      <c r="N92" s="1130"/>
      <c r="O92" s="1130"/>
      <c r="P92" s="2597"/>
      <c r="Q92" s="491"/>
    </row>
    <row r="93" spans="1:17" ht="15.75" thickBot="1">
      <c r="A93" s="521"/>
      <c r="B93" s="530"/>
      <c r="C93" s="547"/>
      <c r="D93" s="523"/>
      <c r="E93" s="523"/>
      <c r="F93" s="523"/>
      <c r="G93" s="523"/>
      <c r="H93" s="523"/>
      <c r="I93" s="523"/>
      <c r="J93" s="523"/>
      <c r="K93" s="523"/>
      <c r="L93" s="523"/>
      <c r="M93" s="524"/>
      <c r="N93" s="1131"/>
      <c r="O93" s="1131"/>
      <c r="P93" s="2597"/>
      <c r="Q93" s="491"/>
    </row>
    <row r="94" spans="1:17" ht="15.75" thickTop="1">
      <c r="A94" s="521"/>
      <c r="B94" s="525">
        <f>B29</f>
        <v>0</v>
      </c>
      <c r="C94" s="541"/>
      <c r="D94" s="541"/>
      <c r="E94" s="541"/>
      <c r="F94" s="541"/>
      <c r="G94" s="570"/>
      <c r="H94" s="570"/>
      <c r="I94" s="570"/>
      <c r="J94" s="570"/>
      <c r="K94" s="571"/>
      <c r="L94" s="572"/>
      <c r="M94" s="573"/>
      <c r="N94" s="1130"/>
      <c r="O94" s="1130"/>
      <c r="P94" s="2597"/>
      <c r="Q94" s="491"/>
    </row>
    <row r="95" spans="1:17" ht="15.75" thickBot="1">
      <c r="A95" s="521"/>
      <c r="B95" s="530"/>
      <c r="C95" s="547"/>
      <c r="D95" s="547"/>
      <c r="E95" s="547"/>
      <c r="F95" s="547"/>
      <c r="G95" s="523"/>
      <c r="H95" s="523"/>
      <c r="I95" s="523"/>
      <c r="J95" s="523"/>
      <c r="K95" s="523"/>
      <c r="L95" s="523"/>
      <c r="M95" s="524"/>
      <c r="N95" s="1131"/>
      <c r="O95" s="1131"/>
      <c r="P95" s="2597"/>
      <c r="Q95" s="491"/>
    </row>
    <row r="96" spans="1:17" ht="15.75" thickTop="1">
      <c r="A96" s="521"/>
      <c r="B96" s="525">
        <f>B30</f>
        <v>0</v>
      </c>
      <c r="C96" s="541"/>
      <c r="D96" s="541"/>
      <c r="E96" s="541"/>
      <c r="F96" s="541"/>
      <c r="G96" s="570"/>
      <c r="H96" s="570"/>
      <c r="I96" s="570"/>
      <c r="J96" s="570"/>
      <c r="K96" s="571"/>
      <c r="L96" s="572"/>
      <c r="M96" s="573"/>
      <c r="N96" s="1130"/>
      <c r="O96" s="1130"/>
      <c r="P96" s="2597"/>
      <c r="Q96" s="491"/>
    </row>
    <row r="97" spans="1:17" ht="15.75" thickBot="1">
      <c r="A97" s="521"/>
      <c r="B97" s="530"/>
      <c r="C97" s="557"/>
      <c r="D97" s="557"/>
      <c r="E97" s="557"/>
      <c r="F97" s="557"/>
      <c r="G97" s="523"/>
      <c r="H97" s="523"/>
      <c r="I97" s="523"/>
      <c r="J97" s="523"/>
      <c r="K97" s="523"/>
      <c r="L97" s="523"/>
      <c r="M97" s="524"/>
      <c r="N97" s="1131"/>
      <c r="O97" s="1131"/>
      <c r="P97" s="2597"/>
      <c r="Q97" s="491"/>
    </row>
    <row r="98" spans="1:17" ht="15.75" thickTop="1">
      <c r="A98" s="521"/>
      <c r="B98" s="533">
        <f>B31</f>
        <v>0</v>
      </c>
      <c r="C98" s="574"/>
      <c r="D98" s="574"/>
      <c r="E98" s="574"/>
      <c r="F98" s="574"/>
      <c r="G98" s="574"/>
      <c r="H98" s="574"/>
      <c r="I98" s="574"/>
      <c r="J98" s="574"/>
      <c r="K98" s="575"/>
      <c r="L98" s="576"/>
      <c r="M98" s="577"/>
      <c r="N98" s="1130"/>
      <c r="O98" s="1130"/>
      <c r="P98" s="2597"/>
      <c r="Q98" s="491"/>
    </row>
    <row r="99" spans="1:17" ht="15.75" thickBot="1">
      <c r="A99" s="2603"/>
      <c r="B99" s="556"/>
      <c r="C99" s="578"/>
      <c r="D99" s="578"/>
      <c r="E99" s="578"/>
      <c r="F99" s="578"/>
      <c r="G99" s="578"/>
      <c r="H99" s="578"/>
      <c r="I99" s="578"/>
      <c r="J99" s="578"/>
      <c r="K99" s="578"/>
      <c r="L99" s="578"/>
      <c r="M99" s="579"/>
      <c r="N99" s="1131"/>
      <c r="O99" s="1131"/>
      <c r="P99" s="2597"/>
      <c r="Q99" s="491"/>
    </row>
    <row r="100" spans="1:17">
      <c r="A100" s="514" t="s">
        <v>2553</v>
      </c>
      <c r="B100" s="515" t="s">
        <v>2602</v>
      </c>
      <c r="C100" s="3021" t="s">
        <v>3308</v>
      </c>
      <c r="D100" s="3037" t="s">
        <v>3358</v>
      </c>
      <c r="E100" s="303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6">C101-$K32</f>
        <v>98</v>
      </c>
      <c r="E101" s="531">
        <f t="shared" si="26"/>
        <v>96</v>
      </c>
      <c r="F101" s="531">
        <f t="shared" si="26"/>
        <v>94</v>
      </c>
      <c r="G101" s="531">
        <f t="shared" si="26"/>
        <v>92</v>
      </c>
      <c r="H101" s="531">
        <f t="shared" si="26"/>
        <v>90</v>
      </c>
      <c r="I101" s="531">
        <f t="shared" si="26"/>
        <v>88</v>
      </c>
      <c r="J101" s="531">
        <f t="shared" si="26"/>
        <v>86</v>
      </c>
      <c r="K101" s="531">
        <f t="shared" si="26"/>
        <v>84</v>
      </c>
      <c r="L101" s="531">
        <f t="shared" si="26"/>
        <v>82</v>
      </c>
      <c r="M101" s="531">
        <f t="shared" si="26"/>
        <v>80</v>
      </c>
      <c r="N101" s="1131"/>
      <c r="O101" s="1131"/>
      <c r="P101" s="2597"/>
      <c r="Q101" s="491"/>
    </row>
    <row r="102" spans="1:17" ht="32.450000000000003"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5.75"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3309</v>
      </c>
      <c r="D105" s="3025" t="s">
        <v>3310</v>
      </c>
      <c r="E105" s="3026" t="s">
        <v>3311</v>
      </c>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3312</v>
      </c>
      <c r="D107" s="3026" t="s">
        <v>3313</v>
      </c>
      <c r="E107" s="570"/>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3314</v>
      </c>
      <c r="D109" s="3025" t="s">
        <v>3315</v>
      </c>
      <c r="E109" s="3025" t="s">
        <v>3316</v>
      </c>
      <c r="F109" s="3026" t="s">
        <v>3317</v>
      </c>
      <c r="G109" s="570"/>
      <c r="H109" s="570"/>
      <c r="I109" s="570"/>
      <c r="J109" s="570"/>
      <c r="K109" s="571"/>
      <c r="L109" s="572"/>
      <c r="M109" s="573"/>
      <c r="N109" s="1130"/>
      <c r="O109" s="1130"/>
      <c r="P109" s="2597"/>
      <c r="Q109" s="491"/>
    </row>
    <row r="110" spans="1:17" ht="15.75"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5.75"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3318</v>
      </c>
      <c r="D114" s="3025" t="s">
        <v>3319</v>
      </c>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3277</v>
      </c>
      <c r="D116" s="3025" t="s">
        <v>3278</v>
      </c>
      <c r="E116" s="3025" t="s">
        <v>3279</v>
      </c>
      <c r="F116" s="3025" t="s">
        <v>3280</v>
      </c>
      <c r="G116" s="3025" t="s">
        <v>3281</v>
      </c>
      <c r="H116" s="570"/>
      <c r="I116" s="570"/>
      <c r="J116" s="570"/>
      <c r="K116" s="571"/>
      <c r="L116" s="572"/>
      <c r="M116" s="573"/>
      <c r="N116" s="1130"/>
      <c r="O116" s="1130"/>
      <c r="P116" s="2597"/>
      <c r="Q116" s="491"/>
    </row>
    <row r="117" spans="1:17" ht="15.75"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3320</v>
      </c>
      <c r="D118" s="570"/>
      <c r="E118" s="570"/>
      <c r="F118" s="570"/>
      <c r="G118" s="570"/>
      <c r="H118" s="570"/>
      <c r="I118" s="570"/>
      <c r="J118" s="570"/>
      <c r="K118" s="571"/>
      <c r="L118" s="572"/>
      <c r="M118" s="573"/>
      <c r="N118" s="1130"/>
      <c r="O118" s="1130"/>
      <c r="P118" s="2597"/>
      <c r="Q118" s="491"/>
    </row>
    <row r="119" spans="1:17" ht="15.75"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8.5" thickTop="1">
      <c r="A120" s="580"/>
      <c r="B120" s="525" t="s">
        <v>2564</v>
      </c>
      <c r="C120" s="541" t="s">
        <v>3370</v>
      </c>
      <c r="D120" s="541" t="s">
        <v>3371</v>
      </c>
      <c r="E120" s="541"/>
      <c r="F120" s="541"/>
      <c r="G120" s="541"/>
      <c r="H120" s="541"/>
      <c r="I120" s="541"/>
      <c r="J120" s="541"/>
      <c r="K120" s="541"/>
      <c r="L120" s="567"/>
      <c r="M120" s="568"/>
      <c r="N120" s="1132"/>
      <c r="O120" s="1132"/>
      <c r="P120" s="2598"/>
      <c r="Q120" s="546"/>
    </row>
    <row r="121" spans="1:17" s="458" customFormat="1" ht="15.75" thickBot="1">
      <c r="A121" s="540"/>
      <c r="B121" s="522"/>
      <c r="C121" s="547">
        <v>100</v>
      </c>
      <c r="D121" s="523">
        <f>C121-2.5</f>
        <v>97.5</v>
      </c>
      <c r="E121" s="523"/>
      <c r="F121" s="523"/>
      <c r="G121" s="523"/>
      <c r="H121" s="523"/>
      <c r="I121" s="523"/>
      <c r="J121" s="523"/>
      <c r="K121" s="523"/>
      <c r="L121" s="523"/>
      <c r="M121" s="523"/>
      <c r="N121" s="1132"/>
      <c r="O121" s="1132"/>
      <c r="P121" s="2598"/>
      <c r="Q121" s="546"/>
    </row>
    <row r="122" spans="1:17" ht="15" thickTop="1">
      <c r="A122" s="586"/>
      <c r="B122" s="525" t="s">
        <v>2610</v>
      </c>
      <c r="C122" s="3025" t="s">
        <v>3314</v>
      </c>
      <c r="D122" s="3025" t="s">
        <v>3315</v>
      </c>
      <c r="E122" s="3025" t="s">
        <v>3316</v>
      </c>
      <c r="F122" s="3026" t="s">
        <v>3317</v>
      </c>
      <c r="G122" s="570"/>
      <c r="H122" s="570"/>
      <c r="I122" s="570"/>
      <c r="J122" s="570"/>
      <c r="K122" s="571"/>
      <c r="L122" s="572"/>
      <c r="M122" s="573"/>
      <c r="N122" s="1130"/>
      <c r="O122" s="1130"/>
      <c r="P122" s="2597"/>
      <c r="Q122" s="491"/>
    </row>
    <row r="123" spans="1:17" ht="15.75"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3368</v>
      </c>
      <c r="D126" s="3055" t="s">
        <v>3367</v>
      </c>
      <c r="E126" s="541"/>
      <c r="F126" s="541"/>
      <c r="G126" s="541"/>
      <c r="H126" s="542"/>
      <c r="I126" s="542"/>
      <c r="J126" s="542"/>
      <c r="K126" s="542"/>
      <c r="L126" s="543"/>
      <c r="M126" s="544"/>
      <c r="N126" s="1132"/>
      <c r="O126" s="1132"/>
      <c r="P126" s="2598"/>
      <c r="Q126" s="546"/>
    </row>
    <row r="127" spans="1:17" s="458" customFormat="1" ht="15.75" thickBot="1">
      <c r="A127" s="540"/>
      <c r="B127" s="530"/>
      <c r="C127" s="547">
        <v>100</v>
      </c>
      <c r="D127" s="523">
        <v>95</v>
      </c>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47"/>
      <c r="E129" s="547"/>
      <c r="F129" s="547"/>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5.75"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c r="B147" s="2604" t="s">
        <v>2630</v>
      </c>
    </row>
    <row r="148" spans="2:11">
      <c r="B148" s="260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88"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88"/>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88"/>
      <c r="AC6" s="3291"/>
    </row>
    <row r="7" spans="1:29" s="112" customFormat="1" ht="15.75" thickBot="1">
      <c r="A7" s="395" t="s">
        <v>2538</v>
      </c>
      <c r="B7" s="396"/>
      <c r="C7" s="397">
        <f>'数据-取费表'!B2</f>
        <v>43976</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6" si="3">D8/F8</f>
        <v>#DIV/0!</v>
      </c>
      <c r="AB8" s="758" t="e">
        <f t="shared" ref="AB8:AB46" si="4">D8/H8</f>
        <v>#DIV/0!</v>
      </c>
      <c r="AC8" s="758" t="e">
        <f t="shared" ref="AC8:AC46" si="5">D8/J8</f>
        <v>#DIV/0!</v>
      </c>
    </row>
    <row r="9" spans="1:29" s="112" customFormat="1">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71.25">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54" t="s">
        <v>2550</v>
      </c>
      <c r="Q15" s="1788" t="str">
        <f t="shared" si="6"/>
        <v>商业繁华度</v>
      </c>
      <c r="R15" s="759" t="s">
        <v>17</v>
      </c>
      <c r="S15" s="760">
        <f t="shared" si="0"/>
        <v>100</v>
      </c>
      <c r="T15" s="759" t="s">
        <v>17</v>
      </c>
      <c r="U15" s="760">
        <f t="shared" si="1"/>
        <v>100</v>
      </c>
      <c r="V15" s="759" t="s">
        <v>17</v>
      </c>
      <c r="W15" s="760">
        <f t="shared" si="2"/>
        <v>100</v>
      </c>
      <c r="X15" s="1791"/>
      <c r="Y15" s="3284"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1789">
        <v>1</v>
      </c>
    </row>
    <row r="17" spans="1:29" ht="11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1789">
        <v>1</v>
      </c>
    </row>
    <row r="19" spans="1:29" ht="71.25">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1789">
        <v>1</v>
      </c>
    </row>
    <row r="21" spans="1:29" ht="42.75">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355"/>
      <c r="Q22" s="1788"/>
      <c r="R22" s="759"/>
      <c r="S22" s="760"/>
      <c r="T22" s="759"/>
      <c r="U22" s="760"/>
      <c r="V22" s="759"/>
      <c r="W22" s="760"/>
      <c r="X22" s="1791"/>
      <c r="Y22" s="3285"/>
      <c r="Z22" s="1792"/>
      <c r="AA22" s="1789">
        <v>1</v>
      </c>
      <c r="AB22" s="1789">
        <v>1</v>
      </c>
      <c r="AC22" s="1789">
        <v>1</v>
      </c>
    </row>
    <row r="23" spans="1:29" ht="71.25">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55"/>
      <c r="Q23" s="1788" t="str">
        <f>B23</f>
        <v>自然及人文环境</v>
      </c>
      <c r="R23" s="759" t="s">
        <v>17</v>
      </c>
      <c r="S23" s="760">
        <f>F23</f>
        <v>100</v>
      </c>
      <c r="T23" s="759" t="s">
        <v>17</v>
      </c>
      <c r="U23" s="760">
        <f>H23</f>
        <v>100</v>
      </c>
      <c r="V23" s="759" t="s">
        <v>17</v>
      </c>
      <c r="W23" s="760">
        <f>J23</f>
        <v>100</v>
      </c>
      <c r="X23" s="1791"/>
      <c r="Y23" s="3285"/>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55"/>
      <c r="Q25" s="1788" t="str">
        <f t="shared" ref="Q25:Q46" si="11">B25</f>
        <v>临街状况</v>
      </c>
      <c r="R25" s="759" t="s">
        <v>17</v>
      </c>
      <c r="S25" s="760">
        <f>F25</f>
        <v>100</v>
      </c>
      <c r="T25" s="759" t="s">
        <v>17</v>
      </c>
      <c r="U25" s="760">
        <f>H25</f>
        <v>100</v>
      </c>
      <c r="V25" s="759" t="s">
        <v>17</v>
      </c>
      <c r="W25" s="760">
        <f>J25</f>
        <v>100</v>
      </c>
      <c r="X25" s="1791"/>
      <c r="Y25" s="3285"/>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55"/>
      <c r="Q26" s="1788" t="str">
        <f t="shared" si="11"/>
        <v>平面位置/可视性</v>
      </c>
      <c r="R26" s="759" t="s">
        <v>17</v>
      </c>
      <c r="S26" s="760">
        <f>F26</f>
        <v>100</v>
      </c>
      <c r="T26" s="759" t="s">
        <v>17</v>
      </c>
      <c r="U26" s="760">
        <f>H26</f>
        <v>100</v>
      </c>
      <c r="V26" s="759" t="s">
        <v>17</v>
      </c>
      <c r="W26" s="760">
        <f>J26</f>
        <v>100</v>
      </c>
      <c r="X26" s="1791"/>
      <c r="Y26" s="3285"/>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355"/>
      <c r="Q27" s="1773" t="str">
        <f t="shared" si="11"/>
        <v>人流量</v>
      </c>
      <c r="R27" s="755" t="s">
        <v>17</v>
      </c>
      <c r="S27" s="756">
        <f>F27</f>
        <v>100</v>
      </c>
      <c r="T27" s="755" t="s">
        <v>17</v>
      </c>
      <c r="U27" s="756">
        <f>H27</f>
        <v>100</v>
      </c>
      <c r="V27" s="755" t="s">
        <v>17</v>
      </c>
      <c r="W27" s="756">
        <f>J27</f>
        <v>100</v>
      </c>
      <c r="X27" s="757"/>
      <c r="Y27" s="3285"/>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55"/>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285"/>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55"/>
      <c r="Q29" s="1788">
        <f t="shared" si="11"/>
        <v>111</v>
      </c>
      <c r="R29" s="759" t="s">
        <v>17</v>
      </c>
      <c r="S29" s="760">
        <f t="shared" si="12"/>
        <v>100</v>
      </c>
      <c r="T29" s="759" t="s">
        <v>17</v>
      </c>
      <c r="U29" s="760">
        <f t="shared" si="13"/>
        <v>100</v>
      </c>
      <c r="V29" s="759" t="s">
        <v>17</v>
      </c>
      <c r="W29" s="760">
        <f t="shared" si="14"/>
        <v>100</v>
      </c>
      <c r="X29" s="1791"/>
      <c r="Y29" s="3285"/>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1789">
        <f t="shared" si="5"/>
        <v>1</v>
      </c>
    </row>
    <row r="31" spans="1:29" ht="15.75"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50" t="s">
        <v>2555</v>
      </c>
      <c r="Q32" s="1788" t="str">
        <f t="shared" si="11"/>
        <v>商业类型</v>
      </c>
      <c r="R32" s="759" t="s">
        <v>17</v>
      </c>
      <c r="S32" s="760">
        <f t="shared" si="12"/>
        <v>100</v>
      </c>
      <c r="T32" s="759" t="s">
        <v>17</v>
      </c>
      <c r="U32" s="760">
        <f t="shared" si="13"/>
        <v>100</v>
      </c>
      <c r="V32" s="759" t="s">
        <v>17</v>
      </c>
      <c r="W32" s="760">
        <f t="shared" si="14"/>
        <v>100</v>
      </c>
      <c r="X32" s="1791"/>
      <c r="Y32" s="3287"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51"/>
      <c r="Q33" s="761" t="str">
        <f t="shared" si="11"/>
        <v>项目建筑规模</v>
      </c>
      <c r="R33" s="762" t="s">
        <v>17</v>
      </c>
      <c r="S33" s="763" t="e">
        <f t="shared" si="12"/>
        <v>#N/A</v>
      </c>
      <c r="T33" s="762" t="s">
        <v>17</v>
      </c>
      <c r="U33" s="763" t="e">
        <f t="shared" si="13"/>
        <v>#N/A</v>
      </c>
      <c r="V33" s="762" t="s">
        <v>17</v>
      </c>
      <c r="W33" s="763" t="e">
        <f t="shared" si="14"/>
        <v>#N/A</v>
      </c>
      <c r="X33" s="764"/>
      <c r="Y33" s="3287"/>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51"/>
      <c r="Q34" s="1788" t="str">
        <f t="shared" si="11"/>
        <v>建筑结构</v>
      </c>
      <c r="R34" s="759" t="s">
        <v>17</v>
      </c>
      <c r="S34" s="760">
        <f t="shared" si="12"/>
        <v>100</v>
      </c>
      <c r="T34" s="759" t="s">
        <v>17</v>
      </c>
      <c r="U34" s="760">
        <f t="shared" si="13"/>
        <v>100</v>
      </c>
      <c r="V34" s="759" t="s">
        <v>17</v>
      </c>
      <c r="W34" s="760">
        <f t="shared" si="14"/>
        <v>100</v>
      </c>
      <c r="X34" s="1791"/>
      <c r="Y34" s="3287"/>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51"/>
      <c r="Q35" s="1788" t="str">
        <f t="shared" si="11"/>
        <v>公共部分装修</v>
      </c>
      <c r="R35" s="759" t="s">
        <v>17</v>
      </c>
      <c r="S35" s="760">
        <f t="shared" si="12"/>
        <v>100</v>
      </c>
      <c r="T35" s="759" t="s">
        <v>17</v>
      </c>
      <c r="U35" s="760">
        <f t="shared" si="13"/>
        <v>100</v>
      </c>
      <c r="V35" s="759" t="s">
        <v>17</v>
      </c>
      <c r="W35" s="760">
        <f t="shared" si="14"/>
        <v>100</v>
      </c>
      <c r="X35" s="1791"/>
      <c r="Y35" s="3287"/>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51"/>
      <c r="Q36" s="1788" t="str">
        <f t="shared" si="11"/>
        <v>成新度</v>
      </c>
      <c r="R36" s="759" t="s">
        <v>17</v>
      </c>
      <c r="S36" s="760" t="e">
        <f t="shared" si="12"/>
        <v>#N/A</v>
      </c>
      <c r="T36" s="759" t="s">
        <v>17</v>
      </c>
      <c r="U36" s="760" t="e">
        <f t="shared" si="13"/>
        <v>#N/A</v>
      </c>
      <c r="V36" s="759" t="s">
        <v>17</v>
      </c>
      <c r="W36" s="760" t="e">
        <f t="shared" si="14"/>
        <v>#N/A</v>
      </c>
      <c r="X36" s="1791"/>
      <c r="Y36" s="3287"/>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51"/>
      <c r="Q37" s="1773" t="str">
        <f t="shared" si="11"/>
        <v>市政基础设施</v>
      </c>
      <c r="R37" s="755" t="s">
        <v>17</v>
      </c>
      <c r="S37" s="756">
        <f t="shared" si="12"/>
        <v>100</v>
      </c>
      <c r="T37" s="755" t="s">
        <v>17</v>
      </c>
      <c r="U37" s="756">
        <f t="shared" si="13"/>
        <v>100</v>
      </c>
      <c r="V37" s="755" t="s">
        <v>17</v>
      </c>
      <c r="W37" s="756">
        <f t="shared" si="14"/>
        <v>100</v>
      </c>
      <c r="X37" s="757"/>
      <c r="Y37" s="3287"/>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51" t="s">
        <v>2555</v>
      </c>
      <c r="Q38" s="1788" t="str">
        <f t="shared" si="11"/>
        <v>业态</v>
      </c>
      <c r="R38" s="759" t="s">
        <v>17</v>
      </c>
      <c r="S38" s="760">
        <f t="shared" si="12"/>
        <v>100</v>
      </c>
      <c r="T38" s="759" t="s">
        <v>17</v>
      </c>
      <c r="U38" s="760">
        <f t="shared" si="13"/>
        <v>100</v>
      </c>
      <c r="V38" s="759" t="s">
        <v>17</v>
      </c>
      <c r="W38" s="760">
        <f t="shared" si="14"/>
        <v>100</v>
      </c>
      <c r="X38" s="1791"/>
      <c r="Y38" s="3287"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51"/>
      <c r="Q39" s="1788" t="str">
        <f t="shared" si="11"/>
        <v>层高</v>
      </c>
      <c r="R39" s="759" t="s">
        <v>17</v>
      </c>
      <c r="S39" s="760">
        <f t="shared" si="12"/>
        <v>100</v>
      </c>
      <c r="T39" s="759" t="s">
        <v>17</v>
      </c>
      <c r="U39" s="760">
        <f t="shared" si="13"/>
        <v>100</v>
      </c>
      <c r="V39" s="759" t="s">
        <v>17</v>
      </c>
      <c r="W39" s="760">
        <f t="shared" si="14"/>
        <v>100</v>
      </c>
      <c r="X39" s="1791"/>
      <c r="Y39" s="3287"/>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51"/>
      <c r="Q40" s="1788" t="str">
        <f t="shared" si="11"/>
        <v>单套建筑面积</v>
      </c>
      <c r="R40" s="759" t="s">
        <v>17</v>
      </c>
      <c r="S40" s="760">
        <f t="shared" si="12"/>
        <v>100</v>
      </c>
      <c r="T40" s="759" t="s">
        <v>17</v>
      </c>
      <c r="U40" s="760">
        <f t="shared" si="13"/>
        <v>100</v>
      </c>
      <c r="V40" s="759" t="s">
        <v>17</v>
      </c>
      <c r="W40" s="760">
        <f t="shared" si="14"/>
        <v>100</v>
      </c>
      <c r="X40" s="1791"/>
      <c r="Y40" s="3287"/>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51"/>
      <c r="Q41" s="761" t="str">
        <f t="shared" si="11"/>
        <v>进深比</v>
      </c>
      <c r="R41" s="762" t="s">
        <v>17</v>
      </c>
      <c r="S41" s="763">
        <f t="shared" si="12"/>
        <v>100</v>
      </c>
      <c r="T41" s="762" t="s">
        <v>17</v>
      </c>
      <c r="U41" s="763">
        <f t="shared" si="13"/>
        <v>100</v>
      </c>
      <c r="V41" s="762" t="s">
        <v>17</v>
      </c>
      <c r="W41" s="763">
        <f t="shared" si="14"/>
        <v>100</v>
      </c>
      <c r="X41" s="764"/>
      <c r="Y41" s="3287"/>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51"/>
      <c r="Q42" s="1788" t="str">
        <f t="shared" si="11"/>
        <v>内部装修</v>
      </c>
      <c r="R42" s="759" t="s">
        <v>17</v>
      </c>
      <c r="S42" s="760">
        <f t="shared" si="12"/>
        <v>100</v>
      </c>
      <c r="T42" s="759" t="s">
        <v>17</v>
      </c>
      <c r="U42" s="760">
        <f t="shared" si="13"/>
        <v>100</v>
      </c>
      <c r="V42" s="759" t="s">
        <v>17</v>
      </c>
      <c r="W42" s="760">
        <f t="shared" si="14"/>
        <v>100</v>
      </c>
      <c r="X42" s="1791"/>
      <c r="Y42" s="3287"/>
      <c r="Z42" s="1792" t="str">
        <f t="shared" si="15"/>
        <v>内部装修</v>
      </c>
      <c r="AA42" s="1789">
        <f t="shared" si="3"/>
        <v>1</v>
      </c>
      <c r="AB42" s="1789">
        <f t="shared" si="4"/>
        <v>1</v>
      </c>
      <c r="AC42" s="1789">
        <f t="shared" si="5"/>
        <v>1</v>
      </c>
    </row>
    <row r="43" spans="1:29" ht="15">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51"/>
      <c r="Q43" s="1788" t="str">
        <f t="shared" si="11"/>
        <v>内部装修维护情况</v>
      </c>
      <c r="R43" s="759" t="s">
        <v>17</v>
      </c>
      <c r="S43" s="760">
        <f t="shared" si="12"/>
        <v>100</v>
      </c>
      <c r="T43" s="759" t="s">
        <v>17</v>
      </c>
      <c r="U43" s="760">
        <f t="shared" si="13"/>
        <v>100</v>
      </c>
      <c r="V43" s="759" t="s">
        <v>17</v>
      </c>
      <c r="W43" s="760">
        <f t="shared" si="14"/>
        <v>100</v>
      </c>
      <c r="X43" s="1791"/>
      <c r="Y43" s="3287"/>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51"/>
      <c r="Q44" s="1773">
        <f t="shared" si="11"/>
        <v>111</v>
      </c>
      <c r="R44" s="755" t="s">
        <v>17</v>
      </c>
      <c r="S44" s="756">
        <f t="shared" si="12"/>
        <v>100</v>
      </c>
      <c r="T44" s="755" t="s">
        <v>17</v>
      </c>
      <c r="U44" s="756">
        <f t="shared" si="13"/>
        <v>100</v>
      </c>
      <c r="V44" s="755" t="s">
        <v>17</v>
      </c>
      <c r="W44" s="756">
        <f t="shared" si="14"/>
        <v>100</v>
      </c>
      <c r="X44" s="757"/>
      <c r="Y44" s="3287"/>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51"/>
      <c r="Q45" s="1788">
        <f t="shared" si="11"/>
        <v>111</v>
      </c>
      <c r="R45" s="759" t="s">
        <v>17</v>
      </c>
      <c r="S45" s="760">
        <f t="shared" si="12"/>
        <v>100</v>
      </c>
      <c r="T45" s="759" t="s">
        <v>17</v>
      </c>
      <c r="U45" s="760">
        <f t="shared" si="13"/>
        <v>100</v>
      </c>
      <c r="V45" s="759" t="s">
        <v>17</v>
      </c>
      <c r="W45" s="760">
        <f t="shared" si="14"/>
        <v>100</v>
      </c>
      <c r="X45" s="1791"/>
      <c r="Y45" s="3287"/>
      <c r="Z45" s="1792">
        <f t="shared" si="15"/>
        <v>111</v>
      </c>
      <c r="AA45" s="1789">
        <f t="shared" si="3"/>
        <v>1</v>
      </c>
      <c r="AB45" s="1789">
        <f t="shared" si="4"/>
        <v>1</v>
      </c>
      <c r="AC45" s="1789">
        <f t="shared" si="5"/>
        <v>1</v>
      </c>
    </row>
    <row r="46" spans="1:29" ht="15.75"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52"/>
      <c r="Q46" s="1788">
        <f t="shared" si="11"/>
        <v>111</v>
      </c>
      <c r="R46" s="759" t="s">
        <v>17</v>
      </c>
      <c r="S46" s="760">
        <f t="shared" si="12"/>
        <v>100</v>
      </c>
      <c r="T46" s="759" t="s">
        <v>17</v>
      </c>
      <c r="U46" s="760">
        <f t="shared" si="13"/>
        <v>100</v>
      </c>
      <c r="V46" s="759" t="s">
        <v>17</v>
      </c>
      <c r="W46" s="760">
        <f t="shared" si="14"/>
        <v>100</v>
      </c>
      <c r="X46" s="1791"/>
      <c r="Y46" s="3353"/>
      <c r="Z46" s="1792">
        <f t="shared" si="15"/>
        <v>111</v>
      </c>
      <c r="AA46" s="1789">
        <f t="shared" si="3"/>
        <v>1</v>
      </c>
      <c r="AB46" s="1789">
        <f t="shared" si="4"/>
        <v>1</v>
      </c>
      <c r="AC46" s="1789">
        <f t="shared" si="5"/>
        <v>1</v>
      </c>
    </row>
    <row r="47" spans="1:29" ht="15">
      <c r="A47" s="466" t="s">
        <v>2567</v>
      </c>
      <c r="B47" s="467"/>
      <c r="C47" s="1385" t="s">
        <v>1</v>
      </c>
      <c r="D47" s="1386"/>
      <c r="E47" s="1387"/>
      <c r="F47" s="1388"/>
      <c r="G47" s="1389"/>
      <c r="H47" s="1390"/>
      <c r="I47" s="1387"/>
      <c r="J47" s="1390"/>
      <c r="K47" s="768"/>
      <c r="L47" s="1121"/>
      <c r="M47" s="1122"/>
      <c r="N47" s="1109"/>
      <c r="O47" s="1122"/>
      <c r="P47" s="3282" t="str">
        <f>A47</f>
        <v>成交单价（元/平方米）</v>
      </c>
      <c r="Q47" s="3282"/>
      <c r="R47" s="3288">
        <f>E47</f>
        <v>0</v>
      </c>
      <c r="S47" s="3288"/>
      <c r="T47" s="3288">
        <f>G47</f>
        <v>0</v>
      </c>
      <c r="U47" s="3288"/>
      <c r="V47" s="3288">
        <f>I47</f>
        <v>0</v>
      </c>
      <c r="W47" s="3288"/>
      <c r="X47" s="744"/>
      <c r="Y47" s="766"/>
      <c r="Z47" s="744"/>
      <c r="AA47" s="744"/>
      <c r="AB47" s="744"/>
      <c r="AC47" s="744"/>
    </row>
    <row r="48" spans="1:29" ht="15.7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282" t="str">
        <f>A48</f>
        <v>比较价值（元/平方米）</v>
      </c>
      <c r="Q48" s="328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44"/>
      <c r="Y48" s="744"/>
      <c r="Z48" s="744"/>
      <c r="AA48" s="744"/>
      <c r="AB48" s="744"/>
      <c r="AC48" s="744"/>
    </row>
    <row r="49" spans="1:29" ht="15.75" thickBot="1">
      <c r="A49" s="479" t="s">
        <v>2660</v>
      </c>
      <c r="B49" s="480"/>
      <c r="C49" s="1395" t="e">
        <f>R49</f>
        <v>#DIV/0!</v>
      </c>
      <c r="D49" s="1395"/>
      <c r="E49" s="1395"/>
      <c r="F49" s="1395"/>
      <c r="G49" s="1395"/>
      <c r="H49" s="1395"/>
      <c r="I49" s="1395"/>
      <c r="J49" s="1395"/>
      <c r="K49" s="770"/>
      <c r="L49" s="1121"/>
      <c r="M49" s="1122"/>
      <c r="N49" s="1109"/>
      <c r="O49" s="1122"/>
      <c r="P49" s="3276" t="str">
        <f>A49</f>
        <v>估价对象XX用房的比较价值（楼面单价，元/平方米）</v>
      </c>
      <c r="Q49" s="3277"/>
      <c r="R49" s="3348" t="e">
        <f>IF(F1="售价",ROUND(AVERAGE(R48:V48),0),ROUND(AVERAGE(R48:V48),1))</f>
        <v>#DIV/0!</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1.75"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5">
      <c r="A58" s="492" t="s">
        <v>2538</v>
      </c>
      <c r="B58" s="493"/>
      <c r="C58" s="1552" t="str">
        <f>YEAR(C7)&amp;"-"&amp;MONTH(C7)</f>
        <v>2020-5</v>
      </c>
      <c r="D58" s="1553">
        <f>EDATE(C58,-1)</f>
        <v>43922</v>
      </c>
      <c r="E58" s="1553">
        <f t="shared" ref="E58:N58" si="16">EDATE(D58,-1)</f>
        <v>43891</v>
      </c>
      <c r="F58" s="1553">
        <f t="shared" si="16"/>
        <v>43862</v>
      </c>
      <c r="G58" s="1553">
        <f t="shared" si="16"/>
        <v>43831</v>
      </c>
      <c r="H58" s="1553">
        <f t="shared" si="16"/>
        <v>43800</v>
      </c>
      <c r="I58" s="1553">
        <f t="shared" si="16"/>
        <v>43770</v>
      </c>
      <c r="J58" s="1553">
        <f t="shared" si="16"/>
        <v>43739</v>
      </c>
      <c r="K58" s="1553">
        <f t="shared" si="16"/>
        <v>43709</v>
      </c>
      <c r="L58" s="1553">
        <f t="shared" si="16"/>
        <v>43678</v>
      </c>
      <c r="M58" s="1553">
        <f t="shared" si="16"/>
        <v>43647</v>
      </c>
      <c r="N58" s="1553">
        <f t="shared" si="16"/>
        <v>43617</v>
      </c>
      <c r="O58" s="1553">
        <f>EDATE(N58,-1)</f>
        <v>43586</v>
      </c>
      <c r="P58" s="1548"/>
    </row>
    <row r="59" spans="1:29" s="112" customFormat="1" ht="15">
      <c r="A59" s="496"/>
      <c r="B59" s="497"/>
      <c r="C59" s="1551">
        <v>100</v>
      </c>
      <c r="D59" s="499"/>
      <c r="E59" s="499"/>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2540</v>
      </c>
      <c r="B61" s="497"/>
      <c r="C61" s="509" t="s">
        <v>2642</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f>C9</f>
        <v>0</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7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ht="15">
      <c r="A68" s="521"/>
      <c r="B68" s="535"/>
      <c r="C68" s="536"/>
      <c r="D68" s="536"/>
      <c r="E68" s="536"/>
      <c r="F68" s="536"/>
      <c r="G68" s="536"/>
      <c r="H68" s="536"/>
      <c r="I68" s="536"/>
      <c r="J68" s="536"/>
      <c r="K68" s="537"/>
      <c r="L68" s="538"/>
      <c r="M68" s="539"/>
      <c r="N68" s="1130"/>
      <c r="O68" s="1130"/>
      <c r="P68" s="2597"/>
      <c r="Q68" s="491"/>
    </row>
    <row r="69" spans="1:17" ht="15.75"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23"/>
      <c r="E73" s="523"/>
      <c r="F73" s="523"/>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7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5.75"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75" thickTop="1">
      <c r="A86" s="566"/>
      <c r="B86" s="525" t="s">
        <v>2670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5.75"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5.75" thickBot="1">
      <c r="A89" s="566"/>
      <c r="B89" s="530"/>
      <c r="C89" s="547"/>
      <c r="D89" s="523"/>
      <c r="E89" s="523"/>
      <c r="F89" s="523"/>
      <c r="G89" s="523"/>
      <c r="H89" s="523"/>
      <c r="I89" s="523"/>
      <c r="J89" s="523"/>
      <c r="K89" s="523"/>
      <c r="L89" s="523"/>
      <c r="M89" s="523"/>
      <c r="N89" s="1131"/>
      <c r="O89" s="1131"/>
      <c r="P89" s="2597"/>
      <c r="Q89" s="491"/>
    </row>
    <row r="90" spans="1:17" s="458" customFormat="1" ht="15.75"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5.75"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5.75" thickTop="1">
      <c r="A92" s="521"/>
      <c r="B92" s="525" t="str">
        <f>B28</f>
        <v>楼层</v>
      </c>
      <c r="C92" s="541"/>
      <c r="D92" s="541"/>
      <c r="E92" s="541"/>
      <c r="F92" s="541"/>
      <c r="G92" s="541"/>
      <c r="H92" s="541"/>
      <c r="I92" s="541"/>
      <c r="J92" s="541"/>
      <c r="K92" s="541"/>
      <c r="L92" s="567"/>
      <c r="M92" s="568"/>
      <c r="N92" s="1130"/>
      <c r="O92" s="1130"/>
      <c r="P92" s="2597"/>
      <c r="Q92" s="491"/>
    </row>
    <row r="93" spans="1:17" ht="15.75" thickBot="1">
      <c r="A93" s="521"/>
      <c r="B93" s="530"/>
      <c r="C93" s="523"/>
      <c r="D93" s="523"/>
      <c r="E93" s="523"/>
      <c r="F93" s="523"/>
      <c r="G93" s="523"/>
      <c r="H93" s="523"/>
      <c r="I93" s="523"/>
      <c r="J93" s="523"/>
      <c r="K93" s="523"/>
      <c r="L93" s="523"/>
      <c r="M93" s="524"/>
      <c r="N93" s="1131"/>
      <c r="O93" s="1131"/>
      <c r="P93" s="2597"/>
      <c r="Q93" s="491"/>
    </row>
    <row r="94" spans="1:17" ht="15.75" thickTop="1">
      <c r="A94" s="521"/>
      <c r="B94" s="525">
        <f>B29</f>
        <v>111</v>
      </c>
      <c r="C94" s="541"/>
      <c r="D94" s="541"/>
      <c r="E94" s="541"/>
      <c r="F94" s="541"/>
      <c r="G94" s="570"/>
      <c r="H94" s="570"/>
      <c r="I94" s="570"/>
      <c r="J94" s="570"/>
      <c r="K94" s="571"/>
      <c r="L94" s="572"/>
      <c r="M94" s="573"/>
      <c r="N94" s="1130"/>
      <c r="O94" s="1130"/>
      <c r="P94" s="2597"/>
      <c r="Q94" s="491"/>
    </row>
    <row r="95" spans="1:17" ht="15.75" thickBot="1">
      <c r="A95" s="521"/>
      <c r="B95" s="530"/>
      <c r="C95" s="547"/>
      <c r="D95" s="523"/>
      <c r="E95" s="523"/>
      <c r="F95" s="523"/>
      <c r="G95" s="523"/>
      <c r="H95" s="523"/>
      <c r="I95" s="523"/>
      <c r="J95" s="523"/>
      <c r="K95" s="523"/>
      <c r="L95" s="523"/>
      <c r="M95" s="524"/>
      <c r="N95" s="1131"/>
      <c r="O95" s="1131"/>
      <c r="P95" s="2597"/>
      <c r="Q95" s="491"/>
    </row>
    <row r="96" spans="1:17" ht="15.75" thickTop="1">
      <c r="A96" s="521"/>
      <c r="B96" s="525">
        <f>B30</f>
        <v>111</v>
      </c>
      <c r="C96" s="541"/>
      <c r="D96" s="541"/>
      <c r="E96" s="541"/>
      <c r="F96" s="541"/>
      <c r="G96" s="570"/>
      <c r="H96" s="570"/>
      <c r="I96" s="570"/>
      <c r="J96" s="570"/>
      <c r="K96" s="571"/>
      <c r="L96" s="572"/>
      <c r="M96" s="573"/>
      <c r="N96" s="1130"/>
      <c r="O96" s="1130"/>
      <c r="P96" s="2597"/>
      <c r="Q96" s="491"/>
    </row>
    <row r="97" spans="1:17" ht="15.75" thickBot="1">
      <c r="A97" s="521"/>
      <c r="B97" s="530"/>
      <c r="C97" s="547"/>
      <c r="D97" s="523"/>
      <c r="E97" s="523"/>
      <c r="F97" s="523"/>
      <c r="G97" s="523"/>
      <c r="H97" s="523"/>
      <c r="I97" s="523"/>
      <c r="J97" s="523"/>
      <c r="K97" s="523"/>
      <c r="L97" s="523"/>
      <c r="M97" s="524"/>
      <c r="N97" s="1131"/>
      <c r="O97" s="1131"/>
      <c r="P97" s="2597"/>
      <c r="Q97" s="491"/>
    </row>
    <row r="98" spans="1:17" ht="15.75" thickTop="1">
      <c r="A98" s="521"/>
      <c r="B98" s="533">
        <f>B31</f>
        <v>111</v>
      </c>
      <c r="C98" s="541"/>
      <c r="D98" s="541"/>
      <c r="E98" s="541"/>
      <c r="F98" s="541"/>
      <c r="G98" s="574"/>
      <c r="H98" s="574"/>
      <c r="I98" s="574"/>
      <c r="J98" s="574"/>
      <c r="K98" s="575"/>
      <c r="L98" s="576"/>
      <c r="M98" s="577"/>
      <c r="N98" s="1130"/>
      <c r="O98" s="1130"/>
      <c r="P98" s="2597"/>
      <c r="Q98" s="491"/>
    </row>
    <row r="99" spans="1:17" ht="15.75" thickBot="1">
      <c r="A99" s="2603"/>
      <c r="B99" s="556"/>
      <c r="C99" s="557"/>
      <c r="D99" s="557"/>
      <c r="E99" s="557"/>
      <c r="F99" s="557"/>
      <c r="G99" s="578"/>
      <c r="H99" s="578"/>
      <c r="I99" s="578"/>
      <c r="J99" s="578"/>
      <c r="K99" s="578"/>
      <c r="L99" s="578"/>
      <c r="M99" s="579"/>
      <c r="N99" s="1131"/>
      <c r="O99" s="1131"/>
      <c r="P99" s="2597"/>
      <c r="Q99" s="491"/>
    </row>
    <row r="100" spans="1:17">
      <c r="A100" s="514" t="s">
        <v>2553</v>
      </c>
      <c r="B100" s="515" t="s">
        <v>2671</v>
      </c>
      <c r="C100" s="517"/>
      <c r="D100" s="517"/>
      <c r="E100" s="51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7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5.75"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5.75"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5.75"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5.75"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5.75"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5.75"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5.75"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23"/>
      <c r="E129" s="523"/>
      <c r="F129" s="523"/>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2" customWidth="1"/>
    <col min="2" max="16384" width="9" style="1922"/>
  </cols>
  <sheetData>
    <row r="1" spans="1:1" ht="23.25">
      <c r="A1" s="1921" t="s">
        <v>1605</v>
      </c>
    </row>
    <row r="2" spans="1:1">
      <c r="A2" s="1923"/>
    </row>
    <row r="3" spans="1:1" ht="18">
      <c r="A3" s="1924" t="str">
        <f>项目基本情况!B5&amp;"："</f>
        <v>北京京投灜德置业有限公司：</v>
      </c>
    </row>
    <row r="4" spans="1:1" ht="36">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8.75">
      <c r="A5" s="1926" t="s">
        <v>1606</v>
      </c>
    </row>
    <row r="6" spans="1:1" ht="18.75">
      <c r="A6" s="1927" t="s">
        <v>1607</v>
      </c>
    </row>
    <row r="7" spans="1:1" ht="72">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1" ht="57.75">
      <c r="A8" s="1928" t="s">
        <v>1608</v>
      </c>
    </row>
    <row r="9" spans="1:1" ht="18.75">
      <c r="A9" s="1927" t="s">
        <v>1609</v>
      </c>
    </row>
    <row r="10" spans="1:1" ht="72">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1" spans="1:1" ht="76.5">
      <c r="A11" s="1928" t="s">
        <v>1610</v>
      </c>
    </row>
    <row r="12" spans="1:1" ht="18.75">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30" t="s">
        <v>1612</v>
      </c>
    </row>
    <row r="15" spans="1:1" ht="18">
      <c r="A15" s="1931" t="str">
        <f>TEXT(项目基本情况!D3,"yyyy年m月d日;;")&amp;IF(项目基本情况!D3=项目基本情况!B3,"（评估专业人员实地查勘之日）","")</f>
        <v>2020年5月25日（评估专业人员实地查勘之日）</v>
      </c>
    </row>
    <row r="16" spans="1:1" ht="18.75">
      <c r="A16" s="1930" t="s">
        <v>1613</v>
      </c>
    </row>
    <row r="17" spans="1:1" ht="75">
      <c r="A17" s="1925" t="s">
        <v>1614</v>
      </c>
    </row>
    <row r="18" spans="1:1" ht="72">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0" t="s">
        <v>1603</v>
      </c>
    </row>
    <row r="24" spans="1:1" ht="18">
      <c r="A24" s="1932" t="str">
        <f>"本次评估采用的主估价方法为"&amp;结果表!K4&amp;"和"&amp;结果表!L4&amp;"。"</f>
        <v>本次评估采用的主估价方法为成本法和假设开发法。</v>
      </c>
    </row>
    <row r="25" spans="1:1" ht="18">
      <c r="A25" s="1932"/>
    </row>
    <row r="26" spans="1:1" ht="18.75">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364" t="s">
        <v>2641</v>
      </c>
      <c r="Q4" s="3365"/>
      <c r="R4" s="3368" t="s">
        <v>2637</v>
      </c>
      <c r="S4" s="3369"/>
      <c r="T4" s="3368" t="s">
        <v>2638</v>
      </c>
      <c r="U4" s="3369"/>
      <c r="V4" s="3370" t="s">
        <v>2639</v>
      </c>
      <c r="W4" s="3370"/>
      <c r="X4" s="2637"/>
      <c r="Y4" s="3368" t="s">
        <v>2641</v>
      </c>
      <c r="Z4" s="3369"/>
      <c r="AA4" s="3372" t="s">
        <v>2637</v>
      </c>
      <c r="AB4" s="3372" t="s">
        <v>2638</v>
      </c>
      <c r="AC4" s="3361" t="s">
        <v>2639</v>
      </c>
    </row>
    <row r="5" spans="1:29" ht="15">
      <c r="A5" s="391"/>
      <c r="B5" s="392"/>
      <c r="C5" s="3309" t="s">
        <v>2532</v>
      </c>
      <c r="D5" s="3310"/>
      <c r="E5" s="3316" t="s">
        <v>2533</v>
      </c>
      <c r="F5" s="3317"/>
      <c r="G5" s="3309" t="s">
        <v>2534</v>
      </c>
      <c r="H5" s="3310"/>
      <c r="I5" s="3309" t="s">
        <v>2535</v>
      </c>
      <c r="J5" s="3310"/>
      <c r="K5" s="597"/>
      <c r="L5" s="1108"/>
      <c r="M5" s="1109"/>
      <c r="N5" s="1109"/>
      <c r="O5" s="1109"/>
      <c r="P5" s="3366"/>
      <c r="Q5" s="3298"/>
      <c r="R5" s="3303"/>
      <c r="S5" s="3304"/>
      <c r="T5" s="3303"/>
      <c r="U5" s="3304"/>
      <c r="V5" s="3288"/>
      <c r="W5" s="3288"/>
      <c r="X5" s="1791"/>
      <c r="Y5" s="3303"/>
      <c r="Z5" s="3304"/>
      <c r="AA5" s="3290"/>
      <c r="AB5" s="3290"/>
      <c r="AC5" s="3362"/>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367"/>
      <c r="Q6" s="3300"/>
      <c r="R6" s="3303"/>
      <c r="S6" s="3304"/>
      <c r="T6" s="3305"/>
      <c r="U6" s="3306"/>
      <c r="V6" s="3288"/>
      <c r="W6" s="3288"/>
      <c r="X6" s="1791"/>
      <c r="Y6" s="3305"/>
      <c r="Z6" s="3306"/>
      <c r="AA6" s="3291"/>
      <c r="AB6" s="3291"/>
      <c r="AC6" s="3363"/>
    </row>
    <row r="7" spans="1:29" s="112" customFormat="1" ht="15.75" thickBot="1">
      <c r="A7" s="395" t="s">
        <v>2538</v>
      </c>
      <c r="B7" s="396"/>
      <c r="C7" s="397">
        <f>'数据-取费表'!B2</f>
        <v>43976</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7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2638" t="e">
        <f>D7/J7</f>
        <v>#DIV/0!</v>
      </c>
    </row>
    <row r="8" spans="1:29" s="112" customFormat="1" ht="15.7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71" t="s">
        <v>2542</v>
      </c>
      <c r="Q8" s="3312"/>
      <c r="R8" s="755" t="s">
        <v>17</v>
      </c>
      <c r="S8" s="756">
        <f t="shared" si="0"/>
        <v>0</v>
      </c>
      <c r="T8" s="755" t="s">
        <v>17</v>
      </c>
      <c r="U8" s="756">
        <f t="shared" si="1"/>
        <v>0</v>
      </c>
      <c r="V8" s="755" t="s">
        <v>17</v>
      </c>
      <c r="W8" s="756">
        <f t="shared" si="2"/>
        <v>0</v>
      </c>
      <c r="X8" s="757"/>
      <c r="Y8" s="3311" t="s">
        <v>2542</v>
      </c>
      <c r="Z8" s="3312"/>
      <c r="AA8" s="758" t="e">
        <f t="shared" ref="AA8:AA47" si="3">D8/F8</f>
        <v>#DIV/0!</v>
      </c>
      <c r="AB8" s="758" t="e">
        <f t="shared" ref="AB8:AB47" si="4">D8/H8</f>
        <v>#DIV/0!</v>
      </c>
      <c r="AC8" s="2638" t="e">
        <f t="shared" ref="AC8:AC47" si="5">D8/J8</f>
        <v>#DIV/0!</v>
      </c>
    </row>
    <row r="9" spans="1:29" s="112" customFormat="1">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2638">
        <f t="shared" si="5"/>
        <v>1</v>
      </c>
    </row>
    <row r="10" spans="1:29" s="414" customFormat="1" ht="27">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2638">
        <f t="shared" si="5"/>
        <v>1</v>
      </c>
    </row>
    <row r="14" spans="1:29" ht="15.75"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54" t="s">
        <v>2550</v>
      </c>
      <c r="Q15" s="1788" t="str">
        <f t="shared" si="6"/>
        <v>办公集聚程度</v>
      </c>
      <c r="R15" s="759" t="s">
        <v>17</v>
      </c>
      <c r="S15" s="760">
        <f t="shared" si="0"/>
        <v>100</v>
      </c>
      <c r="T15" s="759" t="s">
        <v>17</v>
      </c>
      <c r="U15" s="760">
        <f t="shared" si="1"/>
        <v>100</v>
      </c>
      <c r="V15" s="759" t="s">
        <v>17</v>
      </c>
      <c r="W15" s="760">
        <f t="shared" si="2"/>
        <v>100</v>
      </c>
      <c r="X15" s="1791"/>
      <c r="Y15" s="3284"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2641">
        <v>1</v>
      </c>
    </row>
    <row r="17" spans="1:29" ht="99.75">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2641">
        <v>1</v>
      </c>
    </row>
    <row r="19" spans="1:29" ht="71.25">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2641">
        <v>1</v>
      </c>
    </row>
    <row r="21" spans="1:29" ht="28.5">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355"/>
      <c r="Q22" s="1788"/>
      <c r="R22" s="759"/>
      <c r="S22" s="760"/>
      <c r="T22" s="759"/>
      <c r="U22" s="760"/>
      <c r="V22" s="759"/>
      <c r="W22" s="760"/>
      <c r="X22" s="1791"/>
      <c r="Y22" s="3285"/>
      <c r="Z22" s="1792"/>
      <c r="AA22" s="1789">
        <v>1</v>
      </c>
      <c r="AB22" s="1789">
        <v>1</v>
      </c>
      <c r="AC22" s="2641">
        <v>1</v>
      </c>
    </row>
    <row r="23" spans="1:29" ht="57">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5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2641">
        <v>1</v>
      </c>
    </row>
    <row r="25" spans="1:29" ht="27">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355"/>
      <c r="Q25" s="1788" t="str">
        <f>B25</f>
        <v>毗邻道路的类型与等级</v>
      </c>
      <c r="R25" s="759" t="s">
        <v>17</v>
      </c>
      <c r="S25" s="760">
        <f>F25</f>
        <v>100</v>
      </c>
      <c r="T25" s="759" t="s">
        <v>17</v>
      </c>
      <c r="U25" s="760">
        <f>H25</f>
        <v>100</v>
      </c>
      <c r="V25" s="759" t="s">
        <v>17</v>
      </c>
      <c r="W25" s="760">
        <f>J25</f>
        <v>100</v>
      </c>
      <c r="X25" s="1791"/>
      <c r="Y25" s="3285"/>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355"/>
      <c r="Q26" s="1788"/>
      <c r="R26" s="759"/>
      <c r="S26" s="760"/>
      <c r="T26" s="759"/>
      <c r="U26" s="760"/>
      <c r="V26" s="759"/>
      <c r="W26" s="760"/>
      <c r="X26" s="1791"/>
      <c r="Y26" s="3285"/>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55"/>
      <c r="Q27" s="1788" t="str">
        <f t="shared" ref="Q27:Q47" si="11">B27</f>
        <v>楼层</v>
      </c>
      <c r="R27" s="759" t="s">
        <v>17</v>
      </c>
      <c r="S27" s="760">
        <f>F27</f>
        <v>100</v>
      </c>
      <c r="T27" s="759" t="s">
        <v>17</v>
      </c>
      <c r="U27" s="760">
        <f>H27</f>
        <v>100</v>
      </c>
      <c r="V27" s="759" t="s">
        <v>17</v>
      </c>
      <c r="W27" s="760">
        <f>J27</f>
        <v>100</v>
      </c>
      <c r="X27" s="1791"/>
      <c r="Y27" s="3285"/>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355"/>
      <c r="Q28" s="1773" t="str">
        <f t="shared" si="11"/>
        <v>朝向</v>
      </c>
      <c r="R28" s="755" t="s">
        <v>17</v>
      </c>
      <c r="S28" s="756">
        <f>F28</f>
        <v>100</v>
      </c>
      <c r="T28" s="755" t="s">
        <v>17</v>
      </c>
      <c r="U28" s="756">
        <f>H28</f>
        <v>100</v>
      </c>
      <c r="V28" s="755" t="s">
        <v>17</v>
      </c>
      <c r="W28" s="756">
        <f>J28</f>
        <v>100</v>
      </c>
      <c r="X28" s="757"/>
      <c r="Y28" s="3285"/>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355"/>
      <c r="Q29" s="1788">
        <f t="shared" si="11"/>
        <v>111</v>
      </c>
      <c r="R29" s="759" t="s">
        <v>17</v>
      </c>
      <c r="S29" s="760">
        <f t="shared" ref="S29:S47" si="12">F29</f>
        <v>100</v>
      </c>
      <c r="T29" s="759" t="s">
        <v>17</v>
      </c>
      <c r="U29" s="760">
        <f t="shared" ref="U29:U47" si="13">H29</f>
        <v>100</v>
      </c>
      <c r="V29" s="759" t="s">
        <v>17</v>
      </c>
      <c r="W29" s="760">
        <f t="shared" ref="W29:W47" si="14">J29</f>
        <v>100</v>
      </c>
      <c r="X29" s="1791"/>
      <c r="Y29" s="3285"/>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2641">
        <f t="shared" si="5"/>
        <v>1</v>
      </c>
    </row>
    <row r="32" spans="1:29" ht="15.75"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355"/>
      <c r="Q32" s="1788">
        <f t="shared" si="11"/>
        <v>111</v>
      </c>
      <c r="R32" s="759" t="s">
        <v>17</v>
      </c>
      <c r="S32" s="760">
        <f t="shared" si="12"/>
        <v>100</v>
      </c>
      <c r="T32" s="759" t="s">
        <v>17</v>
      </c>
      <c r="U32" s="760">
        <f t="shared" si="13"/>
        <v>100</v>
      </c>
      <c r="V32" s="759" t="s">
        <v>17</v>
      </c>
      <c r="W32" s="760">
        <f t="shared" si="14"/>
        <v>100</v>
      </c>
      <c r="X32" s="1791"/>
      <c r="Y32" s="3285"/>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50" t="s">
        <v>2555</v>
      </c>
      <c r="Q33" s="1788" t="str">
        <f t="shared" si="11"/>
        <v>建筑类型</v>
      </c>
      <c r="R33" s="759" t="s">
        <v>17</v>
      </c>
      <c r="S33" s="760">
        <f t="shared" si="12"/>
        <v>100</v>
      </c>
      <c r="T33" s="759" t="s">
        <v>17</v>
      </c>
      <c r="U33" s="760">
        <f t="shared" si="13"/>
        <v>100</v>
      </c>
      <c r="V33" s="759" t="s">
        <v>17</v>
      </c>
      <c r="W33" s="760">
        <f t="shared" si="14"/>
        <v>100</v>
      </c>
      <c r="X33" s="1791"/>
      <c r="Y33" s="3287"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51"/>
      <c r="Q34" s="761" t="str">
        <f t="shared" si="11"/>
        <v>项目建筑规模</v>
      </c>
      <c r="R34" s="762" t="s">
        <v>17</v>
      </c>
      <c r="S34" s="763" t="e">
        <f t="shared" si="12"/>
        <v>#N/A</v>
      </c>
      <c r="T34" s="762" t="s">
        <v>17</v>
      </c>
      <c r="U34" s="763" t="e">
        <f t="shared" si="13"/>
        <v>#N/A</v>
      </c>
      <c r="V34" s="762" t="s">
        <v>17</v>
      </c>
      <c r="W34" s="763" t="e">
        <f t="shared" si="14"/>
        <v>#N/A</v>
      </c>
      <c r="X34" s="764"/>
      <c r="Y34" s="3287"/>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51"/>
      <c r="Q35" s="1788" t="str">
        <f t="shared" si="11"/>
        <v>建筑结构</v>
      </c>
      <c r="R35" s="759" t="s">
        <v>17</v>
      </c>
      <c r="S35" s="760">
        <f t="shared" si="12"/>
        <v>100</v>
      </c>
      <c r="T35" s="759" t="s">
        <v>17</v>
      </c>
      <c r="U35" s="760">
        <f t="shared" si="13"/>
        <v>100</v>
      </c>
      <c r="V35" s="759" t="s">
        <v>17</v>
      </c>
      <c r="W35" s="760">
        <f t="shared" si="14"/>
        <v>100</v>
      </c>
      <c r="X35" s="1791"/>
      <c r="Y35" s="3287"/>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51"/>
      <c r="Q36" s="1788" t="str">
        <f t="shared" si="11"/>
        <v>公共部分装修</v>
      </c>
      <c r="R36" s="759" t="s">
        <v>17</v>
      </c>
      <c r="S36" s="760">
        <f t="shared" si="12"/>
        <v>100</v>
      </c>
      <c r="T36" s="759" t="s">
        <v>17</v>
      </c>
      <c r="U36" s="760">
        <f t="shared" si="13"/>
        <v>100</v>
      </c>
      <c r="V36" s="759" t="s">
        <v>17</v>
      </c>
      <c r="W36" s="760">
        <f t="shared" si="14"/>
        <v>100</v>
      </c>
      <c r="X36" s="1791"/>
      <c r="Y36" s="3287"/>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51"/>
      <c r="Q37" s="1788" t="str">
        <f t="shared" si="11"/>
        <v>成新度</v>
      </c>
      <c r="R37" s="759" t="s">
        <v>17</v>
      </c>
      <c r="S37" s="760" t="e">
        <f t="shared" si="12"/>
        <v>#N/A</v>
      </c>
      <c r="T37" s="759" t="s">
        <v>17</v>
      </c>
      <c r="U37" s="760" t="e">
        <f t="shared" si="13"/>
        <v>#N/A</v>
      </c>
      <c r="V37" s="759" t="s">
        <v>17</v>
      </c>
      <c r="W37" s="760" t="e">
        <f t="shared" si="14"/>
        <v>#N/A</v>
      </c>
      <c r="X37" s="1791"/>
      <c r="Y37" s="3287"/>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51"/>
      <c r="Q38" s="1773" t="str">
        <f t="shared" si="11"/>
        <v>写字楼等级</v>
      </c>
      <c r="R38" s="755" t="s">
        <v>17</v>
      </c>
      <c r="S38" s="756">
        <f t="shared" si="12"/>
        <v>100</v>
      </c>
      <c r="T38" s="755" t="s">
        <v>17</v>
      </c>
      <c r="U38" s="756">
        <f t="shared" si="13"/>
        <v>100</v>
      </c>
      <c r="V38" s="755" t="s">
        <v>17</v>
      </c>
      <c r="W38" s="756">
        <f t="shared" si="14"/>
        <v>100</v>
      </c>
      <c r="X38" s="757"/>
      <c r="Y38" s="3287"/>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51" t="s">
        <v>2555</v>
      </c>
      <c r="Q39" s="1788" t="str">
        <f t="shared" si="11"/>
        <v>物业管理</v>
      </c>
      <c r="R39" s="759" t="s">
        <v>17</v>
      </c>
      <c r="S39" s="760">
        <f t="shared" si="12"/>
        <v>100</v>
      </c>
      <c r="T39" s="759" t="s">
        <v>17</v>
      </c>
      <c r="U39" s="760">
        <f t="shared" si="13"/>
        <v>100</v>
      </c>
      <c r="V39" s="759" t="s">
        <v>17</v>
      </c>
      <c r="W39" s="760">
        <f t="shared" si="14"/>
        <v>100</v>
      </c>
      <c r="X39" s="1791"/>
      <c r="Y39" s="3287"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51"/>
      <c r="Q40" s="1788" t="str">
        <f t="shared" si="11"/>
        <v>市政基础设施</v>
      </c>
      <c r="R40" s="759" t="s">
        <v>17</v>
      </c>
      <c r="S40" s="760">
        <f t="shared" si="12"/>
        <v>100</v>
      </c>
      <c r="T40" s="759" t="s">
        <v>17</v>
      </c>
      <c r="U40" s="760">
        <f t="shared" si="13"/>
        <v>100</v>
      </c>
      <c r="V40" s="759" t="s">
        <v>17</v>
      </c>
      <c r="W40" s="760">
        <f t="shared" si="14"/>
        <v>100</v>
      </c>
      <c r="X40" s="1791"/>
      <c r="Y40" s="3287"/>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51"/>
      <c r="Q41" s="1788" t="str">
        <f t="shared" si="11"/>
        <v>层高</v>
      </c>
      <c r="R41" s="759" t="s">
        <v>17</v>
      </c>
      <c r="S41" s="760">
        <f t="shared" si="12"/>
        <v>100</v>
      </c>
      <c r="T41" s="759" t="s">
        <v>17</v>
      </c>
      <c r="U41" s="760">
        <f t="shared" si="13"/>
        <v>100</v>
      </c>
      <c r="V41" s="759" t="s">
        <v>17</v>
      </c>
      <c r="W41" s="760">
        <f t="shared" si="14"/>
        <v>100</v>
      </c>
      <c r="X41" s="1791"/>
      <c r="Y41" s="3287"/>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51"/>
      <c r="Q42" s="761" t="str">
        <f t="shared" si="11"/>
        <v>单套建筑面积</v>
      </c>
      <c r="R42" s="762" t="s">
        <v>17</v>
      </c>
      <c r="S42" s="763">
        <f t="shared" si="12"/>
        <v>100</v>
      </c>
      <c r="T42" s="762" t="s">
        <v>17</v>
      </c>
      <c r="U42" s="763">
        <f t="shared" si="13"/>
        <v>100</v>
      </c>
      <c r="V42" s="762" t="s">
        <v>17</v>
      </c>
      <c r="W42" s="763">
        <f t="shared" si="14"/>
        <v>100</v>
      </c>
      <c r="X42" s="764"/>
      <c r="Y42" s="3287"/>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51"/>
      <c r="Q43" s="1788" t="str">
        <f t="shared" si="11"/>
        <v>内部装修</v>
      </c>
      <c r="R43" s="759" t="s">
        <v>17</v>
      </c>
      <c r="S43" s="760">
        <f t="shared" si="12"/>
        <v>100</v>
      </c>
      <c r="T43" s="759" t="s">
        <v>17</v>
      </c>
      <c r="U43" s="760">
        <f t="shared" si="13"/>
        <v>100</v>
      </c>
      <c r="V43" s="759" t="s">
        <v>17</v>
      </c>
      <c r="W43" s="760">
        <f t="shared" si="14"/>
        <v>100</v>
      </c>
      <c r="X43" s="1791"/>
      <c r="Y43" s="3287"/>
      <c r="Z43" s="1792" t="str">
        <f t="shared" si="15"/>
        <v>内部装修</v>
      </c>
      <c r="AA43" s="1789">
        <f t="shared" si="3"/>
        <v>1</v>
      </c>
      <c r="AB43" s="1789">
        <f t="shared" si="4"/>
        <v>1</v>
      </c>
      <c r="AC43" s="2641">
        <f t="shared" si="5"/>
        <v>1</v>
      </c>
    </row>
    <row r="44" spans="1:29" ht="15">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51"/>
      <c r="Q44" s="1788" t="str">
        <f t="shared" si="11"/>
        <v>内部装修维护情况</v>
      </c>
      <c r="R44" s="759" t="s">
        <v>17</v>
      </c>
      <c r="S44" s="760">
        <f t="shared" si="12"/>
        <v>100</v>
      </c>
      <c r="T44" s="759" t="s">
        <v>17</v>
      </c>
      <c r="U44" s="760">
        <f t="shared" si="13"/>
        <v>100</v>
      </c>
      <c r="V44" s="759" t="s">
        <v>17</v>
      </c>
      <c r="W44" s="760">
        <f t="shared" si="14"/>
        <v>100</v>
      </c>
      <c r="X44" s="1791"/>
      <c r="Y44" s="3287"/>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51"/>
      <c r="Q45" s="1773">
        <f t="shared" si="11"/>
        <v>111</v>
      </c>
      <c r="R45" s="755" t="s">
        <v>17</v>
      </c>
      <c r="S45" s="756">
        <f t="shared" si="12"/>
        <v>100</v>
      </c>
      <c r="T45" s="755" t="s">
        <v>17</v>
      </c>
      <c r="U45" s="756">
        <f t="shared" si="13"/>
        <v>100</v>
      </c>
      <c r="V45" s="755" t="s">
        <v>17</v>
      </c>
      <c r="W45" s="756">
        <f t="shared" si="14"/>
        <v>100</v>
      </c>
      <c r="X45" s="757"/>
      <c r="Y45" s="3287"/>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51"/>
      <c r="Q46" s="1788">
        <f t="shared" si="11"/>
        <v>111</v>
      </c>
      <c r="R46" s="759" t="s">
        <v>17</v>
      </c>
      <c r="S46" s="760">
        <f t="shared" si="12"/>
        <v>100</v>
      </c>
      <c r="T46" s="759" t="s">
        <v>17</v>
      </c>
      <c r="U46" s="760">
        <f t="shared" si="13"/>
        <v>100</v>
      </c>
      <c r="V46" s="759" t="s">
        <v>17</v>
      </c>
      <c r="W46" s="760">
        <f t="shared" si="14"/>
        <v>100</v>
      </c>
      <c r="X46" s="1791"/>
      <c r="Y46" s="3287"/>
      <c r="Z46" s="1792">
        <f t="shared" si="15"/>
        <v>111</v>
      </c>
      <c r="AA46" s="1789">
        <f t="shared" si="3"/>
        <v>1</v>
      </c>
      <c r="AB46" s="1789">
        <f t="shared" si="4"/>
        <v>1</v>
      </c>
      <c r="AC46" s="2641">
        <f t="shared" si="5"/>
        <v>1</v>
      </c>
    </row>
    <row r="47" spans="1:29" ht="15.75"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52"/>
      <c r="Q47" s="1788">
        <f t="shared" si="11"/>
        <v>111</v>
      </c>
      <c r="R47" s="759" t="s">
        <v>17</v>
      </c>
      <c r="S47" s="760">
        <f t="shared" si="12"/>
        <v>100</v>
      </c>
      <c r="T47" s="759" t="s">
        <v>17</v>
      </c>
      <c r="U47" s="760">
        <f t="shared" si="13"/>
        <v>100</v>
      </c>
      <c r="V47" s="759" t="s">
        <v>17</v>
      </c>
      <c r="W47" s="760">
        <f t="shared" si="14"/>
        <v>100</v>
      </c>
      <c r="X47" s="1791"/>
      <c r="Y47" s="3353"/>
      <c r="Z47" s="1792">
        <f t="shared" si="15"/>
        <v>111</v>
      </c>
      <c r="AA47" s="1789">
        <f t="shared" si="3"/>
        <v>1</v>
      </c>
      <c r="AB47" s="1789">
        <f t="shared" si="4"/>
        <v>1</v>
      </c>
      <c r="AC47" s="2641">
        <f t="shared" si="5"/>
        <v>1</v>
      </c>
    </row>
    <row r="48" spans="1:29" ht="15">
      <c r="A48" s="466" t="s">
        <v>2567</v>
      </c>
      <c r="B48" s="467"/>
      <c r="C48" s="1385" t="s">
        <v>1</v>
      </c>
      <c r="D48" s="1386"/>
      <c r="E48" s="1387"/>
      <c r="F48" s="1388"/>
      <c r="G48" s="1389"/>
      <c r="H48" s="1390"/>
      <c r="I48" s="1387"/>
      <c r="J48" s="472"/>
      <c r="K48" s="768"/>
      <c r="L48" s="1121"/>
      <c r="M48" s="1109"/>
      <c r="N48" s="1109"/>
      <c r="O48" s="1109"/>
      <c r="P48" s="3281" t="str">
        <f>A48</f>
        <v>成交单价（元/平方米）</v>
      </c>
      <c r="Q48" s="3282"/>
      <c r="R48" s="3349">
        <f>E48</f>
        <v>0</v>
      </c>
      <c r="S48" s="3349"/>
      <c r="T48" s="3349">
        <f>G48</f>
        <v>0</v>
      </c>
      <c r="U48" s="3349"/>
      <c r="V48" s="3349">
        <f>I48</f>
        <v>0</v>
      </c>
      <c r="W48" s="3349"/>
      <c r="X48" s="433"/>
      <c r="Y48" s="766"/>
      <c r="Z48" s="433"/>
      <c r="AA48" s="433"/>
      <c r="AB48" s="433"/>
      <c r="AC48" s="617"/>
    </row>
    <row r="49" spans="1:29" ht="15.7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281" t="str">
        <f>A49</f>
        <v>比较价值（元/平方米）</v>
      </c>
      <c r="Q49" s="3282"/>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33"/>
      <c r="Y49" s="433"/>
      <c r="Z49" s="433"/>
      <c r="AA49" s="433"/>
      <c r="AB49" s="433"/>
      <c r="AC49" s="617"/>
    </row>
    <row r="50" spans="1:29" ht="15.75" thickBot="1">
      <c r="A50" s="479" t="s">
        <v>2660</v>
      </c>
      <c r="B50" s="480"/>
      <c r="C50" s="1395" t="e">
        <f>R50</f>
        <v>#DIV/0!</v>
      </c>
      <c r="D50" s="1395"/>
      <c r="E50" s="1395"/>
      <c r="F50" s="1395"/>
      <c r="G50" s="1395"/>
      <c r="H50" s="1395"/>
      <c r="I50" s="1395"/>
      <c r="J50" s="481"/>
      <c r="K50" s="770"/>
      <c r="L50" s="1121"/>
      <c r="M50" s="1109"/>
      <c r="N50" s="1109"/>
      <c r="O50" s="1109"/>
      <c r="P50" s="3358" t="str">
        <f>A50</f>
        <v>估价对象XX用房的比较价值（楼面单价，元/平方米）</v>
      </c>
      <c r="Q50" s="3359"/>
      <c r="R50" s="3360" t="e">
        <f>IF(F1="售价",ROUND(AVERAGE(R49:V49),0),ROUND(AVERAGE(R49:V49),1))</f>
        <v>#DIV/0!</v>
      </c>
      <c r="S50" s="3360"/>
      <c r="T50" s="3360"/>
      <c r="U50" s="3360"/>
      <c r="V50" s="3360"/>
      <c r="W50" s="3360"/>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1.75" thickBot="1">
      <c r="A58" s="748" t="s">
        <v>2664</v>
      </c>
      <c r="B58" s="744"/>
      <c r="C58" s="749"/>
      <c r="D58" s="749"/>
      <c r="E58" s="749"/>
      <c r="F58" s="750"/>
      <c r="G58" s="750"/>
      <c r="H58" s="749"/>
      <c r="I58" s="749"/>
      <c r="J58" s="749"/>
      <c r="K58" s="751"/>
      <c r="L58" s="1139"/>
      <c r="M58" s="1137"/>
      <c r="N58" s="1137"/>
      <c r="O58" s="1137"/>
      <c r="P58" s="2648"/>
      <c r="Q58" s="491"/>
    </row>
    <row r="59" spans="1:29" s="495" customFormat="1" ht="15">
      <c r="A59" s="492" t="s">
        <v>2538</v>
      </c>
      <c r="B59" s="493"/>
      <c r="C59" s="1552" t="str">
        <f>YEAR(C7)&amp;"-"&amp;MONTH(C7)</f>
        <v>2020-5</v>
      </c>
      <c r="D59" s="1553">
        <f>EDATE(C59,-1)</f>
        <v>43922</v>
      </c>
      <c r="E59" s="1553">
        <f>EDATE(D59,-1)</f>
        <v>43891</v>
      </c>
      <c r="F59" s="1553">
        <f t="shared" ref="F59:O59" si="16">EDATE(E59,-1)</f>
        <v>43862</v>
      </c>
      <c r="G59" s="1553">
        <f t="shared" si="16"/>
        <v>43831</v>
      </c>
      <c r="H59" s="1553">
        <f t="shared" si="16"/>
        <v>43800</v>
      </c>
      <c r="I59" s="1553">
        <f t="shared" si="16"/>
        <v>43770</v>
      </c>
      <c r="J59" s="1553">
        <f t="shared" si="16"/>
        <v>43739</v>
      </c>
      <c r="K59" s="1553">
        <f t="shared" si="16"/>
        <v>43709</v>
      </c>
      <c r="L59" s="1553">
        <f t="shared" si="16"/>
        <v>43678</v>
      </c>
      <c r="M59" s="1553">
        <f t="shared" si="16"/>
        <v>43647</v>
      </c>
      <c r="N59" s="1553">
        <f t="shared" si="16"/>
        <v>43617</v>
      </c>
      <c r="O59" s="1553">
        <f t="shared" si="16"/>
        <v>43586</v>
      </c>
      <c r="P59" s="1549"/>
    </row>
    <row r="60" spans="1:29" s="112" customFormat="1" ht="15">
      <c r="A60" s="496"/>
      <c r="B60" s="497"/>
      <c r="C60" s="1551">
        <v>100</v>
      </c>
      <c r="D60" s="499"/>
      <c r="E60" s="499"/>
      <c r="F60" s="499"/>
      <c r="G60" s="499"/>
      <c r="H60" s="499"/>
      <c r="I60" s="499"/>
      <c r="J60" s="499"/>
      <c r="K60" s="499"/>
      <c r="L60" s="499"/>
      <c r="M60" s="500"/>
      <c r="N60" s="499"/>
      <c r="O60" s="500"/>
      <c r="P60" s="2649"/>
    </row>
    <row r="61" spans="1:29" s="112" customFormat="1" ht="15.75" thickBot="1">
      <c r="A61" s="502" t="s">
        <v>2575</v>
      </c>
      <c r="B61" s="503"/>
      <c r="C61" s="504"/>
      <c r="D61" s="505"/>
      <c r="E61" s="505"/>
      <c r="F61" s="505"/>
      <c r="G61" s="505"/>
      <c r="H61" s="505"/>
      <c r="I61" s="505"/>
      <c r="J61" s="505"/>
      <c r="K61" s="505"/>
      <c r="L61" s="505"/>
      <c r="M61" s="506"/>
      <c r="N61" s="505"/>
      <c r="O61" s="506"/>
      <c r="P61" s="2649"/>
      <c r="Q61" s="491"/>
    </row>
    <row r="62" spans="1:29" s="112" customFormat="1" ht="15">
      <c r="A62" s="508" t="s">
        <v>2540</v>
      </c>
      <c r="B62" s="497"/>
      <c r="C62" s="509" t="s">
        <v>2642</v>
      </c>
      <c r="D62" s="510"/>
      <c r="E62" s="510"/>
      <c r="F62" s="510"/>
      <c r="G62" s="510"/>
      <c r="H62" s="510"/>
      <c r="I62" s="510"/>
      <c r="J62" s="510"/>
      <c r="K62" s="510"/>
      <c r="L62" s="511"/>
      <c r="M62" s="512"/>
      <c r="N62" s="1129"/>
      <c r="O62" s="1129"/>
      <c r="P62" s="2650"/>
      <c r="Q62" s="491"/>
    </row>
    <row r="63" spans="1:29" s="112" customFormat="1" ht="15.75" thickBot="1">
      <c r="A63" s="508"/>
      <c r="B63" s="497"/>
      <c r="C63" s="498">
        <v>100</v>
      </c>
      <c r="D63" s="499"/>
      <c r="E63" s="499"/>
      <c r="F63" s="499"/>
      <c r="G63" s="499"/>
      <c r="H63" s="499"/>
      <c r="I63" s="499"/>
      <c r="J63" s="499"/>
      <c r="K63" s="499"/>
      <c r="L63" s="499"/>
      <c r="M63" s="501"/>
      <c r="N63" s="1129"/>
      <c r="O63" s="1129"/>
      <c r="P63" s="2649"/>
      <c r="Q63" s="491"/>
    </row>
    <row r="64" spans="1:29">
      <c r="A64" s="514" t="s">
        <v>2578</v>
      </c>
      <c r="B64" s="515" t="s">
        <v>2544</v>
      </c>
      <c r="C64" s="516">
        <f>C9</f>
        <v>0</v>
      </c>
      <c r="D64" s="517"/>
      <c r="E64" s="517"/>
      <c r="F64" s="517"/>
      <c r="G64" s="517"/>
      <c r="H64" s="517"/>
      <c r="I64" s="517"/>
      <c r="J64" s="517"/>
      <c r="K64" s="518"/>
      <c r="L64" s="519"/>
      <c r="M64" s="520"/>
      <c r="N64" s="1130"/>
      <c r="O64" s="1130"/>
      <c r="P64" s="2651"/>
      <c r="Q64" s="491"/>
    </row>
    <row r="65" spans="1:17" ht="15.75" thickBot="1">
      <c r="A65" s="521"/>
      <c r="B65" s="522"/>
      <c r="C65" s="523">
        <v>100</v>
      </c>
      <c r="D65" s="523"/>
      <c r="E65" s="523"/>
      <c r="F65" s="523"/>
      <c r="G65" s="523"/>
      <c r="H65" s="523"/>
      <c r="I65" s="523"/>
      <c r="J65" s="523"/>
      <c r="K65" s="523"/>
      <c r="L65" s="523"/>
      <c r="M65" s="524"/>
      <c r="N65" s="1131"/>
      <c r="O65" s="1131"/>
      <c r="P65" s="2651"/>
      <c r="Q65" s="491"/>
    </row>
    <row r="66" spans="1:17" ht="27.75"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5.75"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7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ht="15">
      <c r="A69" s="521"/>
      <c r="B69" s="535"/>
      <c r="C69" s="536"/>
      <c r="D69" s="536"/>
      <c r="E69" s="536"/>
      <c r="F69" s="536"/>
      <c r="G69" s="536"/>
      <c r="H69" s="536"/>
      <c r="I69" s="536"/>
      <c r="J69" s="536"/>
      <c r="K69" s="537"/>
      <c r="L69" s="538"/>
      <c r="M69" s="539"/>
      <c r="N69" s="1130"/>
      <c r="O69" s="1130"/>
      <c r="P69" s="2651"/>
      <c r="Q69" s="491"/>
    </row>
    <row r="70" spans="1:17" ht="15.75"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5.75" thickTop="1">
      <c r="A71" s="540"/>
      <c r="B71" s="525">
        <f>B12</f>
        <v>111</v>
      </c>
      <c r="C71" s="541"/>
      <c r="D71" s="541"/>
      <c r="E71" s="541"/>
      <c r="F71" s="541"/>
      <c r="G71" s="541"/>
      <c r="H71" s="542"/>
      <c r="I71" s="542"/>
      <c r="J71" s="542"/>
      <c r="K71" s="542"/>
      <c r="L71" s="543"/>
      <c r="M71" s="544"/>
      <c r="N71" s="1132"/>
      <c r="O71" s="1132"/>
      <c r="P71" s="2652"/>
      <c r="Q71" s="546"/>
    </row>
    <row r="72" spans="1:17" s="458" customFormat="1" ht="15.75" thickBot="1">
      <c r="A72" s="540"/>
      <c r="B72" s="530"/>
      <c r="C72" s="547"/>
      <c r="D72" s="523"/>
      <c r="E72" s="523"/>
      <c r="F72" s="523"/>
      <c r="G72" s="523"/>
      <c r="H72" s="523"/>
      <c r="I72" s="523"/>
      <c r="J72" s="523"/>
      <c r="K72" s="523"/>
      <c r="L72" s="523"/>
      <c r="M72" s="524"/>
      <c r="N72" s="1131"/>
      <c r="O72" s="1131"/>
      <c r="P72" s="2652"/>
      <c r="Q72" s="546"/>
    </row>
    <row r="73" spans="1:17" s="458" customFormat="1" ht="15.75" thickTop="1">
      <c r="A73" s="540"/>
      <c r="B73" s="525">
        <f>B13</f>
        <v>111</v>
      </c>
      <c r="C73" s="541"/>
      <c r="D73" s="541"/>
      <c r="E73" s="541"/>
      <c r="F73" s="541"/>
      <c r="G73" s="541"/>
      <c r="H73" s="542"/>
      <c r="I73" s="542"/>
      <c r="J73" s="542"/>
      <c r="K73" s="542"/>
      <c r="L73" s="543"/>
      <c r="M73" s="544"/>
      <c r="N73" s="1132"/>
      <c r="O73" s="1132"/>
      <c r="P73" s="2653"/>
      <c r="Q73" s="548"/>
    </row>
    <row r="74" spans="1:17" s="458" customFormat="1" ht="15.75" thickBot="1">
      <c r="A74" s="540"/>
      <c r="B74" s="530"/>
      <c r="C74" s="547"/>
      <c r="D74" s="547"/>
      <c r="E74" s="547"/>
      <c r="F74" s="547"/>
      <c r="G74" s="547"/>
      <c r="H74" s="549"/>
      <c r="I74" s="549"/>
      <c r="J74" s="549"/>
      <c r="K74" s="549"/>
      <c r="L74" s="549"/>
      <c r="M74" s="550"/>
      <c r="N74" s="1132"/>
      <c r="O74" s="1132"/>
      <c r="P74" s="2652"/>
      <c r="Q74" s="546"/>
    </row>
    <row r="75" spans="1:17" s="458" customFormat="1" ht="15.75" thickTop="1">
      <c r="A75" s="540"/>
      <c r="B75" s="533">
        <f>B14</f>
        <v>111</v>
      </c>
      <c r="C75" s="510"/>
      <c r="D75" s="510"/>
      <c r="E75" s="510"/>
      <c r="F75" s="510"/>
      <c r="G75" s="510"/>
      <c r="H75" s="551"/>
      <c r="I75" s="551"/>
      <c r="J75" s="551"/>
      <c r="K75" s="551"/>
      <c r="L75" s="552"/>
      <c r="M75" s="553"/>
      <c r="N75" s="1132"/>
      <c r="O75" s="1132"/>
      <c r="P75" s="2654"/>
      <c r="Q75" s="546"/>
    </row>
    <row r="76" spans="1:17" s="458" customFormat="1" ht="15.75" thickBot="1">
      <c r="A76" s="555"/>
      <c r="B76" s="556"/>
      <c r="C76" s="557"/>
      <c r="D76" s="557"/>
      <c r="E76" s="557"/>
      <c r="F76" s="557"/>
      <c r="G76" s="557"/>
      <c r="H76" s="558"/>
      <c r="I76" s="558"/>
      <c r="J76" s="558"/>
      <c r="K76" s="558"/>
      <c r="L76" s="558"/>
      <c r="M76" s="559"/>
      <c r="N76" s="1132"/>
      <c r="O76" s="1132"/>
      <c r="P76" s="2652"/>
      <c r="Q76" s="546"/>
    </row>
    <row r="77" spans="1:17">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5.75"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7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5.75"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7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5.75"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7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5.75"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7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5.75"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7.75" thickTop="1">
      <c r="A87" s="566"/>
      <c r="B87" s="525" t="s">
        <v>2689</v>
      </c>
      <c r="C87" s="541"/>
      <c r="D87" s="541"/>
      <c r="E87" s="541"/>
      <c r="F87" s="541"/>
      <c r="G87" s="541"/>
      <c r="H87" s="541"/>
      <c r="I87" s="541"/>
      <c r="J87" s="541"/>
      <c r="K87" s="541"/>
      <c r="L87" s="567"/>
      <c r="M87" s="568"/>
      <c r="N87" s="1129"/>
      <c r="O87" s="1129"/>
      <c r="P87" s="2651"/>
      <c r="Q87" s="491"/>
    </row>
    <row r="88" spans="1:17" s="112" customFormat="1" ht="15.75"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5.75"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5.75"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5.75"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5.75"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5.75" thickTop="1">
      <c r="A93" s="521"/>
      <c r="B93" s="525">
        <f>B29</f>
        <v>111</v>
      </c>
      <c r="C93" s="541"/>
      <c r="D93" s="541"/>
      <c r="E93" s="541"/>
      <c r="F93" s="541"/>
      <c r="G93" s="541"/>
      <c r="H93" s="541"/>
      <c r="I93" s="541"/>
      <c r="J93" s="541"/>
      <c r="K93" s="541"/>
      <c r="L93" s="567"/>
      <c r="M93" s="568"/>
      <c r="N93" s="1130"/>
      <c r="O93" s="1130"/>
      <c r="P93" s="2651"/>
      <c r="Q93" s="491"/>
    </row>
    <row r="94" spans="1:17" ht="15.75" thickBot="1">
      <c r="A94" s="521"/>
      <c r="B94" s="530"/>
      <c r="C94" s="547"/>
      <c r="D94" s="523"/>
      <c r="E94" s="523"/>
      <c r="F94" s="523"/>
      <c r="G94" s="523"/>
      <c r="H94" s="523"/>
      <c r="I94" s="523"/>
      <c r="J94" s="523"/>
      <c r="K94" s="523"/>
      <c r="L94" s="523"/>
      <c r="M94" s="524"/>
      <c r="N94" s="1131"/>
      <c r="O94" s="1131"/>
      <c r="P94" s="2651"/>
      <c r="Q94" s="491"/>
    </row>
    <row r="95" spans="1:17" ht="15.75" thickTop="1">
      <c r="A95" s="521"/>
      <c r="B95" s="525">
        <f>B30</f>
        <v>111</v>
      </c>
      <c r="C95" s="541"/>
      <c r="D95" s="541"/>
      <c r="E95" s="541"/>
      <c r="F95" s="541"/>
      <c r="G95" s="570"/>
      <c r="H95" s="570"/>
      <c r="I95" s="570"/>
      <c r="J95" s="570"/>
      <c r="K95" s="571"/>
      <c r="L95" s="572"/>
      <c r="M95" s="573"/>
      <c r="N95" s="1130"/>
      <c r="O95" s="1130"/>
      <c r="P95" s="2651"/>
      <c r="Q95" s="491"/>
    </row>
    <row r="96" spans="1:17" ht="15.75" thickBot="1">
      <c r="A96" s="521"/>
      <c r="B96" s="530"/>
      <c r="C96" s="547"/>
      <c r="D96" s="547"/>
      <c r="E96" s="547"/>
      <c r="F96" s="547"/>
      <c r="G96" s="523"/>
      <c r="H96" s="523"/>
      <c r="I96" s="523"/>
      <c r="J96" s="523"/>
      <c r="K96" s="523"/>
      <c r="L96" s="523"/>
      <c r="M96" s="524"/>
      <c r="N96" s="1131"/>
      <c r="O96" s="1131"/>
      <c r="P96" s="2651"/>
      <c r="Q96" s="491"/>
    </row>
    <row r="97" spans="1:17" ht="15.75" thickTop="1">
      <c r="A97" s="521"/>
      <c r="B97" s="525">
        <f>B31</f>
        <v>111</v>
      </c>
      <c r="C97" s="541"/>
      <c r="D97" s="541"/>
      <c r="E97" s="541"/>
      <c r="F97" s="541"/>
      <c r="G97" s="570"/>
      <c r="H97" s="570"/>
      <c r="I97" s="570"/>
      <c r="J97" s="570"/>
      <c r="K97" s="571"/>
      <c r="L97" s="572"/>
      <c r="M97" s="573"/>
      <c r="N97" s="1130"/>
      <c r="O97" s="1130"/>
      <c r="P97" s="2651"/>
      <c r="Q97" s="491"/>
    </row>
    <row r="98" spans="1:17" ht="15.75" thickBot="1">
      <c r="A98" s="521"/>
      <c r="B98" s="530"/>
      <c r="C98" s="547"/>
      <c r="D98" s="523"/>
      <c r="E98" s="523"/>
      <c r="F98" s="523"/>
      <c r="G98" s="523"/>
      <c r="H98" s="523"/>
      <c r="I98" s="523"/>
      <c r="J98" s="523"/>
      <c r="K98" s="523"/>
      <c r="L98" s="523"/>
      <c r="M98" s="524"/>
      <c r="N98" s="1131"/>
      <c r="O98" s="1131"/>
      <c r="P98" s="2651"/>
      <c r="Q98" s="491"/>
    </row>
    <row r="99" spans="1:17" ht="15.75" thickTop="1">
      <c r="A99" s="521"/>
      <c r="B99" s="533">
        <f>B32</f>
        <v>111</v>
      </c>
      <c r="C99" s="510"/>
      <c r="D99" s="510"/>
      <c r="E99" s="510"/>
      <c r="F99" s="510"/>
      <c r="G99" s="574"/>
      <c r="H99" s="574"/>
      <c r="I99" s="574"/>
      <c r="J99" s="574"/>
      <c r="K99" s="575"/>
      <c r="L99" s="576"/>
      <c r="M99" s="577"/>
      <c r="N99" s="1130"/>
      <c r="O99" s="1130"/>
      <c r="P99" s="2651"/>
      <c r="Q99" s="491"/>
    </row>
    <row r="100" spans="1:17" ht="15.75" thickBot="1">
      <c r="A100" s="2603"/>
      <c r="B100" s="556"/>
      <c r="C100" s="557"/>
      <c r="D100" s="557"/>
      <c r="E100" s="557"/>
      <c r="F100" s="557"/>
      <c r="G100" s="578"/>
      <c r="H100" s="578"/>
      <c r="I100" s="578"/>
      <c r="J100" s="578"/>
      <c r="K100" s="578"/>
      <c r="L100" s="578"/>
      <c r="M100" s="579"/>
      <c r="N100" s="1131"/>
      <c r="O100" s="1131"/>
      <c r="P100" s="2651"/>
      <c r="Q100" s="491"/>
    </row>
    <row r="101" spans="1:17">
      <c r="A101" s="514" t="s">
        <v>2553</v>
      </c>
      <c r="B101" s="515" t="s">
        <v>2602</v>
      </c>
      <c r="C101" s="517"/>
      <c r="D101" s="517"/>
      <c r="E101" s="517"/>
      <c r="F101" s="517"/>
      <c r="G101" s="517"/>
      <c r="H101" s="517"/>
      <c r="I101" s="517"/>
      <c r="J101" s="517"/>
      <c r="K101" s="518"/>
      <c r="L101" s="519"/>
      <c r="M101" s="520"/>
      <c r="N101" s="1130"/>
      <c r="O101" s="1130"/>
      <c r="P101" s="2651"/>
      <c r="Q101" s="491"/>
    </row>
    <row r="102" spans="1:17" ht="15.75"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7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5.75"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5.75"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5.75"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5.75"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5.75"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5.75"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5.75"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5.75"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5.75"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5.75"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15"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5.75"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5"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5.75" thickBot="1">
      <c r="A128" s="540"/>
      <c r="B128" s="530"/>
      <c r="C128" s="547"/>
      <c r="D128" s="523"/>
      <c r="E128" s="523"/>
      <c r="F128" s="523"/>
      <c r="G128" s="547"/>
      <c r="H128" s="549"/>
      <c r="I128" s="549"/>
      <c r="J128" s="549"/>
      <c r="K128" s="549"/>
      <c r="L128" s="549"/>
      <c r="M128" s="550"/>
      <c r="N128" s="1132"/>
      <c r="O128" s="1132"/>
      <c r="P128" s="2652"/>
      <c r="Q128" s="546"/>
    </row>
    <row r="129" spans="1:17" ht="15" thickTop="1">
      <c r="A129" s="586"/>
      <c r="B129" s="525">
        <f>B46</f>
        <v>111</v>
      </c>
      <c r="C129" s="541"/>
      <c r="D129" s="541"/>
      <c r="E129" s="541"/>
      <c r="F129" s="541"/>
      <c r="G129" s="570"/>
      <c r="H129" s="570"/>
      <c r="I129" s="570"/>
      <c r="J129" s="570"/>
      <c r="K129" s="571"/>
      <c r="L129" s="572"/>
      <c r="M129" s="573"/>
      <c r="N129" s="1130"/>
      <c r="O129" s="1130"/>
      <c r="P129" s="2651"/>
      <c r="Q129" s="491"/>
    </row>
    <row r="130" spans="1:17" ht="15.75" thickBot="1">
      <c r="A130" s="521"/>
      <c r="B130" s="530"/>
      <c r="C130" s="547"/>
      <c r="D130" s="547"/>
      <c r="E130" s="547"/>
      <c r="F130" s="547"/>
      <c r="G130" s="523"/>
      <c r="H130" s="523"/>
      <c r="I130" s="523"/>
      <c r="J130" s="523"/>
      <c r="K130" s="523"/>
      <c r="L130" s="523"/>
      <c r="M130" s="524"/>
      <c r="N130" s="1131"/>
      <c r="O130" s="1131"/>
      <c r="P130" s="2651"/>
      <c r="Q130" s="491"/>
    </row>
    <row r="131" spans="1:17" ht="15" thickTop="1">
      <c r="A131" s="586"/>
      <c r="B131" s="533">
        <f>B47</f>
        <v>111</v>
      </c>
      <c r="C131" s="510"/>
      <c r="D131" s="510"/>
      <c r="E131" s="510"/>
      <c r="F131" s="510"/>
      <c r="G131" s="574"/>
      <c r="H131" s="574"/>
      <c r="I131" s="574"/>
      <c r="J131" s="574"/>
      <c r="K131" s="510"/>
      <c r="L131" s="511"/>
      <c r="M131" s="577"/>
      <c r="N131" s="1130"/>
      <c r="O131" s="1130"/>
      <c r="P131" s="2651"/>
      <c r="Q131" s="491"/>
    </row>
    <row r="132" spans="1:17" ht="15.75"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24811.999999999996</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57">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285"/>
      <c r="Q16" s="1788"/>
      <c r="R16" s="759"/>
      <c r="S16" s="760"/>
      <c r="T16" s="759"/>
      <c r="U16" s="760"/>
      <c r="V16" s="759"/>
      <c r="W16" s="760"/>
      <c r="X16" s="1791"/>
      <c r="Y16" s="3285"/>
      <c r="Z16" s="1792"/>
      <c r="AA16" s="1789">
        <v>1</v>
      </c>
      <c r="AB16" s="1789">
        <v>1</v>
      </c>
      <c r="AC16" s="1789">
        <v>1</v>
      </c>
    </row>
    <row r="17" spans="1:29" ht="85.5">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285"/>
      <c r="Q18" s="1788"/>
      <c r="R18" s="759"/>
      <c r="S18" s="760"/>
      <c r="T18" s="759"/>
      <c r="U18" s="760"/>
      <c r="V18" s="759"/>
      <c r="W18" s="760"/>
      <c r="X18" s="1791"/>
      <c r="Y18" s="3285"/>
      <c r="Z18" s="1792"/>
      <c r="AA18" s="1789">
        <v>1</v>
      </c>
      <c r="AB18" s="1789">
        <v>1</v>
      </c>
      <c r="AC18" s="1789">
        <v>1</v>
      </c>
    </row>
    <row r="19" spans="1:29" ht="42.75">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8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285"/>
      <c r="Q20" s="1788"/>
      <c r="R20" s="759"/>
      <c r="S20" s="760"/>
      <c r="T20" s="759"/>
      <c r="U20" s="760"/>
      <c r="V20" s="759"/>
      <c r="W20" s="760"/>
      <c r="X20" s="1791"/>
      <c r="Y20" s="3285"/>
      <c r="Z20" s="1792"/>
      <c r="AA20" s="1789">
        <v>1</v>
      </c>
      <c r="AB20" s="1789">
        <v>1</v>
      </c>
      <c r="AC20" s="1789">
        <v>1</v>
      </c>
    </row>
    <row r="21" spans="1:29" ht="28.5">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8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285"/>
      <c r="Q22" s="1788"/>
      <c r="R22" s="759"/>
      <c r="S22" s="760"/>
      <c r="T22" s="759"/>
      <c r="U22" s="760"/>
      <c r="V22" s="759"/>
      <c r="W22" s="760"/>
      <c r="X22" s="1791"/>
      <c r="Y22" s="3285"/>
      <c r="Z22" s="1792"/>
      <c r="AA22" s="1789">
        <v>1</v>
      </c>
      <c r="AB22" s="1789">
        <v>1</v>
      </c>
      <c r="AC22" s="1789">
        <v>1</v>
      </c>
    </row>
    <row r="23" spans="1:29" ht="71.25">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8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285"/>
      <c r="Q24" s="1788"/>
      <c r="R24" s="759"/>
      <c r="S24" s="760"/>
      <c r="T24" s="759"/>
      <c r="U24" s="760"/>
      <c r="V24" s="759"/>
      <c r="W24" s="760"/>
      <c r="X24" s="1791"/>
      <c r="Y24" s="3285"/>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85"/>
      <c r="Q25" s="1788">
        <f>B25</f>
        <v>111</v>
      </c>
      <c r="R25" s="759" t="s">
        <v>17</v>
      </c>
      <c r="S25" s="760">
        <f>F25</f>
        <v>100</v>
      </c>
      <c r="T25" s="759" t="s">
        <v>17</v>
      </c>
      <c r="U25" s="760">
        <f>H25</f>
        <v>100</v>
      </c>
      <c r="V25" s="759" t="s">
        <v>17</v>
      </c>
      <c r="W25" s="760">
        <f>J25</f>
        <v>100</v>
      </c>
      <c r="X25" s="1791"/>
      <c r="Y25" s="3285"/>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85"/>
      <c r="Q26" s="1788">
        <f t="shared" ref="Q26:Q40" si="11">B26</f>
        <v>111</v>
      </c>
      <c r="R26" s="759" t="s">
        <v>17</v>
      </c>
      <c r="S26" s="760">
        <f>F26</f>
        <v>100</v>
      </c>
      <c r="T26" s="759" t="s">
        <v>17</v>
      </c>
      <c r="U26" s="760">
        <f>H26</f>
        <v>100</v>
      </c>
      <c r="V26" s="759" t="s">
        <v>17</v>
      </c>
      <c r="W26" s="760">
        <f>J26</f>
        <v>100</v>
      </c>
      <c r="X26" s="1791"/>
      <c r="Y26" s="3285"/>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85"/>
      <c r="Q27" s="1773">
        <f t="shared" si="11"/>
        <v>111</v>
      </c>
      <c r="R27" s="755" t="s">
        <v>17</v>
      </c>
      <c r="S27" s="756">
        <f>F27</f>
        <v>100</v>
      </c>
      <c r="T27" s="755" t="s">
        <v>17</v>
      </c>
      <c r="U27" s="756">
        <f>H27</f>
        <v>100</v>
      </c>
      <c r="V27" s="755" t="s">
        <v>17</v>
      </c>
      <c r="W27" s="756">
        <f>J27</f>
        <v>100</v>
      </c>
      <c r="X27" s="757"/>
      <c r="Y27" s="3285"/>
      <c r="Z27" s="55">
        <f>Q27</f>
        <v>111</v>
      </c>
      <c r="AA27" s="1789">
        <f>D27/F27</f>
        <v>1</v>
      </c>
      <c r="AB27" s="1789">
        <f>D27/H27</f>
        <v>1</v>
      </c>
      <c r="AC27" s="1789">
        <f>D27/J27</f>
        <v>1</v>
      </c>
    </row>
    <row r="28" spans="1:29" ht="15.75"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85"/>
      <c r="Q28" s="1788">
        <f t="shared" si="11"/>
        <v>111</v>
      </c>
      <c r="R28" s="759" t="s">
        <v>17</v>
      </c>
      <c r="S28" s="760">
        <f t="shared" ref="S28:S40" si="12">F28</f>
        <v>100</v>
      </c>
      <c r="T28" s="759" t="s">
        <v>17</v>
      </c>
      <c r="U28" s="760">
        <f t="shared" ref="U28:U40" si="13">H28</f>
        <v>100</v>
      </c>
      <c r="V28" s="759" t="s">
        <v>17</v>
      </c>
      <c r="W28" s="760">
        <f t="shared" ref="W28:W40" si="14">J28</f>
        <v>100</v>
      </c>
      <c r="X28" s="1791"/>
      <c r="Y28" s="3285"/>
      <c r="Z28" s="1792">
        <f t="shared" ref="Z28:Z40" si="15">Q28</f>
        <v>111</v>
      </c>
      <c r="AA28" s="1789">
        <f t="shared" si="3"/>
        <v>1</v>
      </c>
      <c r="AB28" s="1789">
        <f t="shared" si="4"/>
        <v>1</v>
      </c>
      <c r="AC28" s="1789">
        <f t="shared" si="5"/>
        <v>1</v>
      </c>
    </row>
    <row r="29" spans="1:29" ht="28.5">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286" t="s">
        <v>2555</v>
      </c>
      <c r="Q29" s="1788" t="str">
        <f t="shared" si="11"/>
        <v>建筑类型</v>
      </c>
      <c r="R29" s="759" t="s">
        <v>17</v>
      </c>
      <c r="S29" s="760">
        <f t="shared" si="12"/>
        <v>100</v>
      </c>
      <c r="T29" s="759" t="s">
        <v>17</v>
      </c>
      <c r="U29" s="760">
        <f t="shared" si="13"/>
        <v>100</v>
      </c>
      <c r="V29" s="759" t="s">
        <v>17</v>
      </c>
      <c r="W29" s="760">
        <f t="shared" si="14"/>
        <v>100</v>
      </c>
      <c r="X29" s="1791"/>
      <c r="Y29" s="3287"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87"/>
      <c r="Q30" s="761" t="str">
        <f t="shared" si="11"/>
        <v>项目建筑规模</v>
      </c>
      <c r="R30" s="762" t="s">
        <v>17</v>
      </c>
      <c r="S30" s="763" t="e">
        <f t="shared" si="12"/>
        <v>#N/A</v>
      </c>
      <c r="T30" s="762" t="s">
        <v>17</v>
      </c>
      <c r="U30" s="763" t="e">
        <f t="shared" si="13"/>
        <v>#N/A</v>
      </c>
      <c r="V30" s="762" t="s">
        <v>17</v>
      </c>
      <c r="W30" s="763" t="e">
        <f t="shared" si="14"/>
        <v>#N/A</v>
      </c>
      <c r="X30" s="764"/>
      <c r="Y30" s="3287"/>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87"/>
      <c r="Q31" s="1788" t="str">
        <f t="shared" si="11"/>
        <v>建筑结构</v>
      </c>
      <c r="R31" s="759" t="s">
        <v>17</v>
      </c>
      <c r="S31" s="760">
        <f t="shared" si="12"/>
        <v>100</v>
      </c>
      <c r="T31" s="759" t="s">
        <v>17</v>
      </c>
      <c r="U31" s="760">
        <f t="shared" si="13"/>
        <v>100</v>
      </c>
      <c r="V31" s="759" t="s">
        <v>17</v>
      </c>
      <c r="W31" s="760">
        <f t="shared" si="14"/>
        <v>100</v>
      </c>
      <c r="X31" s="1791"/>
      <c r="Y31" s="3287"/>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87"/>
      <c r="Q32" s="1788" t="str">
        <f t="shared" si="11"/>
        <v>公共部分装修</v>
      </c>
      <c r="R32" s="759" t="s">
        <v>17</v>
      </c>
      <c r="S32" s="760">
        <f t="shared" si="12"/>
        <v>100</v>
      </c>
      <c r="T32" s="759" t="s">
        <v>17</v>
      </c>
      <c r="U32" s="760">
        <f t="shared" si="13"/>
        <v>100</v>
      </c>
      <c r="V32" s="759" t="s">
        <v>17</v>
      </c>
      <c r="W32" s="760">
        <f t="shared" si="14"/>
        <v>100</v>
      </c>
      <c r="X32" s="1791"/>
      <c r="Y32" s="3287"/>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87"/>
      <c r="Q33" s="1788" t="str">
        <f t="shared" si="11"/>
        <v>成新度</v>
      </c>
      <c r="R33" s="759" t="s">
        <v>17</v>
      </c>
      <c r="S33" s="760" t="e">
        <f t="shared" si="12"/>
        <v>#N/A</v>
      </c>
      <c r="T33" s="759" t="s">
        <v>17</v>
      </c>
      <c r="U33" s="760" t="e">
        <f t="shared" si="13"/>
        <v>#N/A</v>
      </c>
      <c r="V33" s="759" t="s">
        <v>17</v>
      </c>
      <c r="W33" s="760" t="e">
        <f t="shared" si="14"/>
        <v>#N/A</v>
      </c>
      <c r="X33" s="1791"/>
      <c r="Y33" s="3287"/>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87"/>
      <c r="Q34" s="1773" t="str">
        <f t="shared" si="11"/>
        <v>物业管理</v>
      </c>
      <c r="R34" s="755" t="s">
        <v>17</v>
      </c>
      <c r="S34" s="756">
        <f t="shared" si="12"/>
        <v>100</v>
      </c>
      <c r="T34" s="755" t="s">
        <v>17</v>
      </c>
      <c r="U34" s="756">
        <f t="shared" si="13"/>
        <v>100</v>
      </c>
      <c r="V34" s="755" t="s">
        <v>17</v>
      </c>
      <c r="W34" s="756">
        <f t="shared" si="14"/>
        <v>100</v>
      </c>
      <c r="X34" s="757"/>
      <c r="Y34" s="3287"/>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87" t="s">
        <v>2555</v>
      </c>
      <c r="Q35" s="1788" t="str">
        <f t="shared" si="11"/>
        <v>市政基础设施</v>
      </c>
      <c r="R35" s="759" t="s">
        <v>17</v>
      </c>
      <c r="S35" s="760">
        <f t="shared" si="12"/>
        <v>100</v>
      </c>
      <c r="T35" s="759" t="s">
        <v>17</v>
      </c>
      <c r="U35" s="760">
        <f t="shared" si="13"/>
        <v>100</v>
      </c>
      <c r="V35" s="759" t="s">
        <v>17</v>
      </c>
      <c r="W35" s="760">
        <f t="shared" si="14"/>
        <v>100</v>
      </c>
      <c r="X35" s="1791"/>
      <c r="Y35" s="3287"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87"/>
      <c r="Q36" s="1788" t="str">
        <f t="shared" si="11"/>
        <v>内部装修</v>
      </c>
      <c r="R36" s="759" t="s">
        <v>17</v>
      </c>
      <c r="S36" s="760">
        <f t="shared" si="12"/>
        <v>100</v>
      </c>
      <c r="T36" s="759" t="s">
        <v>17</v>
      </c>
      <c r="U36" s="760">
        <f t="shared" si="13"/>
        <v>100</v>
      </c>
      <c r="V36" s="759" t="s">
        <v>17</v>
      </c>
      <c r="W36" s="760">
        <f t="shared" si="14"/>
        <v>100</v>
      </c>
      <c r="X36" s="1791"/>
      <c r="Y36" s="3287"/>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87"/>
      <c r="Q37" s="1788" t="str">
        <f t="shared" si="11"/>
        <v>内部装修状况</v>
      </c>
      <c r="R37" s="759" t="s">
        <v>17</v>
      </c>
      <c r="S37" s="760">
        <f t="shared" si="12"/>
        <v>100</v>
      </c>
      <c r="T37" s="759" t="s">
        <v>17</v>
      </c>
      <c r="U37" s="760">
        <f t="shared" si="13"/>
        <v>100</v>
      </c>
      <c r="V37" s="759" t="s">
        <v>17</v>
      </c>
      <c r="W37" s="760">
        <f t="shared" si="14"/>
        <v>100</v>
      </c>
      <c r="X37" s="1791"/>
      <c r="Y37" s="3287"/>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87"/>
      <c r="Q38" s="761">
        <f t="shared" si="11"/>
        <v>111</v>
      </c>
      <c r="R38" s="762" t="s">
        <v>17</v>
      </c>
      <c r="S38" s="763">
        <f t="shared" si="12"/>
        <v>100</v>
      </c>
      <c r="T38" s="762" t="s">
        <v>17</v>
      </c>
      <c r="U38" s="763">
        <f t="shared" si="13"/>
        <v>100</v>
      </c>
      <c r="V38" s="762" t="s">
        <v>17</v>
      </c>
      <c r="W38" s="763">
        <f t="shared" si="14"/>
        <v>100</v>
      </c>
      <c r="X38" s="764"/>
      <c r="Y38" s="3287"/>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87"/>
      <c r="Q39" s="1788">
        <f t="shared" si="11"/>
        <v>111</v>
      </c>
      <c r="R39" s="759" t="s">
        <v>17</v>
      </c>
      <c r="S39" s="760">
        <f t="shared" si="12"/>
        <v>100</v>
      </c>
      <c r="T39" s="759" t="s">
        <v>17</v>
      </c>
      <c r="U39" s="760">
        <f t="shared" si="13"/>
        <v>100</v>
      </c>
      <c r="V39" s="759" t="s">
        <v>17</v>
      </c>
      <c r="W39" s="760">
        <f t="shared" si="14"/>
        <v>100</v>
      </c>
      <c r="X39" s="1791"/>
      <c r="Y39" s="3287"/>
      <c r="Z39" s="1792">
        <f t="shared" si="15"/>
        <v>111</v>
      </c>
      <c r="AA39" s="1789">
        <f t="shared" si="3"/>
        <v>1</v>
      </c>
      <c r="AB39" s="1789">
        <f t="shared" si="4"/>
        <v>1</v>
      </c>
      <c r="AC39" s="1789">
        <f t="shared" si="5"/>
        <v>1</v>
      </c>
    </row>
    <row r="40" spans="1:29" ht="15.75"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53"/>
      <c r="Q40" s="1788">
        <f t="shared" si="11"/>
        <v>111</v>
      </c>
      <c r="R40" s="759" t="s">
        <v>17</v>
      </c>
      <c r="S40" s="760">
        <f t="shared" si="12"/>
        <v>100</v>
      </c>
      <c r="T40" s="759" t="s">
        <v>17</v>
      </c>
      <c r="U40" s="760">
        <f t="shared" si="13"/>
        <v>100</v>
      </c>
      <c r="V40" s="759" t="s">
        <v>17</v>
      </c>
      <c r="W40" s="760">
        <f t="shared" si="14"/>
        <v>100</v>
      </c>
      <c r="X40" s="1791"/>
      <c r="Y40" s="3353"/>
      <c r="Z40" s="1792">
        <f t="shared" si="15"/>
        <v>111</v>
      </c>
      <c r="AA40" s="1789">
        <f t="shared" si="3"/>
        <v>1</v>
      </c>
      <c r="AB40" s="1789">
        <f t="shared" si="4"/>
        <v>1</v>
      </c>
      <c r="AC40" s="1789">
        <f t="shared" si="5"/>
        <v>1</v>
      </c>
    </row>
    <row r="41" spans="1:29" ht="15">
      <c r="A41" s="466" t="s">
        <v>2567</v>
      </c>
      <c r="B41" s="467"/>
      <c r="C41" s="1385" t="s">
        <v>1</v>
      </c>
      <c r="D41" s="1386"/>
      <c r="E41" s="1387"/>
      <c r="F41" s="1388"/>
      <c r="G41" s="1389"/>
      <c r="H41" s="1390"/>
      <c r="I41" s="1387"/>
      <c r="J41" s="1390"/>
      <c r="K41" s="768"/>
      <c r="L41" s="1121"/>
      <c r="M41" s="1122"/>
      <c r="N41" s="1109"/>
      <c r="O41" s="1122"/>
      <c r="P41" s="3282" t="str">
        <f>A41</f>
        <v>成交单价（元/平方米）</v>
      </c>
      <c r="Q41" s="3282"/>
      <c r="R41" s="3349">
        <f>E41</f>
        <v>0</v>
      </c>
      <c r="S41" s="3349"/>
      <c r="T41" s="3349">
        <f>G41</f>
        <v>0</v>
      </c>
      <c r="U41" s="3349"/>
      <c r="V41" s="3349">
        <f>I41</f>
        <v>0</v>
      </c>
      <c r="W41" s="3349"/>
      <c r="X41" s="744"/>
      <c r="Y41" s="766"/>
      <c r="Z41" s="744"/>
      <c r="AA41" s="744"/>
      <c r="AB41" s="744"/>
      <c r="AC41" s="744"/>
    </row>
    <row r="42" spans="1:29" ht="15.7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282" t="str">
        <f>A42</f>
        <v>比较价值（元/平方米）</v>
      </c>
      <c r="Q42" s="328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44"/>
      <c r="Y42" s="744"/>
      <c r="Z42" s="744"/>
      <c r="AA42" s="744"/>
      <c r="AB42" s="744"/>
      <c r="AC42" s="744"/>
    </row>
    <row r="43" spans="1:29" ht="15.75" thickBot="1">
      <c r="A43" s="479" t="s">
        <v>2660</v>
      </c>
      <c r="B43" s="480"/>
      <c r="C43" s="1395" t="e">
        <f>R43</f>
        <v>#DIV/0!</v>
      </c>
      <c r="D43" s="1395"/>
      <c r="E43" s="1395"/>
      <c r="F43" s="1395"/>
      <c r="G43" s="1395"/>
      <c r="H43" s="1395"/>
      <c r="I43" s="1395"/>
      <c r="J43" s="1395"/>
      <c r="K43" s="770"/>
      <c r="L43" s="1121"/>
      <c r="M43" s="1122"/>
      <c r="N43" s="1122"/>
      <c r="O43" s="1122"/>
      <c r="P43" s="3276" t="str">
        <f>A43</f>
        <v>估价对象XX用房的比较价值（楼面单价，元/平方米）</v>
      </c>
      <c r="Q43" s="3277"/>
      <c r="R43" s="3348" t="e">
        <f>IF(F1="售价",ROUND(AVERAGE(R42:V42),0),ROUND(AVERAGE(R42:V42),1))</f>
        <v>#DIV/0!</v>
      </c>
      <c r="S43" s="3348"/>
      <c r="T43" s="3348"/>
      <c r="U43" s="3348"/>
      <c r="V43" s="3348"/>
      <c r="W43" s="3348"/>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48" t="s">
        <v>2664</v>
      </c>
      <c r="B51" s="744"/>
      <c r="C51" s="749"/>
      <c r="D51" s="749"/>
      <c r="E51" s="749"/>
      <c r="F51" s="750"/>
      <c r="G51" s="750"/>
      <c r="H51" s="749"/>
      <c r="I51" s="749"/>
      <c r="J51" s="749"/>
      <c r="K51" s="1138"/>
      <c r="L51" s="1139"/>
      <c r="M51" s="1137"/>
      <c r="N51" s="1137"/>
      <c r="O51" s="1137"/>
      <c r="P51" s="490"/>
      <c r="Q51" s="491"/>
    </row>
    <row r="52" spans="1:17" s="495" customFormat="1" ht="15">
      <c r="A52" s="492" t="s">
        <v>2538</v>
      </c>
      <c r="B52" s="493"/>
      <c r="C52" s="1552" t="str">
        <f>YEAR(C7)&amp;"-"&amp;MONTH(C7)</f>
        <v>2020-5</v>
      </c>
      <c r="D52" s="1553">
        <f>EDATE(C52,-1)</f>
        <v>43922</v>
      </c>
      <c r="E52" s="1553">
        <f t="shared" ref="E52:O52" si="16">EDATE(D52,-1)</f>
        <v>43891</v>
      </c>
      <c r="F52" s="1553">
        <f t="shared" si="16"/>
        <v>43862</v>
      </c>
      <c r="G52" s="1553">
        <f t="shared" si="16"/>
        <v>43831</v>
      </c>
      <c r="H52" s="1553">
        <f t="shared" si="16"/>
        <v>43800</v>
      </c>
      <c r="I52" s="1553">
        <f t="shared" si="16"/>
        <v>43770</v>
      </c>
      <c r="J52" s="1553">
        <f t="shared" si="16"/>
        <v>43739</v>
      </c>
      <c r="K52" s="1553">
        <f t="shared" si="16"/>
        <v>43709</v>
      </c>
      <c r="L52" s="1553">
        <f t="shared" si="16"/>
        <v>43678</v>
      </c>
      <c r="M52" s="1553">
        <f t="shared" si="16"/>
        <v>43647</v>
      </c>
      <c r="N52" s="1553">
        <f t="shared" si="16"/>
        <v>43617</v>
      </c>
      <c r="O52" s="1553">
        <f t="shared" si="16"/>
        <v>43586</v>
      </c>
      <c r="P52" s="494"/>
    </row>
    <row r="53" spans="1:17" s="112" customFormat="1" ht="15">
      <c r="A53" s="496"/>
      <c r="B53" s="497"/>
      <c r="C53" s="1551">
        <v>100</v>
      </c>
      <c r="D53" s="499"/>
      <c r="E53" s="499"/>
      <c r="F53" s="499"/>
      <c r="G53" s="499"/>
      <c r="H53" s="499"/>
      <c r="I53" s="499"/>
      <c r="J53" s="499"/>
      <c r="K53" s="499"/>
      <c r="L53" s="499"/>
      <c r="M53" s="500"/>
      <c r="N53" s="499"/>
      <c r="O53" s="501"/>
      <c r="P53" s="491"/>
    </row>
    <row r="54" spans="1:17" s="112" customFormat="1" ht="15.75" thickBot="1">
      <c r="A54" s="502" t="s">
        <v>2575</v>
      </c>
      <c r="B54" s="503"/>
      <c r="C54" s="504"/>
      <c r="D54" s="505"/>
      <c r="E54" s="505"/>
      <c r="F54" s="505"/>
      <c r="G54" s="505"/>
      <c r="H54" s="505"/>
      <c r="I54" s="505"/>
      <c r="J54" s="505"/>
      <c r="K54" s="505"/>
      <c r="L54" s="505"/>
      <c r="M54" s="506"/>
      <c r="N54" s="505"/>
      <c r="O54" s="507"/>
      <c r="P54" s="491"/>
      <c r="Q54" s="491"/>
    </row>
    <row r="55" spans="1:17" s="112" customFormat="1" ht="15">
      <c r="A55" s="508" t="s">
        <v>2540</v>
      </c>
      <c r="B55" s="497"/>
      <c r="C55" s="509" t="s">
        <v>2642</v>
      </c>
      <c r="D55" s="510"/>
      <c r="E55" s="510"/>
      <c r="F55" s="510"/>
      <c r="G55" s="510"/>
      <c r="H55" s="510"/>
      <c r="I55" s="510"/>
      <c r="J55" s="510"/>
      <c r="K55" s="510"/>
      <c r="L55" s="511"/>
      <c r="M55" s="512"/>
      <c r="N55" s="1129"/>
      <c r="O55" s="1129"/>
      <c r="P55" s="513"/>
      <c r="Q55" s="491"/>
    </row>
    <row r="56" spans="1:17" s="112" customFormat="1" ht="15.75" thickBot="1">
      <c r="A56" s="508"/>
      <c r="B56" s="497"/>
      <c r="C56" s="626">
        <v>100</v>
      </c>
      <c r="D56" s="499"/>
      <c r="E56" s="499"/>
      <c r="F56" s="499"/>
      <c r="G56" s="499"/>
      <c r="H56" s="499"/>
      <c r="I56" s="499"/>
      <c r="J56" s="499"/>
      <c r="K56" s="499"/>
      <c r="L56" s="499"/>
      <c r="M56" s="501"/>
      <c r="N56" s="1129"/>
      <c r="O56" s="1129"/>
      <c r="P56" s="491"/>
      <c r="Q56" s="491"/>
    </row>
    <row r="57" spans="1:17">
      <c r="A57" s="514" t="s">
        <v>2578</v>
      </c>
      <c r="B57" s="515" t="s">
        <v>2544</v>
      </c>
      <c r="C57" s="516">
        <f>C9</f>
        <v>0</v>
      </c>
      <c r="D57" s="517"/>
      <c r="E57" s="517"/>
      <c r="F57" s="517"/>
      <c r="G57" s="517"/>
      <c r="H57" s="517"/>
      <c r="I57" s="517"/>
      <c r="J57" s="517"/>
      <c r="K57" s="518"/>
      <c r="L57" s="519"/>
      <c r="M57" s="520"/>
      <c r="N57" s="1130"/>
      <c r="O57" s="1130"/>
      <c r="P57" s="45"/>
      <c r="Q57" s="491"/>
    </row>
    <row r="58" spans="1:17" ht="15.75" thickBot="1">
      <c r="A58" s="521"/>
      <c r="B58" s="522"/>
      <c r="C58" s="523">
        <v>100</v>
      </c>
      <c r="D58" s="523"/>
      <c r="E58" s="523"/>
      <c r="F58" s="523"/>
      <c r="G58" s="523"/>
      <c r="H58" s="523"/>
      <c r="I58" s="523"/>
      <c r="J58" s="523"/>
      <c r="K58" s="523"/>
      <c r="L58" s="523"/>
      <c r="M58" s="524"/>
      <c r="N58" s="1131"/>
      <c r="O58" s="1131"/>
      <c r="P58" s="45"/>
      <c r="Q58" s="491"/>
    </row>
    <row r="59" spans="1:17" ht="27.75"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5.75"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7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ht="15">
      <c r="A62" s="521"/>
      <c r="B62" s="535"/>
      <c r="C62" s="536"/>
      <c r="D62" s="536"/>
      <c r="E62" s="536"/>
      <c r="F62" s="536"/>
      <c r="G62" s="536"/>
      <c r="H62" s="536"/>
      <c r="I62" s="536"/>
      <c r="J62" s="536"/>
      <c r="K62" s="537"/>
      <c r="L62" s="538"/>
      <c r="M62" s="539"/>
      <c r="N62" s="1130"/>
      <c r="O62" s="1130"/>
      <c r="P62" s="45"/>
      <c r="Q62" s="491"/>
    </row>
    <row r="63" spans="1:17" ht="15.75"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5.75" thickTop="1">
      <c r="A64" s="540"/>
      <c r="B64" s="525">
        <f>B12</f>
        <v>111</v>
      </c>
      <c r="C64" s="541"/>
      <c r="D64" s="541"/>
      <c r="E64" s="541"/>
      <c r="F64" s="541"/>
      <c r="G64" s="541"/>
      <c r="H64" s="542"/>
      <c r="I64" s="542"/>
      <c r="J64" s="542"/>
      <c r="K64" s="542"/>
      <c r="L64" s="543"/>
      <c r="M64" s="544"/>
      <c r="N64" s="1132"/>
      <c r="O64" s="1132"/>
      <c r="P64" s="545"/>
      <c r="Q64" s="546"/>
    </row>
    <row r="65" spans="1:17" s="458" customFormat="1" ht="15.75" thickBot="1">
      <c r="A65" s="540"/>
      <c r="B65" s="530"/>
      <c r="C65" s="547"/>
      <c r="D65" s="523"/>
      <c r="E65" s="523"/>
      <c r="F65" s="523"/>
      <c r="G65" s="523"/>
      <c r="H65" s="523"/>
      <c r="I65" s="523"/>
      <c r="J65" s="523"/>
      <c r="K65" s="523"/>
      <c r="L65" s="523"/>
      <c r="M65" s="524"/>
      <c r="N65" s="1131"/>
      <c r="O65" s="1131"/>
      <c r="P65" s="545"/>
      <c r="Q65" s="546"/>
    </row>
    <row r="66" spans="1:17" s="458" customFormat="1" ht="15.75" thickTop="1">
      <c r="A66" s="540"/>
      <c r="B66" s="525">
        <f>B13</f>
        <v>111</v>
      </c>
      <c r="C66" s="541"/>
      <c r="D66" s="541"/>
      <c r="E66" s="541"/>
      <c r="F66" s="541"/>
      <c r="G66" s="541"/>
      <c r="H66" s="542"/>
      <c r="I66" s="542"/>
      <c r="J66" s="542"/>
      <c r="K66" s="542"/>
      <c r="L66" s="543"/>
      <c r="M66" s="544"/>
      <c r="N66" s="1132"/>
      <c r="O66" s="1132"/>
      <c r="P66" s="457"/>
      <c r="Q66" s="548"/>
    </row>
    <row r="67" spans="1:17" s="458" customFormat="1" ht="15.75" thickBot="1">
      <c r="A67" s="540"/>
      <c r="B67" s="530"/>
      <c r="C67" s="547"/>
      <c r="D67" s="523"/>
      <c r="E67" s="523"/>
      <c r="F67" s="523"/>
      <c r="G67" s="547"/>
      <c r="H67" s="549"/>
      <c r="I67" s="549"/>
      <c r="J67" s="549"/>
      <c r="K67" s="549"/>
      <c r="L67" s="549"/>
      <c r="M67" s="550"/>
      <c r="N67" s="1132"/>
      <c r="O67" s="1132"/>
      <c r="P67" s="545"/>
      <c r="Q67" s="546"/>
    </row>
    <row r="68" spans="1:17" s="458" customFormat="1" ht="15.75" thickTop="1">
      <c r="A68" s="540"/>
      <c r="B68" s="533">
        <f>B14</f>
        <v>111</v>
      </c>
      <c r="C68" s="510"/>
      <c r="D68" s="510"/>
      <c r="E68" s="510"/>
      <c r="F68" s="510"/>
      <c r="G68" s="510"/>
      <c r="H68" s="551"/>
      <c r="I68" s="551"/>
      <c r="J68" s="551"/>
      <c r="K68" s="551"/>
      <c r="L68" s="552"/>
      <c r="M68" s="553"/>
      <c r="N68" s="1132"/>
      <c r="O68" s="1132"/>
      <c r="P68" s="554"/>
      <c r="Q68" s="546"/>
    </row>
    <row r="69" spans="1:17" s="458" customFormat="1" ht="15.75" thickBot="1">
      <c r="A69" s="555"/>
      <c r="B69" s="556"/>
      <c r="C69" s="557"/>
      <c r="D69" s="557"/>
      <c r="E69" s="557"/>
      <c r="F69" s="557"/>
      <c r="G69" s="557"/>
      <c r="H69" s="558"/>
      <c r="I69" s="558"/>
      <c r="J69" s="558"/>
      <c r="K69" s="558"/>
      <c r="L69" s="558"/>
      <c r="M69" s="559"/>
      <c r="N69" s="1132"/>
      <c r="O69" s="1132"/>
      <c r="P69" s="545"/>
      <c r="Q69" s="546"/>
    </row>
    <row r="70" spans="1:17">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5.75"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7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5.75"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7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5.75"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7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5.75"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7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5.75"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5.75" thickTop="1">
      <c r="A80" s="566"/>
      <c r="B80" s="525">
        <f>B25</f>
        <v>111</v>
      </c>
      <c r="C80" s="541"/>
      <c r="D80" s="541"/>
      <c r="E80" s="541"/>
      <c r="F80" s="541"/>
      <c r="G80" s="541"/>
      <c r="H80" s="541"/>
      <c r="I80" s="541"/>
      <c r="J80" s="541"/>
      <c r="K80" s="541"/>
      <c r="L80" s="567"/>
      <c r="M80" s="568"/>
      <c r="N80" s="1129"/>
      <c r="O80" s="1129"/>
      <c r="P80" s="45"/>
      <c r="Q80" s="491"/>
    </row>
    <row r="81" spans="1:17" s="112" customFormat="1" ht="15.75" thickBot="1">
      <c r="A81" s="566"/>
      <c r="B81" s="530"/>
      <c r="C81" s="547"/>
      <c r="D81" s="523"/>
      <c r="E81" s="523"/>
      <c r="F81" s="523"/>
      <c r="G81" s="523"/>
      <c r="H81" s="523"/>
      <c r="I81" s="523"/>
      <c r="J81" s="523"/>
      <c r="K81" s="523"/>
      <c r="L81" s="523"/>
      <c r="M81" s="524"/>
      <c r="N81" s="1131"/>
      <c r="O81" s="1131"/>
      <c r="P81" s="45"/>
      <c r="Q81" s="491"/>
    </row>
    <row r="82" spans="1:17" s="112" customFormat="1" ht="15.75" thickTop="1">
      <c r="A82" s="566"/>
      <c r="B82" s="525">
        <f>B26</f>
        <v>111</v>
      </c>
      <c r="C82" s="541"/>
      <c r="D82" s="541"/>
      <c r="E82" s="541"/>
      <c r="F82" s="541"/>
      <c r="G82" s="541"/>
      <c r="H82" s="541"/>
      <c r="I82" s="541"/>
      <c r="J82" s="541"/>
      <c r="K82" s="541"/>
      <c r="L82" s="567"/>
      <c r="M82" s="568"/>
      <c r="N82" s="1129"/>
      <c r="O82" s="1129"/>
      <c r="P82" s="45"/>
      <c r="Q82" s="491"/>
    </row>
    <row r="83" spans="1:17" s="112" customFormat="1" ht="15.75" thickBot="1">
      <c r="A83" s="566"/>
      <c r="B83" s="530"/>
      <c r="C83" s="547"/>
      <c r="D83" s="523"/>
      <c r="E83" s="523"/>
      <c r="F83" s="523"/>
      <c r="G83" s="523"/>
      <c r="H83" s="523"/>
      <c r="I83" s="523"/>
      <c r="J83" s="523"/>
      <c r="K83" s="523"/>
      <c r="L83" s="523"/>
      <c r="M83" s="524"/>
      <c r="N83" s="1131"/>
      <c r="O83" s="1131"/>
      <c r="P83" s="45"/>
      <c r="Q83" s="491"/>
    </row>
    <row r="84" spans="1:17" s="458" customFormat="1" ht="15.75" thickTop="1">
      <c r="A84" s="540"/>
      <c r="B84" s="525">
        <f>B27</f>
        <v>111</v>
      </c>
      <c r="C84" s="541"/>
      <c r="D84" s="541"/>
      <c r="E84" s="541"/>
      <c r="F84" s="541"/>
      <c r="G84" s="541"/>
      <c r="H84" s="541"/>
      <c r="I84" s="541"/>
      <c r="J84" s="541"/>
      <c r="K84" s="541"/>
      <c r="L84" s="567"/>
      <c r="M84" s="568"/>
      <c r="N84" s="1132"/>
      <c r="O84" s="1132"/>
      <c r="P84" s="545"/>
      <c r="Q84" s="546"/>
    </row>
    <row r="85" spans="1:17" s="458" customFormat="1" ht="15.75" thickBot="1">
      <c r="A85" s="540"/>
      <c r="B85" s="530"/>
      <c r="C85" s="547"/>
      <c r="D85" s="523"/>
      <c r="E85" s="523"/>
      <c r="F85" s="523"/>
      <c r="G85" s="523"/>
      <c r="H85" s="523"/>
      <c r="I85" s="523"/>
      <c r="J85" s="523"/>
      <c r="K85" s="523"/>
      <c r="L85" s="523"/>
      <c r="M85" s="524"/>
      <c r="N85" s="1132"/>
      <c r="O85" s="1132"/>
      <c r="P85" s="545"/>
      <c r="Q85" s="546"/>
    </row>
    <row r="86" spans="1:17" ht="15.75" thickTop="1">
      <c r="A86" s="521"/>
      <c r="B86" s="533">
        <f>B28</f>
        <v>111</v>
      </c>
      <c r="C86" s="510"/>
      <c r="D86" s="510"/>
      <c r="E86" s="510"/>
      <c r="F86" s="510"/>
      <c r="G86" s="574"/>
      <c r="H86" s="574"/>
      <c r="I86" s="574"/>
      <c r="J86" s="574"/>
      <c r="K86" s="575"/>
      <c r="L86" s="576"/>
      <c r="M86" s="577"/>
      <c r="N86" s="1130"/>
      <c r="O86" s="1130"/>
      <c r="P86" s="45"/>
      <c r="Q86" s="491"/>
    </row>
    <row r="87" spans="1:17" ht="15.75" thickBot="1">
      <c r="A87" s="2603"/>
      <c r="B87" s="556"/>
      <c r="C87" s="557"/>
      <c r="D87" s="557"/>
      <c r="E87" s="557"/>
      <c r="F87" s="557"/>
      <c r="G87" s="578"/>
      <c r="H87" s="578"/>
      <c r="I87" s="578"/>
      <c r="J87" s="578"/>
      <c r="K87" s="578"/>
      <c r="L87" s="578"/>
      <c r="M87" s="579"/>
      <c r="N87" s="1131"/>
      <c r="O87" s="1131"/>
      <c r="P87" s="45"/>
      <c r="Q87" s="491"/>
    </row>
    <row r="88" spans="1:17">
      <c r="A88" s="514" t="s">
        <v>2553</v>
      </c>
      <c r="B88" s="515" t="s">
        <v>2602</v>
      </c>
      <c r="C88" s="517"/>
      <c r="D88" s="517"/>
      <c r="E88" s="517"/>
      <c r="F88" s="517"/>
      <c r="G88" s="517"/>
      <c r="H88" s="517"/>
      <c r="I88" s="517"/>
      <c r="J88" s="517"/>
      <c r="K88" s="518"/>
      <c r="L88" s="519"/>
      <c r="M88" s="520"/>
      <c r="N88" s="1130"/>
      <c r="O88" s="1130"/>
      <c r="P88" s="45"/>
      <c r="Q88" s="491"/>
    </row>
    <row r="89" spans="1:17" ht="15.75"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7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5.75"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5.75"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5.75"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5.75"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5.75"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5.75"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5.75"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15"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5.75"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5"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5.75" thickBot="1">
      <c r="A109" s="540"/>
      <c r="B109" s="522"/>
      <c r="C109" s="547"/>
      <c r="D109" s="523"/>
      <c r="E109" s="523"/>
      <c r="F109" s="523"/>
      <c r="G109" s="547"/>
      <c r="H109" s="549"/>
      <c r="I109" s="549"/>
      <c r="J109" s="549"/>
      <c r="K109" s="549"/>
      <c r="L109" s="549"/>
      <c r="M109" s="550"/>
      <c r="N109" s="1132"/>
      <c r="O109" s="1132"/>
      <c r="P109" s="545"/>
      <c r="Q109" s="546"/>
    </row>
    <row r="110" spans="1:17" ht="15" thickTop="1">
      <c r="A110" s="586"/>
      <c r="B110" s="525">
        <f>B39</f>
        <v>111</v>
      </c>
      <c r="C110" s="541"/>
      <c r="D110" s="541"/>
      <c r="E110" s="541"/>
      <c r="F110" s="541"/>
      <c r="G110" s="541"/>
      <c r="H110" s="542"/>
      <c r="I110" s="542"/>
      <c r="J110" s="542"/>
      <c r="K110" s="542"/>
      <c r="L110" s="543"/>
      <c r="M110" s="544"/>
      <c r="N110" s="1130"/>
      <c r="O110" s="1130"/>
      <c r="P110" s="45"/>
      <c r="Q110" s="491"/>
    </row>
    <row r="111" spans="1:17" ht="15.75" thickBot="1">
      <c r="A111" s="521"/>
      <c r="B111" s="530"/>
      <c r="C111" s="547"/>
      <c r="D111" s="523"/>
      <c r="E111" s="523"/>
      <c r="F111" s="523"/>
      <c r="G111" s="547"/>
      <c r="H111" s="549"/>
      <c r="I111" s="549"/>
      <c r="J111" s="549"/>
      <c r="K111" s="549"/>
      <c r="L111" s="549"/>
      <c r="M111" s="550"/>
      <c r="N111" s="1131"/>
      <c r="O111" s="1131"/>
      <c r="P111" s="45"/>
      <c r="Q111" s="491"/>
    </row>
    <row r="112" spans="1:17" ht="15" thickTop="1">
      <c r="A112" s="586"/>
      <c r="B112" s="533">
        <f>B40</f>
        <v>111</v>
      </c>
      <c r="C112" s="510"/>
      <c r="D112" s="510"/>
      <c r="E112" s="510"/>
      <c r="F112" s="510"/>
      <c r="G112" s="574"/>
      <c r="H112" s="574"/>
      <c r="I112" s="574"/>
      <c r="J112" s="574"/>
      <c r="K112" s="510"/>
      <c r="L112" s="511"/>
      <c r="M112" s="577"/>
      <c r="N112" s="1130"/>
      <c r="O112" s="1130"/>
      <c r="P112" s="45"/>
      <c r="Q112" s="491"/>
    </row>
    <row r="113" spans="1:17" ht="15.75"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6" si="3">D8/F8</f>
        <v>#DIV/0!</v>
      </c>
      <c r="AB8" s="758" t="e">
        <f t="shared" ref="AB8:AB36" si="4">D8/H8</f>
        <v>#DIV/0!</v>
      </c>
      <c r="AC8" s="758" t="e">
        <f t="shared" ref="AC8:AC36" si="5">D8/J8</f>
        <v>#DIV/0!</v>
      </c>
    </row>
    <row r="9" spans="1:29" s="112" customFormat="1">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7">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75"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14">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285"/>
      <c r="Q15" s="1788"/>
      <c r="R15" s="759"/>
      <c r="S15" s="760"/>
      <c r="T15" s="759"/>
      <c r="U15" s="760"/>
      <c r="V15" s="759"/>
      <c r="W15" s="760"/>
      <c r="X15" s="1791"/>
      <c r="Y15" s="3285"/>
      <c r="Z15" s="1792"/>
      <c r="AA15" s="1789">
        <v>1</v>
      </c>
      <c r="AB15" s="1789">
        <v>1</v>
      </c>
      <c r="AC15" s="1789">
        <v>1</v>
      </c>
    </row>
    <row r="16" spans="1:29" ht="71.25">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285"/>
      <c r="Q17" s="1788"/>
      <c r="R17" s="759"/>
      <c r="S17" s="760"/>
      <c r="T17" s="759"/>
      <c r="U17" s="760"/>
      <c r="V17" s="759"/>
      <c r="W17" s="760"/>
      <c r="X17" s="1791"/>
      <c r="Y17" s="3285"/>
      <c r="Z17" s="1792"/>
      <c r="AA17" s="1789">
        <v>1</v>
      </c>
      <c r="AB17" s="1789">
        <v>1</v>
      </c>
      <c r="AC17" s="1789">
        <v>1</v>
      </c>
    </row>
    <row r="18" spans="1:29" ht="42.75">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285"/>
      <c r="Q19" s="1788"/>
      <c r="R19" s="759"/>
      <c r="S19" s="760"/>
      <c r="T19" s="759"/>
      <c r="U19" s="760"/>
      <c r="V19" s="759"/>
      <c r="W19" s="760"/>
      <c r="X19" s="1791"/>
      <c r="Y19" s="3285"/>
      <c r="Z19" s="1792"/>
      <c r="AA19" s="1789">
        <v>1</v>
      </c>
      <c r="AB19" s="1789">
        <v>1</v>
      </c>
      <c r="AC19" s="1789">
        <v>1</v>
      </c>
    </row>
    <row r="20" spans="1:29" ht="71.25">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285"/>
      <c r="Q21" s="1788"/>
      <c r="R21" s="759"/>
      <c r="S21" s="760"/>
      <c r="T21" s="759"/>
      <c r="U21" s="760"/>
      <c r="V21" s="759"/>
      <c r="W21" s="760"/>
      <c r="X21" s="1791"/>
      <c r="Y21" s="3285"/>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85"/>
      <c r="Q24" s="1788">
        <f t="shared" ref="Q24:Q36"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75"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28.5">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86"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287"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87"/>
      <c r="Q27" s="761" t="str">
        <f t="shared" si="11"/>
        <v>项目停车位配比</v>
      </c>
      <c r="R27" s="762" t="s">
        <v>17</v>
      </c>
      <c r="S27" s="763">
        <f t="shared" si="12"/>
        <v>100</v>
      </c>
      <c r="T27" s="762" t="s">
        <v>17</v>
      </c>
      <c r="U27" s="763">
        <f t="shared" si="13"/>
        <v>100</v>
      </c>
      <c r="V27" s="762" t="s">
        <v>17</v>
      </c>
      <c r="W27" s="763">
        <f t="shared" si="14"/>
        <v>100</v>
      </c>
      <c r="X27" s="764"/>
      <c r="Y27" s="3287"/>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87"/>
      <c r="Q28" s="1788" t="str">
        <f t="shared" si="11"/>
        <v>公共部分装修</v>
      </c>
      <c r="R28" s="759" t="s">
        <v>17</v>
      </c>
      <c r="S28" s="760">
        <f t="shared" si="12"/>
        <v>100</v>
      </c>
      <c r="T28" s="759" t="s">
        <v>17</v>
      </c>
      <c r="U28" s="760">
        <f t="shared" si="13"/>
        <v>100</v>
      </c>
      <c r="V28" s="759" t="s">
        <v>17</v>
      </c>
      <c r="W28" s="760">
        <f t="shared" si="14"/>
        <v>100</v>
      </c>
      <c r="X28" s="1791"/>
      <c r="Y28" s="3287"/>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87"/>
      <c r="Q29" s="1788" t="str">
        <f t="shared" si="11"/>
        <v>成新率</v>
      </c>
      <c r="R29" s="759" t="s">
        <v>17</v>
      </c>
      <c r="S29" s="760" t="e">
        <f t="shared" si="12"/>
        <v>#N/A</v>
      </c>
      <c r="T29" s="759" t="s">
        <v>17</v>
      </c>
      <c r="U29" s="760" t="e">
        <f t="shared" si="13"/>
        <v>#N/A</v>
      </c>
      <c r="V29" s="759" t="s">
        <v>17</v>
      </c>
      <c r="W29" s="760" t="e">
        <f t="shared" si="14"/>
        <v>#N/A</v>
      </c>
      <c r="X29" s="1791"/>
      <c r="Y29" s="3287"/>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87"/>
      <c r="Q30" s="1788" t="str">
        <f t="shared" si="11"/>
        <v>物业等级</v>
      </c>
      <c r="R30" s="759" t="s">
        <v>17</v>
      </c>
      <c r="S30" s="760">
        <f t="shared" si="12"/>
        <v>100</v>
      </c>
      <c r="T30" s="759" t="s">
        <v>17</v>
      </c>
      <c r="U30" s="760">
        <f t="shared" si="13"/>
        <v>100</v>
      </c>
      <c r="V30" s="759" t="s">
        <v>17</v>
      </c>
      <c r="W30" s="760">
        <f t="shared" si="14"/>
        <v>100</v>
      </c>
      <c r="X30" s="1791"/>
      <c r="Y30" s="3287"/>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87"/>
      <c r="Q31" s="1773" t="str">
        <f t="shared" si="11"/>
        <v>停车位面积</v>
      </c>
      <c r="R31" s="755" t="s">
        <v>17</v>
      </c>
      <c r="S31" s="756" t="e">
        <f t="shared" si="12"/>
        <v>#N/A</v>
      </c>
      <c r="T31" s="755" t="s">
        <v>17</v>
      </c>
      <c r="U31" s="756" t="e">
        <f t="shared" si="13"/>
        <v>#N/A</v>
      </c>
      <c r="V31" s="755" t="s">
        <v>17</v>
      </c>
      <c r="W31" s="756" t="e">
        <f t="shared" si="14"/>
        <v>#N/A</v>
      </c>
      <c r="X31" s="757"/>
      <c r="Y31" s="3287"/>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87" t="s">
        <v>2555</v>
      </c>
      <c r="Q32" s="1788" t="str">
        <f t="shared" si="11"/>
        <v>车位类型</v>
      </c>
      <c r="R32" s="759" t="s">
        <v>17</v>
      </c>
      <c r="S32" s="760">
        <f t="shared" si="12"/>
        <v>100</v>
      </c>
      <c r="T32" s="759" t="s">
        <v>17</v>
      </c>
      <c r="U32" s="760">
        <f t="shared" si="13"/>
        <v>100</v>
      </c>
      <c r="V32" s="759" t="s">
        <v>17</v>
      </c>
      <c r="W32" s="760">
        <f t="shared" si="14"/>
        <v>100</v>
      </c>
      <c r="X32" s="1791"/>
      <c r="Y32" s="3287"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87"/>
      <c r="Q33" s="1788" t="str">
        <f t="shared" si="11"/>
        <v>是否直接入户</v>
      </c>
      <c r="R33" s="759" t="s">
        <v>17</v>
      </c>
      <c r="S33" s="760">
        <f t="shared" si="12"/>
        <v>100</v>
      </c>
      <c r="T33" s="759" t="s">
        <v>17</v>
      </c>
      <c r="U33" s="760">
        <f t="shared" si="13"/>
        <v>100</v>
      </c>
      <c r="V33" s="759" t="s">
        <v>17</v>
      </c>
      <c r="W33" s="760">
        <f t="shared" si="14"/>
        <v>100</v>
      </c>
      <c r="X33" s="1791"/>
      <c r="Y33" s="3287"/>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87"/>
      <c r="Q35" s="761">
        <f t="shared" si="11"/>
        <v>111</v>
      </c>
      <c r="R35" s="762" t="s">
        <v>17</v>
      </c>
      <c r="S35" s="763">
        <f t="shared" si="12"/>
        <v>100</v>
      </c>
      <c r="T35" s="762" t="s">
        <v>17</v>
      </c>
      <c r="U35" s="763">
        <f t="shared" si="13"/>
        <v>100</v>
      </c>
      <c r="V35" s="762" t="s">
        <v>17</v>
      </c>
      <c r="W35" s="763">
        <f t="shared" si="14"/>
        <v>100</v>
      </c>
      <c r="X35" s="764"/>
      <c r="Y35" s="3287"/>
      <c r="Z35" s="765">
        <f t="shared" si="15"/>
        <v>111</v>
      </c>
      <c r="AA35" s="1789">
        <f t="shared" si="3"/>
        <v>1</v>
      </c>
      <c r="AB35" s="1789">
        <f t="shared" si="4"/>
        <v>1</v>
      </c>
      <c r="AC35" s="1789">
        <f t="shared" si="5"/>
        <v>1</v>
      </c>
    </row>
    <row r="36" spans="1:29" ht="15.75"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87"/>
      <c r="Q36" s="1788">
        <f t="shared" si="11"/>
        <v>111</v>
      </c>
      <c r="R36" s="759" t="s">
        <v>17</v>
      </c>
      <c r="S36" s="760">
        <f t="shared" si="12"/>
        <v>100</v>
      </c>
      <c r="T36" s="759" t="s">
        <v>17</v>
      </c>
      <c r="U36" s="760">
        <f t="shared" si="13"/>
        <v>100</v>
      </c>
      <c r="V36" s="759" t="s">
        <v>17</v>
      </c>
      <c r="W36" s="760">
        <f t="shared" si="14"/>
        <v>100</v>
      </c>
      <c r="X36" s="1791"/>
      <c r="Y36" s="3287"/>
      <c r="Z36" s="1792">
        <f t="shared" si="15"/>
        <v>111</v>
      </c>
      <c r="AA36" s="1789">
        <f t="shared" si="3"/>
        <v>1</v>
      </c>
      <c r="AB36" s="1789">
        <f t="shared" si="4"/>
        <v>1</v>
      </c>
      <c r="AC36" s="1789">
        <f t="shared" si="5"/>
        <v>1</v>
      </c>
    </row>
    <row r="37" spans="1:29" ht="15">
      <c r="A37" s="466" t="s">
        <v>2710</v>
      </c>
      <c r="B37" s="2662" t="s">
        <v>2711</v>
      </c>
      <c r="C37" s="1385" t="s">
        <v>1</v>
      </c>
      <c r="D37" s="1386"/>
      <c r="E37" s="1387"/>
      <c r="F37" s="1388"/>
      <c r="G37" s="1389"/>
      <c r="H37" s="1390"/>
      <c r="I37" s="1387"/>
      <c r="J37" s="1390"/>
      <c r="K37" s="606"/>
      <c r="L37" s="1121"/>
      <c r="M37" s="1122"/>
      <c r="N37" s="1109"/>
      <c r="O37" s="1122"/>
      <c r="P37" s="3282" t="str">
        <f>A37</f>
        <v>成交单价</v>
      </c>
      <c r="Q37" s="3282"/>
      <c r="R37" s="3349">
        <f>E37</f>
        <v>0</v>
      </c>
      <c r="S37" s="3349"/>
      <c r="T37" s="3349">
        <f>G37</f>
        <v>0</v>
      </c>
      <c r="U37" s="3349"/>
      <c r="V37" s="3349">
        <f>I37</f>
        <v>0</v>
      </c>
      <c r="W37" s="3349"/>
      <c r="X37" s="744"/>
      <c r="Y37" s="766"/>
      <c r="Z37" s="744"/>
      <c r="AA37" s="744"/>
      <c r="AB37" s="744"/>
      <c r="AC37" s="744"/>
    </row>
    <row r="38" spans="1:29" ht="15.7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82" t="str">
        <f>A38</f>
        <v>比较价值（元/平方米）</v>
      </c>
      <c r="Q38" s="328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44"/>
      <c r="Y38" s="744"/>
      <c r="Z38" s="744"/>
      <c r="AA38" s="744"/>
      <c r="AB38" s="744"/>
      <c r="AC38" s="744"/>
    </row>
    <row r="39" spans="1:29" ht="15.75" thickBot="1">
      <c r="A39" s="479" t="s">
        <v>2713</v>
      </c>
      <c r="B39" s="480"/>
      <c r="C39" s="1395" t="e">
        <f>R39</f>
        <v>#DIV/0!</v>
      </c>
      <c r="D39" s="1395"/>
      <c r="E39" s="1395"/>
      <c r="F39" s="1395"/>
      <c r="G39" s="1395"/>
      <c r="H39" s="1395"/>
      <c r="I39" s="1395"/>
      <c r="J39" s="1395"/>
      <c r="K39" s="608"/>
      <c r="L39" s="1121"/>
      <c r="M39" s="1122"/>
      <c r="N39" s="1122"/>
      <c r="O39" s="1122"/>
      <c r="P39" s="3276" t="str">
        <f>A39</f>
        <v>估价对象XX用房的比较价值（楼面单价，元/平方米）</v>
      </c>
      <c r="Q39" s="3277"/>
      <c r="R39" s="3348" t="e">
        <f>IF(F1="售价",ROUND(AVERAGE(R38:V38),0),ROUND(AVERAGE(R38:V38),1))</f>
        <v>#DIV/0!</v>
      </c>
      <c r="S39" s="3348"/>
      <c r="T39" s="3348"/>
      <c r="U39" s="3348"/>
      <c r="V39" s="3348"/>
      <c r="W39" s="3348"/>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1.75"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5">
      <c r="A48" s="492" t="s">
        <v>2718</v>
      </c>
      <c r="B48" s="493"/>
      <c r="C48" s="1552" t="str">
        <f>YEAR(C7)&amp;"-"&amp;MONTH(C7)</f>
        <v>2020-5</v>
      </c>
      <c r="D48" s="1553">
        <f>EDATE(C48,-1)</f>
        <v>43922</v>
      </c>
      <c r="E48" s="1553">
        <f t="shared" ref="E48:O48" si="16">EDATE(D48,-1)</f>
        <v>43891</v>
      </c>
      <c r="F48" s="1553">
        <f t="shared" si="16"/>
        <v>43862</v>
      </c>
      <c r="G48" s="1553">
        <f t="shared" si="16"/>
        <v>43831</v>
      </c>
      <c r="H48" s="1553">
        <f t="shared" si="16"/>
        <v>43800</v>
      </c>
      <c r="I48" s="1553">
        <f t="shared" si="16"/>
        <v>43770</v>
      </c>
      <c r="J48" s="1553">
        <f t="shared" si="16"/>
        <v>43739</v>
      </c>
      <c r="K48" s="1553">
        <f t="shared" si="16"/>
        <v>43709</v>
      </c>
      <c r="L48" s="1553">
        <f t="shared" si="16"/>
        <v>43678</v>
      </c>
      <c r="M48" s="1553">
        <f t="shared" si="16"/>
        <v>43647</v>
      </c>
      <c r="N48" s="1553">
        <f t="shared" si="16"/>
        <v>43617</v>
      </c>
      <c r="O48" s="1553">
        <f t="shared" si="16"/>
        <v>43586</v>
      </c>
      <c r="P48" s="1416"/>
      <c r="Q48" s="1417"/>
      <c r="R48" s="1417"/>
      <c r="S48" s="1417"/>
      <c r="T48" s="1417"/>
      <c r="U48" s="1417"/>
      <c r="V48" s="1417"/>
      <c r="W48" s="1417"/>
      <c r="X48" s="1417"/>
      <c r="Y48" s="1417"/>
      <c r="Z48" s="1417"/>
      <c r="AA48" s="1417"/>
      <c r="AB48" s="1417"/>
      <c r="AC48" s="1417"/>
    </row>
    <row r="49" spans="1:29" s="112" customFormat="1" ht="15">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7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5">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5.75"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5.75"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7.75"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5.75"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5.75"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5.75"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5.75"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5.75"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5.75"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5.75"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5.75"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7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5.75"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7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5.75"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7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5.75"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7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5.75"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5.75"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5.75"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5.75"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5.75"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5.75"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5.75"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7.75"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5.75"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7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5.75"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5.75"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5.75"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5.75"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5.75"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5.75"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5.75"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5"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5.75"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5"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5.75"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5"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5.75"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4" si="3">D8/F8</f>
        <v>#DIV/0!</v>
      </c>
      <c r="AB8" s="758" t="e">
        <f t="shared" ref="AB8:AB34" si="4">D8/H8</f>
        <v>#DIV/0!</v>
      </c>
      <c r="AC8" s="758" t="e">
        <f t="shared" ref="AC8:AC34" si="5">D8/J8</f>
        <v>#DIV/0!</v>
      </c>
    </row>
    <row r="9" spans="1:29" s="112" customFormat="1">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7">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75"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14">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285"/>
      <c r="Q15" s="1788"/>
      <c r="R15" s="759"/>
      <c r="S15" s="760"/>
      <c r="T15" s="759"/>
      <c r="U15" s="760"/>
      <c r="V15" s="759"/>
      <c r="W15" s="760"/>
      <c r="X15" s="1791"/>
      <c r="Y15" s="3285"/>
      <c r="Z15" s="1792"/>
      <c r="AA15" s="1789">
        <v>1</v>
      </c>
      <c r="AB15" s="1789">
        <v>1</v>
      </c>
      <c r="AC15" s="1789">
        <v>1</v>
      </c>
    </row>
    <row r="16" spans="1:29" ht="71.25">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285"/>
      <c r="Q17" s="1788"/>
      <c r="R17" s="759"/>
      <c r="S17" s="760"/>
      <c r="T17" s="759"/>
      <c r="U17" s="760"/>
      <c r="V17" s="759"/>
      <c r="W17" s="760"/>
      <c r="X17" s="1791"/>
      <c r="Y17" s="3285"/>
      <c r="Z17" s="1792"/>
      <c r="AA17" s="1789">
        <v>1</v>
      </c>
      <c r="AB17" s="1789">
        <v>1</v>
      </c>
      <c r="AC17" s="1789">
        <v>1</v>
      </c>
    </row>
    <row r="18" spans="1:29" ht="42.75">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285"/>
      <c r="Q19" s="1788"/>
      <c r="R19" s="759"/>
      <c r="S19" s="760"/>
      <c r="T19" s="759"/>
      <c r="U19" s="760"/>
      <c r="V19" s="759"/>
      <c r="W19" s="760"/>
      <c r="X19" s="1791"/>
      <c r="Y19" s="3285"/>
      <c r="Z19" s="1792"/>
      <c r="AA19" s="1789">
        <v>1</v>
      </c>
      <c r="AB19" s="1789">
        <v>1</v>
      </c>
      <c r="AC19" s="1789">
        <v>1</v>
      </c>
    </row>
    <row r="20" spans="1:29" ht="71.25">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285"/>
      <c r="Q21" s="1788"/>
      <c r="R21" s="759"/>
      <c r="S21" s="760"/>
      <c r="T21" s="759"/>
      <c r="U21" s="760"/>
      <c r="V21" s="759"/>
      <c r="W21" s="760"/>
      <c r="X21" s="1791"/>
      <c r="Y21" s="3285"/>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85"/>
      <c r="Q24" s="1788">
        <f t="shared" ref="Q24:Q34"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75"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28.5">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286"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287"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87"/>
      <c r="Q27" s="761" t="str">
        <f t="shared" si="11"/>
        <v>成新率</v>
      </c>
      <c r="R27" s="762" t="s">
        <v>17</v>
      </c>
      <c r="S27" s="763" t="e">
        <f t="shared" si="12"/>
        <v>#N/A</v>
      </c>
      <c r="T27" s="762" t="s">
        <v>17</v>
      </c>
      <c r="U27" s="763" t="e">
        <f t="shared" si="13"/>
        <v>#N/A</v>
      </c>
      <c r="V27" s="762" t="s">
        <v>17</v>
      </c>
      <c r="W27" s="763" t="e">
        <f t="shared" si="14"/>
        <v>#N/A</v>
      </c>
      <c r="X27" s="764"/>
      <c r="Y27" s="3287"/>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87"/>
      <c r="Q28" s="1788" t="str">
        <f t="shared" si="11"/>
        <v>物业等级</v>
      </c>
      <c r="R28" s="759" t="s">
        <v>17</v>
      </c>
      <c r="S28" s="760">
        <f t="shared" si="12"/>
        <v>100</v>
      </c>
      <c r="T28" s="759" t="s">
        <v>17</v>
      </c>
      <c r="U28" s="760">
        <f t="shared" si="13"/>
        <v>100</v>
      </c>
      <c r="V28" s="759" t="s">
        <v>17</v>
      </c>
      <c r="W28" s="760">
        <f t="shared" si="14"/>
        <v>100</v>
      </c>
      <c r="X28" s="1791"/>
      <c r="Y28" s="3287"/>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87"/>
      <c r="Q29" s="1788" t="str">
        <f t="shared" si="11"/>
        <v>有无电梯</v>
      </c>
      <c r="R29" s="759" t="s">
        <v>17</v>
      </c>
      <c r="S29" s="760">
        <f t="shared" si="12"/>
        <v>100</v>
      </c>
      <c r="T29" s="759" t="s">
        <v>17</v>
      </c>
      <c r="U29" s="760">
        <f t="shared" si="13"/>
        <v>100</v>
      </c>
      <c r="V29" s="759" t="s">
        <v>17</v>
      </c>
      <c r="W29" s="760">
        <f t="shared" si="14"/>
        <v>100</v>
      </c>
      <c r="X29" s="1791"/>
      <c r="Y29" s="3287"/>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87"/>
      <c r="Q30" s="1788" t="str">
        <f t="shared" si="11"/>
        <v>建筑面积</v>
      </c>
      <c r="R30" s="759" t="s">
        <v>17</v>
      </c>
      <c r="S30" s="760" t="e">
        <f t="shared" si="12"/>
        <v>#N/A</v>
      </c>
      <c r="T30" s="759" t="s">
        <v>17</v>
      </c>
      <c r="U30" s="760" t="e">
        <f t="shared" si="13"/>
        <v>#N/A</v>
      </c>
      <c r="V30" s="759" t="s">
        <v>17</v>
      </c>
      <c r="W30" s="760" t="e">
        <f t="shared" si="14"/>
        <v>#N/A</v>
      </c>
      <c r="X30" s="1791"/>
      <c r="Y30" s="3287"/>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87"/>
      <c r="Q31" s="1773" t="str">
        <f t="shared" si="11"/>
        <v>是否封闭</v>
      </c>
      <c r="R31" s="755" t="s">
        <v>17</v>
      </c>
      <c r="S31" s="756">
        <f t="shared" si="12"/>
        <v>100</v>
      </c>
      <c r="T31" s="755" t="s">
        <v>17</v>
      </c>
      <c r="U31" s="756">
        <f t="shared" si="13"/>
        <v>100</v>
      </c>
      <c r="V31" s="755" t="s">
        <v>17</v>
      </c>
      <c r="W31" s="756">
        <f t="shared" si="14"/>
        <v>100</v>
      </c>
      <c r="X31" s="757"/>
      <c r="Y31" s="3287"/>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87" t="s">
        <v>2555</v>
      </c>
      <c r="Q32" s="1788">
        <f t="shared" si="11"/>
        <v>111</v>
      </c>
      <c r="R32" s="759" t="s">
        <v>17</v>
      </c>
      <c r="S32" s="760">
        <f t="shared" si="12"/>
        <v>100</v>
      </c>
      <c r="T32" s="759" t="s">
        <v>17</v>
      </c>
      <c r="U32" s="760">
        <f t="shared" si="13"/>
        <v>100</v>
      </c>
      <c r="V32" s="759" t="s">
        <v>17</v>
      </c>
      <c r="W32" s="760">
        <f t="shared" si="14"/>
        <v>100</v>
      </c>
      <c r="X32" s="1791"/>
      <c r="Y32" s="3287"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87"/>
      <c r="Q33" s="1788">
        <f t="shared" si="11"/>
        <v>111</v>
      </c>
      <c r="R33" s="759" t="s">
        <v>17</v>
      </c>
      <c r="S33" s="760">
        <f t="shared" si="12"/>
        <v>100</v>
      </c>
      <c r="T33" s="759" t="s">
        <v>17</v>
      </c>
      <c r="U33" s="760">
        <f t="shared" si="13"/>
        <v>100</v>
      </c>
      <c r="V33" s="759" t="s">
        <v>17</v>
      </c>
      <c r="W33" s="760">
        <f t="shared" si="14"/>
        <v>100</v>
      </c>
      <c r="X33" s="1791"/>
      <c r="Y33" s="3287"/>
      <c r="Z33" s="1792">
        <f t="shared" si="15"/>
        <v>111</v>
      </c>
      <c r="AA33" s="1789">
        <f t="shared" si="3"/>
        <v>1</v>
      </c>
      <c r="AB33" s="1789">
        <f t="shared" si="4"/>
        <v>1</v>
      </c>
      <c r="AC33" s="1789">
        <f t="shared" si="5"/>
        <v>1</v>
      </c>
    </row>
    <row r="34" spans="1:29" ht="15.75"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ht="15">
      <c r="A35" s="466" t="s">
        <v>2567</v>
      </c>
      <c r="B35" s="467"/>
      <c r="C35" s="1385" t="s">
        <v>1</v>
      </c>
      <c r="D35" s="1386"/>
      <c r="E35" s="1387"/>
      <c r="F35" s="1388"/>
      <c r="G35" s="1389"/>
      <c r="H35" s="1390"/>
      <c r="I35" s="1387"/>
      <c r="J35" s="1390"/>
      <c r="K35" s="768"/>
      <c r="L35" s="1121"/>
      <c r="M35" s="1122"/>
      <c r="N35" s="1109"/>
      <c r="O35" s="1122"/>
      <c r="P35" s="3282" t="str">
        <f>A35</f>
        <v>成交单价（元/平方米）</v>
      </c>
      <c r="Q35" s="3282"/>
      <c r="R35" s="3349">
        <f>E35</f>
        <v>0</v>
      </c>
      <c r="S35" s="3349"/>
      <c r="T35" s="3349">
        <f>G35</f>
        <v>0</v>
      </c>
      <c r="U35" s="3349"/>
      <c r="V35" s="3349">
        <f>I35</f>
        <v>0</v>
      </c>
      <c r="W35" s="3349"/>
      <c r="X35" s="744"/>
      <c r="Y35" s="766"/>
      <c r="Z35" s="744"/>
      <c r="AA35" s="744"/>
      <c r="AB35" s="744"/>
      <c r="AC35" s="744"/>
    </row>
    <row r="36" spans="1:29" ht="15.7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282" t="str">
        <f>A36</f>
        <v>比较价值（元/平方米）</v>
      </c>
      <c r="Q36" s="328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44"/>
      <c r="Y36" s="744"/>
      <c r="Z36" s="744"/>
      <c r="AA36" s="744"/>
      <c r="AB36" s="744"/>
      <c r="AC36" s="744"/>
    </row>
    <row r="37" spans="1:29" ht="15.75" thickBot="1">
      <c r="A37" s="479" t="s">
        <v>2660</v>
      </c>
      <c r="B37" s="480"/>
      <c r="C37" s="1395" t="e">
        <f>R37</f>
        <v>#DIV/0!</v>
      </c>
      <c r="D37" s="1395"/>
      <c r="E37" s="1395"/>
      <c r="F37" s="1395"/>
      <c r="G37" s="1395"/>
      <c r="H37" s="1395"/>
      <c r="I37" s="1395"/>
      <c r="J37" s="1395"/>
      <c r="K37" s="770"/>
      <c r="L37" s="1121"/>
      <c r="M37" s="1122"/>
      <c r="N37" s="1122"/>
      <c r="O37" s="1122"/>
      <c r="P37" s="3276" t="str">
        <f>A37</f>
        <v>估价对象XX用房的比较价值（楼面单价，元/平方米）</v>
      </c>
      <c r="Q37" s="3277"/>
      <c r="R37" s="3348" t="e">
        <f>IF(F1="售价",ROUND(AVERAGE(R36:V36),0),ROUND(AVERAGE(R36:V36),1))</f>
        <v>#DIV/0!</v>
      </c>
      <c r="S37" s="3348"/>
      <c r="T37" s="3348"/>
      <c r="U37" s="3348"/>
      <c r="V37" s="3348"/>
      <c r="W37" s="3348"/>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48" t="s">
        <v>2664</v>
      </c>
      <c r="B45" s="744"/>
      <c r="C45" s="749"/>
      <c r="D45" s="749"/>
      <c r="E45" s="749"/>
      <c r="F45" s="750"/>
      <c r="G45" s="750"/>
      <c r="H45" s="749"/>
      <c r="I45" s="749"/>
      <c r="J45" s="749"/>
      <c r="K45" s="751"/>
      <c r="L45" s="752"/>
      <c r="M45" s="749"/>
      <c r="N45" s="749"/>
      <c r="O45" s="749"/>
      <c r="P45" s="490"/>
      <c r="Q45" s="491"/>
    </row>
    <row r="46" spans="1:29" s="495" customFormat="1" ht="15">
      <c r="A46" s="492" t="s">
        <v>2538</v>
      </c>
      <c r="B46" s="493"/>
      <c r="C46" s="1552" t="str">
        <f>YEAR(C7)&amp;"-"&amp;MONTH(C7)</f>
        <v>2020-5</v>
      </c>
      <c r="D46" s="1553">
        <f>EDATE(C46,-1)</f>
        <v>43922</v>
      </c>
      <c r="E46" s="1553">
        <f t="shared" ref="E46:O46" si="16">EDATE(D46,-1)</f>
        <v>43891</v>
      </c>
      <c r="F46" s="1553">
        <f t="shared" si="16"/>
        <v>43862</v>
      </c>
      <c r="G46" s="1553">
        <f t="shared" si="16"/>
        <v>43831</v>
      </c>
      <c r="H46" s="1553">
        <f t="shared" si="16"/>
        <v>43800</v>
      </c>
      <c r="I46" s="1553">
        <f t="shared" si="16"/>
        <v>43770</v>
      </c>
      <c r="J46" s="1553">
        <f t="shared" si="16"/>
        <v>43739</v>
      </c>
      <c r="K46" s="1553">
        <f t="shared" si="16"/>
        <v>43709</v>
      </c>
      <c r="L46" s="1553">
        <f t="shared" si="16"/>
        <v>43678</v>
      </c>
      <c r="M46" s="1553">
        <f t="shared" si="16"/>
        <v>43647</v>
      </c>
      <c r="N46" s="1553">
        <f t="shared" si="16"/>
        <v>43617</v>
      </c>
      <c r="O46" s="1553">
        <f t="shared" si="16"/>
        <v>43586</v>
      </c>
      <c r="P46" s="494"/>
    </row>
    <row r="47" spans="1:29" s="112" customFormat="1" ht="15">
      <c r="A47" s="496"/>
      <c r="B47" s="497"/>
      <c r="C47" s="1551">
        <v>100</v>
      </c>
      <c r="D47" s="499"/>
      <c r="E47" s="499"/>
      <c r="F47" s="499"/>
      <c r="G47" s="499"/>
      <c r="H47" s="499"/>
      <c r="I47" s="499"/>
      <c r="J47" s="499"/>
      <c r="K47" s="499"/>
      <c r="L47" s="499"/>
      <c r="M47" s="500"/>
      <c r="N47" s="499"/>
      <c r="O47" s="501"/>
      <c r="P47" s="491"/>
    </row>
    <row r="48" spans="1:29" s="112" customFormat="1" ht="15.75" thickBot="1">
      <c r="A48" s="502" t="s">
        <v>2575</v>
      </c>
      <c r="B48" s="503"/>
      <c r="C48" s="504"/>
      <c r="D48" s="505"/>
      <c r="E48" s="505"/>
      <c r="F48" s="505"/>
      <c r="G48" s="505"/>
      <c r="H48" s="505"/>
      <c r="I48" s="505"/>
      <c r="J48" s="505"/>
      <c r="K48" s="505"/>
      <c r="L48" s="505"/>
      <c r="M48" s="506"/>
      <c r="N48" s="505"/>
      <c r="O48" s="507"/>
      <c r="P48" s="491"/>
      <c r="Q48" s="491"/>
    </row>
    <row r="49" spans="1:17" s="112" customFormat="1" ht="15">
      <c r="A49" s="508" t="s">
        <v>2540</v>
      </c>
      <c r="B49" s="497"/>
      <c r="C49" s="509" t="s">
        <v>2642</v>
      </c>
      <c r="D49" s="510"/>
      <c r="E49" s="510"/>
      <c r="F49" s="510"/>
      <c r="G49" s="510"/>
      <c r="H49" s="510"/>
      <c r="I49" s="510"/>
      <c r="J49" s="510"/>
      <c r="K49" s="510"/>
      <c r="L49" s="511"/>
      <c r="M49" s="512"/>
      <c r="N49" s="1129"/>
      <c r="O49" s="1129"/>
      <c r="P49" s="513"/>
      <c r="Q49" s="491"/>
    </row>
    <row r="50" spans="1:17" s="112" customFormat="1" ht="15.75" thickBot="1">
      <c r="A50" s="508"/>
      <c r="B50" s="497"/>
      <c r="C50" s="626">
        <v>100</v>
      </c>
      <c r="D50" s="499"/>
      <c r="E50" s="499"/>
      <c r="F50" s="499"/>
      <c r="G50" s="499"/>
      <c r="H50" s="499"/>
      <c r="I50" s="499"/>
      <c r="J50" s="499"/>
      <c r="K50" s="499"/>
      <c r="L50" s="499"/>
      <c r="M50" s="501"/>
      <c r="N50" s="1129"/>
      <c r="O50" s="1129"/>
      <c r="P50" s="491"/>
      <c r="Q50" s="491"/>
    </row>
    <row r="51" spans="1:17">
      <c r="A51" s="514" t="s">
        <v>2578</v>
      </c>
      <c r="B51" s="515" t="s">
        <v>2544</v>
      </c>
      <c r="C51" s="516">
        <f>C9</f>
        <v>0</v>
      </c>
      <c r="D51" s="517"/>
      <c r="E51" s="517"/>
      <c r="F51" s="517"/>
      <c r="G51" s="517"/>
      <c r="H51" s="517"/>
      <c r="I51" s="517"/>
      <c r="J51" s="517"/>
      <c r="K51" s="518"/>
      <c r="L51" s="519"/>
      <c r="M51" s="520"/>
      <c r="N51" s="1130"/>
      <c r="O51" s="1130"/>
      <c r="P51" s="45"/>
      <c r="Q51" s="491"/>
    </row>
    <row r="52" spans="1:17" ht="15.75" thickBot="1">
      <c r="A52" s="521"/>
      <c r="B52" s="522"/>
      <c r="C52" s="523">
        <v>100</v>
      </c>
      <c r="D52" s="523"/>
      <c r="E52" s="523"/>
      <c r="F52" s="523"/>
      <c r="G52" s="523"/>
      <c r="H52" s="523"/>
      <c r="I52" s="523"/>
      <c r="J52" s="523"/>
      <c r="K52" s="523"/>
      <c r="L52" s="523"/>
      <c r="M52" s="524"/>
      <c r="N52" s="1131"/>
      <c r="O52" s="1131"/>
      <c r="P52" s="45"/>
      <c r="Q52" s="491"/>
    </row>
    <row r="53" spans="1:17" ht="27.75"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5.75"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5.75" thickTop="1">
      <c r="A55" s="521"/>
      <c r="B55" s="647">
        <f>B11</f>
        <v>111</v>
      </c>
      <c r="C55" s="536"/>
      <c r="D55" s="536"/>
      <c r="E55" s="536"/>
      <c r="F55" s="536"/>
      <c r="G55" s="536"/>
      <c r="H55" s="536"/>
      <c r="I55" s="536"/>
      <c r="J55" s="536"/>
      <c r="K55" s="537"/>
      <c r="L55" s="538"/>
      <c r="M55" s="539"/>
      <c r="N55" s="1130"/>
      <c r="O55" s="1130"/>
      <c r="P55" s="45"/>
      <c r="Q55" s="491"/>
    </row>
    <row r="56" spans="1:17" ht="15.75" thickBot="1">
      <c r="A56" s="521"/>
      <c r="B56" s="522"/>
      <c r="C56" s="547"/>
      <c r="D56" s="523"/>
      <c r="E56" s="523"/>
      <c r="F56" s="523"/>
      <c r="G56" s="523"/>
      <c r="H56" s="523"/>
      <c r="I56" s="523"/>
      <c r="J56" s="523"/>
      <c r="K56" s="523"/>
      <c r="L56" s="523"/>
      <c r="M56" s="524"/>
      <c r="N56" s="1131"/>
      <c r="O56" s="1131"/>
      <c r="P56" s="45"/>
      <c r="Q56" s="491"/>
    </row>
    <row r="57" spans="1:17" s="458" customFormat="1" ht="15.75" thickTop="1">
      <c r="A57" s="540"/>
      <c r="B57" s="525">
        <f>B12</f>
        <v>111</v>
      </c>
      <c r="C57" s="536"/>
      <c r="D57" s="536"/>
      <c r="E57" s="536"/>
      <c r="F57" s="536"/>
      <c r="G57" s="541"/>
      <c r="H57" s="542"/>
      <c r="I57" s="542"/>
      <c r="J57" s="542"/>
      <c r="K57" s="542"/>
      <c r="L57" s="543"/>
      <c r="M57" s="544"/>
      <c r="N57" s="1132"/>
      <c r="O57" s="1132"/>
      <c r="P57" s="545"/>
      <c r="Q57" s="546"/>
    </row>
    <row r="58" spans="1:17" s="458" customFormat="1" ht="15.75" thickBot="1">
      <c r="A58" s="540"/>
      <c r="B58" s="530"/>
      <c r="C58" s="547"/>
      <c r="D58" s="523"/>
      <c r="E58" s="523"/>
      <c r="F58" s="523"/>
      <c r="G58" s="523"/>
      <c r="H58" s="523"/>
      <c r="I58" s="523"/>
      <c r="J58" s="523"/>
      <c r="K58" s="523"/>
      <c r="L58" s="523"/>
      <c r="M58" s="524"/>
      <c r="N58" s="1131"/>
      <c r="O58" s="1131"/>
      <c r="P58" s="545"/>
      <c r="Q58" s="546"/>
    </row>
    <row r="59" spans="1:17" s="458" customFormat="1" ht="15.75" thickTop="1">
      <c r="A59" s="540"/>
      <c r="B59" s="525">
        <f>B13</f>
        <v>111</v>
      </c>
      <c r="C59" s="536"/>
      <c r="D59" s="536"/>
      <c r="E59" s="536"/>
      <c r="F59" s="536"/>
      <c r="G59" s="541"/>
      <c r="H59" s="542"/>
      <c r="I59" s="542"/>
      <c r="J59" s="542"/>
      <c r="K59" s="542"/>
      <c r="L59" s="543"/>
      <c r="M59" s="544"/>
      <c r="N59" s="1132"/>
      <c r="O59" s="1132"/>
      <c r="P59" s="457"/>
      <c r="Q59" s="548"/>
    </row>
    <row r="60" spans="1:17" s="458" customFormat="1" ht="15.75"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5.75"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7.75"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5.75"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7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5.75"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7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5.75"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75" thickTop="1">
      <c r="A69" s="521"/>
      <c r="B69" s="525" t="s">
        <v>2719</v>
      </c>
      <c r="C69" s="541"/>
      <c r="D69" s="541"/>
      <c r="E69" s="541"/>
      <c r="F69" s="541"/>
      <c r="G69" s="541"/>
      <c r="H69" s="570"/>
      <c r="I69" s="570"/>
      <c r="J69" s="570"/>
      <c r="K69" s="571"/>
      <c r="L69" s="572"/>
      <c r="M69" s="573"/>
      <c r="N69" s="1130"/>
      <c r="O69" s="1130"/>
      <c r="P69" s="45"/>
      <c r="Q69" s="491"/>
    </row>
    <row r="70" spans="1:17" ht="15.75"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5.75" thickTop="1">
      <c r="A71" s="566"/>
      <c r="B71" s="525">
        <f>B23</f>
        <v>111</v>
      </c>
      <c r="C71" s="536"/>
      <c r="D71" s="536"/>
      <c r="E71" s="536"/>
      <c r="F71" s="536"/>
      <c r="G71" s="541"/>
      <c r="H71" s="541"/>
      <c r="I71" s="541"/>
      <c r="J71" s="541"/>
      <c r="K71" s="541"/>
      <c r="L71" s="567"/>
      <c r="M71" s="568"/>
      <c r="N71" s="1129"/>
      <c r="O71" s="1129"/>
      <c r="P71" s="45"/>
      <c r="Q71" s="491"/>
    </row>
    <row r="72" spans="1:17" s="112" customFormat="1" ht="15.75" thickBot="1">
      <c r="A72" s="566"/>
      <c r="B72" s="530"/>
      <c r="C72" s="547"/>
      <c r="D72" s="523"/>
      <c r="E72" s="523"/>
      <c r="F72" s="523"/>
      <c r="G72" s="523"/>
      <c r="H72" s="523"/>
      <c r="I72" s="523"/>
      <c r="J72" s="523"/>
      <c r="K72" s="523"/>
      <c r="L72" s="523"/>
      <c r="M72" s="524"/>
      <c r="N72" s="1131"/>
      <c r="O72" s="1131"/>
      <c r="P72" s="45"/>
      <c r="Q72" s="491"/>
    </row>
    <row r="73" spans="1:17" s="112" customFormat="1" ht="15.75" thickTop="1">
      <c r="A73" s="566"/>
      <c r="B73" s="525">
        <f>B24</f>
        <v>111</v>
      </c>
      <c r="C73" s="536"/>
      <c r="D73" s="536"/>
      <c r="E73" s="536"/>
      <c r="F73" s="536"/>
      <c r="G73" s="541"/>
      <c r="H73" s="541"/>
      <c r="I73" s="541"/>
      <c r="J73" s="541"/>
      <c r="K73" s="541"/>
      <c r="L73" s="541"/>
      <c r="M73" s="568"/>
      <c r="N73" s="1129"/>
      <c r="O73" s="1129"/>
      <c r="P73" s="45"/>
      <c r="Q73" s="491"/>
    </row>
    <row r="74" spans="1:17" s="112" customFormat="1" ht="15.75" thickBot="1">
      <c r="A74" s="566"/>
      <c r="B74" s="530"/>
      <c r="C74" s="547"/>
      <c r="D74" s="523"/>
      <c r="E74" s="523"/>
      <c r="F74" s="523"/>
      <c r="G74" s="523"/>
      <c r="H74" s="523"/>
      <c r="I74" s="523"/>
      <c r="J74" s="523"/>
      <c r="K74" s="523"/>
      <c r="L74" s="523"/>
      <c r="M74" s="524"/>
      <c r="N74" s="1131"/>
      <c r="O74" s="1131"/>
      <c r="P74" s="45"/>
      <c r="Q74" s="491"/>
    </row>
    <row r="75" spans="1:17" s="458" customFormat="1" ht="15.75" thickTop="1">
      <c r="A75" s="540"/>
      <c r="B75" s="525">
        <f>B25</f>
        <v>111</v>
      </c>
      <c r="C75" s="536"/>
      <c r="D75" s="536"/>
      <c r="E75" s="536"/>
      <c r="F75" s="536"/>
      <c r="G75" s="541"/>
      <c r="H75" s="542"/>
      <c r="I75" s="542"/>
      <c r="J75" s="542"/>
      <c r="K75" s="542"/>
      <c r="L75" s="543"/>
      <c r="M75" s="544"/>
      <c r="N75" s="1132"/>
      <c r="O75" s="1132"/>
      <c r="P75" s="545"/>
      <c r="Q75" s="546"/>
    </row>
    <row r="76" spans="1:17" s="458" customFormat="1" ht="15.75"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5.75"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7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ht="15">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5.75"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5.75"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5.75"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5.75"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5.75" thickBot="1">
      <c r="A90" s="540"/>
      <c r="B90" s="530"/>
      <c r="C90" s="547"/>
      <c r="D90" s="523"/>
      <c r="E90" s="523"/>
      <c r="F90" s="523"/>
      <c r="G90" s="523"/>
      <c r="H90" s="523"/>
      <c r="I90" s="523"/>
      <c r="J90" s="523"/>
      <c r="K90" s="523"/>
      <c r="L90" s="523"/>
      <c r="M90" s="524"/>
      <c r="N90" s="1132"/>
      <c r="O90" s="1132"/>
      <c r="P90" s="545"/>
      <c r="Q90" s="546"/>
    </row>
    <row r="91" spans="1:17" ht="15" thickTop="1">
      <c r="A91" s="586"/>
      <c r="B91" s="525">
        <f>B32</f>
        <v>111</v>
      </c>
      <c r="C91" s="536"/>
      <c r="D91" s="536"/>
      <c r="E91" s="536"/>
      <c r="F91" s="536"/>
      <c r="G91" s="541"/>
      <c r="H91" s="542"/>
      <c r="I91" s="542"/>
      <c r="J91" s="542"/>
      <c r="K91" s="542"/>
      <c r="L91" s="543"/>
      <c r="M91" s="544"/>
      <c r="N91" s="1130"/>
      <c r="O91" s="1130"/>
      <c r="P91" s="45"/>
      <c r="Q91" s="491"/>
    </row>
    <row r="92" spans="1:17" ht="15.75" thickBot="1">
      <c r="A92" s="521"/>
      <c r="B92" s="530"/>
      <c r="C92" s="547"/>
      <c r="D92" s="523"/>
      <c r="E92" s="523"/>
      <c r="F92" s="523"/>
      <c r="G92" s="547"/>
      <c r="H92" s="549"/>
      <c r="I92" s="549"/>
      <c r="J92" s="549"/>
      <c r="K92" s="549"/>
      <c r="L92" s="549"/>
      <c r="M92" s="550"/>
      <c r="N92" s="1131"/>
      <c r="O92" s="1131"/>
      <c r="P92" s="45"/>
      <c r="Q92" s="491"/>
    </row>
    <row r="93" spans="1:17" ht="15" thickTop="1">
      <c r="A93" s="586"/>
      <c r="B93" s="525">
        <f>B33</f>
        <v>111</v>
      </c>
      <c r="C93" s="536"/>
      <c r="D93" s="536"/>
      <c r="E93" s="536"/>
      <c r="F93" s="536"/>
      <c r="G93" s="541"/>
      <c r="H93" s="542"/>
      <c r="I93" s="542"/>
      <c r="J93" s="542"/>
      <c r="K93" s="542"/>
      <c r="L93" s="543"/>
      <c r="M93" s="544"/>
      <c r="N93" s="1130"/>
      <c r="O93" s="1130"/>
      <c r="P93" s="45"/>
      <c r="Q93" s="491"/>
    </row>
    <row r="94" spans="1:17" ht="15.75" thickBot="1">
      <c r="A94" s="521"/>
      <c r="B94" s="530"/>
      <c r="C94" s="547"/>
      <c r="D94" s="523"/>
      <c r="E94" s="523"/>
      <c r="F94" s="523"/>
      <c r="G94" s="547"/>
      <c r="H94" s="549"/>
      <c r="I94" s="549"/>
      <c r="J94" s="549"/>
      <c r="K94" s="549"/>
      <c r="L94" s="549"/>
      <c r="M94" s="550"/>
      <c r="N94" s="1131"/>
      <c r="O94" s="1131"/>
      <c r="P94" s="45"/>
      <c r="Q94" s="491"/>
    </row>
    <row r="95" spans="1:17" ht="15" thickTop="1">
      <c r="A95" s="586"/>
      <c r="B95" s="623">
        <f>B34</f>
        <v>111</v>
      </c>
      <c r="C95" s="536"/>
      <c r="D95" s="536"/>
      <c r="E95" s="536"/>
      <c r="F95" s="536"/>
      <c r="G95" s="541"/>
      <c r="H95" s="542"/>
      <c r="I95" s="542"/>
      <c r="J95" s="542"/>
      <c r="K95" s="542"/>
      <c r="L95" s="543"/>
      <c r="M95" s="544"/>
      <c r="N95" s="1131"/>
      <c r="O95" s="1131"/>
      <c r="P95" s="624"/>
      <c r="Q95" s="625"/>
    </row>
    <row r="96" spans="1:17" ht="15.75" thickBot="1">
      <c r="A96" s="521"/>
      <c r="B96" s="530"/>
      <c r="C96" s="547"/>
      <c r="D96" s="547"/>
      <c r="E96" s="547"/>
      <c r="F96" s="547"/>
      <c r="G96" s="547"/>
      <c r="H96" s="549"/>
      <c r="I96" s="549"/>
      <c r="J96" s="549"/>
      <c r="K96" s="549"/>
      <c r="L96" s="549"/>
      <c r="M96" s="550"/>
      <c r="N96" s="1131"/>
      <c r="O96" s="1131"/>
      <c r="P96" s="45"/>
      <c r="Q96" s="491"/>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13" sqref="L13"/>
    </sheetView>
  </sheetViews>
  <sheetFormatPr defaultColWidth="9" defaultRowHeight="12.75"/>
  <cols>
    <col min="1" max="1" width="11.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74" t="s">
        <v>2995</v>
      </c>
      <c r="D1" s="3375"/>
      <c r="E1" s="3375"/>
      <c r="F1" s="3375"/>
      <c r="G1" s="3375"/>
      <c r="H1" s="3375"/>
      <c r="I1" s="3375"/>
      <c r="J1" s="3375"/>
      <c r="K1" s="3375"/>
      <c r="L1" s="3375"/>
      <c r="M1" s="3375"/>
      <c r="N1" s="3375"/>
      <c r="O1" s="3375"/>
      <c r="P1" s="3375"/>
      <c r="Q1" s="3375"/>
      <c r="R1" s="3375"/>
      <c r="S1" s="3376"/>
      <c r="T1" s="1182" t="s">
        <v>2996</v>
      </c>
    </row>
    <row r="2" spans="1:45" s="694" customFormat="1" ht="38.25">
      <c r="A2" s="1183"/>
      <c r="B2" s="690" t="s">
        <v>2997</v>
      </c>
      <c r="C2" s="691" t="str">
        <f t="shared" ref="C2:L2" si="0">C3&amp;"(含)"&amp;"-"&amp;D3</f>
        <v>0(含)-100</v>
      </c>
      <c r="D2" s="692" t="str">
        <f t="shared" si="0"/>
        <v>100(含)-200</v>
      </c>
      <c r="E2" s="692" t="str">
        <f t="shared" si="0"/>
        <v>200(含)-300</v>
      </c>
      <c r="F2" s="692" t="str">
        <f t="shared" si="0"/>
        <v>300(含)-400</v>
      </c>
      <c r="G2" s="692" t="str">
        <f t="shared" si="0"/>
        <v>400(含)-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100</v>
      </c>
      <c r="E3" s="697">
        <v>200</v>
      </c>
      <c r="F3" s="1682">
        <v>300</v>
      </c>
      <c r="G3" s="1682">
        <v>400</v>
      </c>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5" thickBot="1">
      <c r="A4" s="1186"/>
      <c r="B4" s="1187"/>
      <c r="C4" s="1188">
        <v>100</v>
      </c>
      <c r="D4" s="1189">
        <f>C4-2.5</f>
        <v>97.5</v>
      </c>
      <c r="E4" s="1189">
        <f t="shared" ref="E4:G4" si="7">D4-2.5</f>
        <v>95</v>
      </c>
      <c r="F4" s="1189">
        <f t="shared" si="7"/>
        <v>92.5</v>
      </c>
      <c r="G4" s="1189">
        <f t="shared" si="7"/>
        <v>90</v>
      </c>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3336</v>
      </c>
      <c r="D5" s="3045" t="s">
        <v>3337</v>
      </c>
      <c r="E5" s="3045" t="s">
        <v>3328</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5" thickBot="1">
      <c r="A6" s="1193"/>
      <c r="B6" s="1094"/>
      <c r="C6" s="1100">
        <v>100</v>
      </c>
      <c r="D6" s="1097">
        <f>C6-$T5</f>
        <v>80</v>
      </c>
      <c r="E6" s="1097">
        <f t="shared" ref="E6:S6" si="8">D6-$T5</f>
        <v>60</v>
      </c>
      <c r="F6" s="1693">
        <f t="shared" si="8"/>
        <v>40</v>
      </c>
      <c r="G6" s="1693">
        <f t="shared" si="8"/>
        <v>20</v>
      </c>
      <c r="H6" s="1693">
        <f t="shared" si="8"/>
        <v>0</v>
      </c>
      <c r="I6" s="1693">
        <f t="shared" si="8"/>
        <v>-20</v>
      </c>
      <c r="J6" s="1693">
        <f t="shared" si="8"/>
        <v>-40</v>
      </c>
      <c r="K6" s="1693">
        <f t="shared" si="8"/>
        <v>-60</v>
      </c>
      <c r="L6" s="1693">
        <f t="shared" si="8"/>
        <v>-80</v>
      </c>
      <c r="M6" s="1693">
        <f t="shared" si="8"/>
        <v>-100</v>
      </c>
      <c r="N6" s="1693">
        <f t="shared" si="8"/>
        <v>-120</v>
      </c>
      <c r="O6" s="1693">
        <f t="shared" si="8"/>
        <v>-140</v>
      </c>
      <c r="P6" s="1693">
        <f t="shared" si="8"/>
        <v>-160</v>
      </c>
      <c r="Q6" s="1693">
        <f t="shared" si="8"/>
        <v>-180</v>
      </c>
      <c r="R6" s="1693">
        <f t="shared" si="8"/>
        <v>-200</v>
      </c>
      <c r="S6" s="1693">
        <f t="shared" si="8"/>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5" thickBot="1">
      <c r="A8" s="1193"/>
      <c r="B8" s="1094"/>
      <c r="C8" s="1100">
        <v>100</v>
      </c>
      <c r="D8" s="1097">
        <f>C8-$T7</f>
        <v>100</v>
      </c>
      <c r="E8" s="1097">
        <f t="shared" ref="E8:S8" si="9">D8-$T7</f>
        <v>100</v>
      </c>
      <c r="F8" s="1693">
        <f t="shared" si="9"/>
        <v>100</v>
      </c>
      <c r="G8" s="1693">
        <f t="shared" si="9"/>
        <v>100</v>
      </c>
      <c r="H8" s="1693">
        <f t="shared" si="9"/>
        <v>100</v>
      </c>
      <c r="I8" s="1693">
        <f t="shared" si="9"/>
        <v>100</v>
      </c>
      <c r="J8" s="1693">
        <f t="shared" si="9"/>
        <v>100</v>
      </c>
      <c r="K8" s="1693">
        <f t="shared" si="9"/>
        <v>100</v>
      </c>
      <c r="L8" s="1693">
        <f t="shared" si="9"/>
        <v>100</v>
      </c>
      <c r="M8" s="1693">
        <f t="shared" si="9"/>
        <v>100</v>
      </c>
      <c r="N8" s="1693">
        <f t="shared" si="9"/>
        <v>100</v>
      </c>
      <c r="O8" s="1693">
        <f t="shared" si="9"/>
        <v>100</v>
      </c>
      <c r="P8" s="1693">
        <f t="shared" si="9"/>
        <v>100</v>
      </c>
      <c r="Q8" s="1693">
        <f t="shared" si="9"/>
        <v>100</v>
      </c>
      <c r="R8" s="1693">
        <f t="shared" si="9"/>
        <v>100</v>
      </c>
      <c r="S8" s="1693">
        <f t="shared" si="9"/>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5" thickBot="1">
      <c r="A10" s="1193"/>
      <c r="B10" s="1187"/>
      <c r="C10" s="1198">
        <v>100</v>
      </c>
      <c r="D10" s="1199">
        <f>C10-$T9</f>
        <v>100</v>
      </c>
      <c r="E10" s="1199">
        <f t="shared" ref="E10:S10" si="10">D10-$T9</f>
        <v>100</v>
      </c>
      <c r="F10" s="1703">
        <f t="shared" si="10"/>
        <v>100</v>
      </c>
      <c r="G10" s="1703">
        <f t="shared" si="10"/>
        <v>100</v>
      </c>
      <c r="H10" s="1703">
        <f t="shared" si="10"/>
        <v>100</v>
      </c>
      <c r="I10" s="1703">
        <f t="shared" si="10"/>
        <v>100</v>
      </c>
      <c r="J10" s="1703">
        <f t="shared" si="10"/>
        <v>100</v>
      </c>
      <c r="K10" s="1703">
        <f t="shared" si="10"/>
        <v>100</v>
      </c>
      <c r="L10" s="1703">
        <f t="shared" si="10"/>
        <v>100</v>
      </c>
      <c r="M10" s="1703">
        <f t="shared" si="10"/>
        <v>100</v>
      </c>
      <c r="N10" s="1703">
        <f t="shared" si="10"/>
        <v>100</v>
      </c>
      <c r="O10" s="1703">
        <f t="shared" si="10"/>
        <v>100</v>
      </c>
      <c r="P10" s="1703">
        <f t="shared" si="10"/>
        <v>100</v>
      </c>
      <c r="Q10" s="1703">
        <f t="shared" si="10"/>
        <v>100</v>
      </c>
      <c r="R10" s="1703">
        <f t="shared" si="10"/>
        <v>100</v>
      </c>
      <c r="S10" s="1703">
        <f t="shared" si="10"/>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5" thickBot="1">
      <c r="A12" s="1193"/>
      <c r="B12" s="1094"/>
      <c r="C12" s="1100">
        <v>100</v>
      </c>
      <c r="D12" s="1097">
        <f>C12-$T11</f>
        <v>100</v>
      </c>
      <c r="E12" s="1097">
        <f t="shared" ref="E12:S12" si="11">D12-$T11</f>
        <v>100</v>
      </c>
      <c r="F12" s="1097">
        <f t="shared" si="11"/>
        <v>100</v>
      </c>
      <c r="G12" s="1097">
        <f t="shared" si="11"/>
        <v>100</v>
      </c>
      <c r="H12" s="1097">
        <f t="shared" si="11"/>
        <v>100</v>
      </c>
      <c r="I12" s="1097">
        <f t="shared" si="11"/>
        <v>100</v>
      </c>
      <c r="J12" s="1097">
        <f t="shared" si="11"/>
        <v>100</v>
      </c>
      <c r="K12" s="1097">
        <f t="shared" si="11"/>
        <v>100</v>
      </c>
      <c r="L12" s="1097">
        <f t="shared" si="11"/>
        <v>100</v>
      </c>
      <c r="M12" s="1097">
        <f t="shared" si="11"/>
        <v>100</v>
      </c>
      <c r="N12" s="1097">
        <f t="shared" si="11"/>
        <v>100</v>
      </c>
      <c r="O12" s="1097">
        <f t="shared" si="11"/>
        <v>100</v>
      </c>
      <c r="P12" s="1097">
        <f t="shared" si="11"/>
        <v>100</v>
      </c>
      <c r="Q12" s="1097">
        <f t="shared" si="11"/>
        <v>100</v>
      </c>
      <c r="R12" s="1097">
        <f>Q12-$T11</f>
        <v>100</v>
      </c>
      <c r="S12" s="1097">
        <f t="shared" si="11"/>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5" thickBot="1">
      <c r="A20" s="702" t="s">
        <v>3006</v>
      </c>
      <c r="B20" s="325">
        <f>IF(D20="——",S22,S22-F20)</f>
        <v>1544</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75">
      <c r="A21" s="702" t="s">
        <v>3008</v>
      </c>
      <c r="B21" s="325">
        <f>R22</f>
        <v>51467</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300</v>
      </c>
      <c r="C22" s="3270" t="s">
        <v>33</v>
      </c>
      <c r="D22" s="3271"/>
      <c r="E22" s="3271"/>
      <c r="F22" s="3271"/>
      <c r="G22" s="3271"/>
      <c r="H22" s="3271"/>
      <c r="I22" s="3271"/>
      <c r="J22" s="3271"/>
      <c r="K22" s="3271"/>
      <c r="L22" s="3271"/>
      <c r="M22" s="3271"/>
      <c r="N22" s="3271"/>
      <c r="O22" s="3271"/>
      <c r="P22" s="3271"/>
      <c r="Q22" s="3373"/>
      <c r="R22" s="703">
        <f>ROUND(S22*10000/B22,0)</f>
        <v>51467</v>
      </c>
      <c r="S22" s="24">
        <f>SUM(S24:S10000)</f>
        <v>1544</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3321</v>
      </c>
      <c r="E24" s="706">
        <v>1</v>
      </c>
      <c r="F24" s="707"/>
      <c r="G24" s="706">
        <v>1</v>
      </c>
      <c r="H24" s="707"/>
      <c r="I24" s="706">
        <v>1</v>
      </c>
      <c r="J24" s="707"/>
      <c r="K24" s="706">
        <v>1</v>
      </c>
      <c r="L24" s="707"/>
      <c r="M24" s="706">
        <v>1</v>
      </c>
      <c r="N24" s="707"/>
      <c r="O24" s="706">
        <v>1</v>
      </c>
      <c r="P24" s="707"/>
      <c r="Q24" s="706">
        <v>1</v>
      </c>
      <c r="R24" s="708">
        <f>'比较法-住宅'!C48</f>
        <v>46236</v>
      </c>
      <c r="S24" s="706">
        <f t="shared" ref="S24:S54" si="12">ROUND(R24*B24/10000,0)</f>
        <v>462</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3336</v>
      </c>
      <c r="B25" s="59">
        <v>200</v>
      </c>
      <c r="C25" s="24">
        <f>IF(B25="",1,(LOOKUP(B25,$3:$3,$4:$4)-LOOKUP($B$24,$3:$3,$4:$4)+100)/100)</f>
        <v>0.97499999999999998</v>
      </c>
      <c r="D25" s="707" t="s">
        <v>3335</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54096</v>
      </c>
      <c r="S25" s="348">
        <f t="shared" si="12"/>
        <v>1082</v>
      </c>
    </row>
    <row r="26" spans="1:45">
      <c r="A26" s="146"/>
      <c r="B26" s="59"/>
      <c r="C26" s="24">
        <f t="shared" ref="C26:C89" si="13">IF(B26="",1,(LOOKUP(B26,$3:$3,$4:$4)-LOOKUP($B$24,$3:$3,$4:$4)+100)/100)</f>
        <v>1</v>
      </c>
      <c r="D26" s="707"/>
      <c r="E26" s="24">
        <f t="shared" ref="E26:E89" si="14">(SUMIF($5:$5,D26,$6:$6)-SUMIF($5:$5,$D$24,$6:$6)+100)/100</f>
        <v>0.2</v>
      </c>
      <c r="F26" s="707"/>
      <c r="G26" s="24">
        <f t="shared" ref="G26:G89" si="15">(SUMIF($7:$7,F26,$8:$8)-SUMIF($7:$7,$F$24,$8:$8)+100)/100</f>
        <v>1</v>
      </c>
      <c r="H26" s="707"/>
      <c r="I26" s="24">
        <f t="shared" ref="I26:I89" si="16">(SUMIF($9:$9,H26,$10:$10)-SUMIF($9:$9,$H$24,$10:$10)+100)/100</f>
        <v>1</v>
      </c>
      <c r="J26" s="707"/>
      <c r="K26" s="24">
        <f t="shared" ref="K26:K89" si="17">(SUMIF($11:$11,J26,$12:$12)-SUMIF($11:$11,$J$24,$12:$12)+100)/100</f>
        <v>1</v>
      </c>
      <c r="L26" s="707"/>
      <c r="M26" s="24">
        <f t="shared" ref="M26:M89" si="18">(SUMIF($13:$13,L26,$14:$14)-SUMIF($13:$13,$L$24,$14:$14)+100)/100</f>
        <v>1</v>
      </c>
      <c r="N26" s="707"/>
      <c r="O26" s="24">
        <f t="shared" ref="O26:O89" si="19">(SUMIF($15:$15,N26,$16:$16)-SUMIF($15:$15,$N$24,$16:$16)+100)/100</f>
        <v>1</v>
      </c>
      <c r="P26" s="707"/>
      <c r="Q26" s="24">
        <f t="shared" ref="Q26:Q89" si="20">(SUMIF($17:$17,P26,$18:$18)-SUMIF($17:$17,$P$24,$18:$18)+100)/100</f>
        <v>1</v>
      </c>
      <c r="R26" s="703">
        <f t="shared" ref="R26:R89" si="21">IF(B26="",0,ROUND($R$24*C26*E26*G26*I26*K26*M26*O26*Q26,0))</f>
        <v>0</v>
      </c>
      <c r="S26" s="348">
        <f t="shared" si="12"/>
        <v>0</v>
      </c>
    </row>
    <row r="27" spans="1:45">
      <c r="A27" s="146"/>
      <c r="B27" s="59"/>
      <c r="C27" s="24">
        <f t="shared" si="13"/>
        <v>1</v>
      </c>
      <c r="D27" s="707"/>
      <c r="E27" s="24">
        <f t="shared" si="14"/>
        <v>0.2</v>
      </c>
      <c r="F27" s="707"/>
      <c r="G27" s="24">
        <f t="shared" si="15"/>
        <v>1</v>
      </c>
      <c r="H27" s="707"/>
      <c r="I27" s="24">
        <f t="shared" si="16"/>
        <v>1</v>
      </c>
      <c r="J27" s="707"/>
      <c r="K27" s="24">
        <f t="shared" si="17"/>
        <v>1</v>
      </c>
      <c r="L27" s="707"/>
      <c r="M27" s="24">
        <f t="shared" si="18"/>
        <v>1</v>
      </c>
      <c r="N27" s="707"/>
      <c r="O27" s="24">
        <f t="shared" si="19"/>
        <v>1</v>
      </c>
      <c r="P27" s="707"/>
      <c r="Q27" s="24">
        <f t="shared" si="20"/>
        <v>1</v>
      </c>
      <c r="R27" s="703">
        <f t="shared" si="21"/>
        <v>0</v>
      </c>
      <c r="S27" s="348">
        <f t="shared" si="12"/>
        <v>0</v>
      </c>
    </row>
    <row r="28" spans="1:45">
      <c r="A28" s="146"/>
      <c r="B28" s="59"/>
      <c r="C28" s="24">
        <f t="shared" si="13"/>
        <v>1</v>
      </c>
      <c r="D28" s="707"/>
      <c r="E28" s="24">
        <f t="shared" si="14"/>
        <v>0.2</v>
      </c>
      <c r="F28" s="707"/>
      <c r="G28" s="24">
        <f t="shared" si="15"/>
        <v>1</v>
      </c>
      <c r="H28" s="707"/>
      <c r="I28" s="24">
        <f t="shared" si="16"/>
        <v>1</v>
      </c>
      <c r="J28" s="707"/>
      <c r="K28" s="24">
        <f t="shared" si="17"/>
        <v>1</v>
      </c>
      <c r="L28" s="707"/>
      <c r="M28" s="24">
        <f t="shared" si="18"/>
        <v>1</v>
      </c>
      <c r="N28" s="707"/>
      <c r="O28" s="24">
        <f t="shared" si="19"/>
        <v>1</v>
      </c>
      <c r="P28" s="707"/>
      <c r="Q28" s="24">
        <f t="shared" si="20"/>
        <v>1</v>
      </c>
      <c r="R28" s="703">
        <f t="shared" si="21"/>
        <v>0</v>
      </c>
      <c r="S28" s="348">
        <f t="shared" si="12"/>
        <v>0</v>
      </c>
    </row>
    <row r="29" spans="1:45">
      <c r="A29" s="146"/>
      <c r="B29" s="59"/>
      <c r="C29" s="24">
        <f t="shared" si="13"/>
        <v>1</v>
      </c>
      <c r="D29" s="707"/>
      <c r="E29" s="24">
        <f t="shared" si="14"/>
        <v>0.2</v>
      </c>
      <c r="F29" s="707"/>
      <c r="G29" s="24">
        <f t="shared" si="15"/>
        <v>1</v>
      </c>
      <c r="H29" s="707"/>
      <c r="I29" s="24">
        <f t="shared" si="16"/>
        <v>1</v>
      </c>
      <c r="J29" s="707"/>
      <c r="K29" s="24">
        <f t="shared" si="17"/>
        <v>1</v>
      </c>
      <c r="L29" s="707"/>
      <c r="M29" s="24">
        <f t="shared" si="18"/>
        <v>1</v>
      </c>
      <c r="N29" s="707"/>
      <c r="O29" s="24">
        <f t="shared" si="19"/>
        <v>1</v>
      </c>
      <c r="P29" s="707"/>
      <c r="Q29" s="24">
        <f t="shared" si="20"/>
        <v>1</v>
      </c>
      <c r="R29" s="703">
        <f t="shared" si="21"/>
        <v>0</v>
      </c>
      <c r="S29" s="348">
        <f t="shared" si="12"/>
        <v>0</v>
      </c>
    </row>
    <row r="30" spans="1:45">
      <c r="A30" s="146"/>
      <c r="B30" s="59"/>
      <c r="C30" s="24">
        <f t="shared" si="13"/>
        <v>1</v>
      </c>
      <c r="D30" s="707"/>
      <c r="E30" s="24">
        <f t="shared" si="14"/>
        <v>0.2</v>
      </c>
      <c r="F30" s="707"/>
      <c r="G30" s="24">
        <f t="shared" si="15"/>
        <v>1</v>
      </c>
      <c r="H30" s="707"/>
      <c r="I30" s="24">
        <f t="shared" si="16"/>
        <v>1</v>
      </c>
      <c r="J30" s="707"/>
      <c r="K30" s="24">
        <f t="shared" si="17"/>
        <v>1</v>
      </c>
      <c r="L30" s="707"/>
      <c r="M30" s="24">
        <f t="shared" si="18"/>
        <v>1</v>
      </c>
      <c r="N30" s="707"/>
      <c r="O30" s="24">
        <f t="shared" si="19"/>
        <v>1</v>
      </c>
      <c r="P30" s="707"/>
      <c r="Q30" s="24">
        <f t="shared" si="20"/>
        <v>1</v>
      </c>
      <c r="R30" s="703">
        <f t="shared" si="21"/>
        <v>0</v>
      </c>
      <c r="S30" s="348">
        <f t="shared" si="12"/>
        <v>0</v>
      </c>
    </row>
    <row r="31" spans="1:45">
      <c r="A31" s="146"/>
      <c r="B31" s="59"/>
      <c r="C31" s="24">
        <f t="shared" si="13"/>
        <v>1</v>
      </c>
      <c r="D31" s="707"/>
      <c r="E31" s="24">
        <f t="shared" si="14"/>
        <v>0.2</v>
      </c>
      <c r="F31" s="707"/>
      <c r="G31" s="24">
        <f t="shared" si="15"/>
        <v>1</v>
      </c>
      <c r="H31" s="707"/>
      <c r="I31" s="24">
        <f t="shared" si="16"/>
        <v>1</v>
      </c>
      <c r="J31" s="707"/>
      <c r="K31" s="24">
        <f t="shared" si="17"/>
        <v>1</v>
      </c>
      <c r="L31" s="707"/>
      <c r="M31" s="24">
        <f t="shared" si="18"/>
        <v>1</v>
      </c>
      <c r="N31" s="707"/>
      <c r="O31" s="24">
        <f t="shared" si="19"/>
        <v>1</v>
      </c>
      <c r="P31" s="707"/>
      <c r="Q31" s="24">
        <f t="shared" si="20"/>
        <v>1</v>
      </c>
      <c r="R31" s="703">
        <f t="shared" si="21"/>
        <v>0</v>
      </c>
      <c r="S31" s="348">
        <f t="shared" si="12"/>
        <v>0</v>
      </c>
    </row>
    <row r="32" spans="1:45">
      <c r="A32" s="146"/>
      <c r="B32" s="59"/>
      <c r="C32" s="24">
        <f t="shared" si="13"/>
        <v>1</v>
      </c>
      <c r="D32" s="707"/>
      <c r="E32" s="24">
        <f t="shared" si="14"/>
        <v>0.2</v>
      </c>
      <c r="F32" s="707"/>
      <c r="G32" s="24">
        <f t="shared" si="15"/>
        <v>1</v>
      </c>
      <c r="H32" s="707"/>
      <c r="I32" s="24">
        <f t="shared" si="16"/>
        <v>1</v>
      </c>
      <c r="J32" s="707"/>
      <c r="K32" s="24">
        <f t="shared" si="17"/>
        <v>1</v>
      </c>
      <c r="L32" s="707"/>
      <c r="M32" s="24">
        <f t="shared" si="18"/>
        <v>1</v>
      </c>
      <c r="N32" s="707"/>
      <c r="O32" s="24">
        <f t="shared" si="19"/>
        <v>1</v>
      </c>
      <c r="P32" s="707"/>
      <c r="Q32" s="24">
        <f t="shared" si="20"/>
        <v>1</v>
      </c>
      <c r="R32" s="703">
        <f t="shared" si="21"/>
        <v>0</v>
      </c>
      <c r="S32" s="348">
        <f t="shared" si="12"/>
        <v>0</v>
      </c>
    </row>
    <row r="33" spans="1:19">
      <c r="A33" s="146"/>
      <c r="B33" s="59"/>
      <c r="C33" s="24">
        <f t="shared" si="13"/>
        <v>1</v>
      </c>
      <c r="D33" s="707"/>
      <c r="E33" s="24">
        <f t="shared" si="14"/>
        <v>0.2</v>
      </c>
      <c r="F33" s="707"/>
      <c r="G33" s="24">
        <f t="shared" si="15"/>
        <v>1</v>
      </c>
      <c r="H33" s="707"/>
      <c r="I33" s="24">
        <f t="shared" si="16"/>
        <v>1</v>
      </c>
      <c r="J33" s="707"/>
      <c r="K33" s="24">
        <f t="shared" si="17"/>
        <v>1</v>
      </c>
      <c r="L33" s="707"/>
      <c r="M33" s="24">
        <f t="shared" si="18"/>
        <v>1</v>
      </c>
      <c r="N33" s="707"/>
      <c r="O33" s="24">
        <f t="shared" si="19"/>
        <v>1</v>
      </c>
      <c r="P33" s="707"/>
      <c r="Q33" s="24">
        <f t="shared" si="20"/>
        <v>1</v>
      </c>
      <c r="R33" s="703">
        <f t="shared" si="21"/>
        <v>0</v>
      </c>
      <c r="S33" s="348">
        <f t="shared" si="12"/>
        <v>0</v>
      </c>
    </row>
    <row r="34" spans="1:19">
      <c r="A34" s="146"/>
      <c r="B34" s="59"/>
      <c r="C34" s="24">
        <f t="shared" si="13"/>
        <v>1</v>
      </c>
      <c r="D34" s="707"/>
      <c r="E34" s="24">
        <f t="shared" si="14"/>
        <v>0.2</v>
      </c>
      <c r="F34" s="707"/>
      <c r="G34" s="24">
        <f t="shared" si="15"/>
        <v>1</v>
      </c>
      <c r="H34" s="707"/>
      <c r="I34" s="24">
        <f t="shared" si="16"/>
        <v>1</v>
      </c>
      <c r="J34" s="707"/>
      <c r="K34" s="24">
        <f t="shared" si="17"/>
        <v>1</v>
      </c>
      <c r="L34" s="707"/>
      <c r="M34" s="24">
        <f t="shared" si="18"/>
        <v>1</v>
      </c>
      <c r="N34" s="707"/>
      <c r="O34" s="24">
        <f t="shared" si="19"/>
        <v>1</v>
      </c>
      <c r="P34" s="707"/>
      <c r="Q34" s="24">
        <f t="shared" si="20"/>
        <v>1</v>
      </c>
      <c r="R34" s="703">
        <f t="shared" si="21"/>
        <v>0</v>
      </c>
      <c r="S34" s="348">
        <f t="shared" si="12"/>
        <v>0</v>
      </c>
    </row>
    <row r="35" spans="1:19">
      <c r="A35" s="146"/>
      <c r="B35" s="59"/>
      <c r="C35" s="24">
        <f t="shared" si="13"/>
        <v>1</v>
      </c>
      <c r="D35" s="707"/>
      <c r="E35" s="24">
        <f t="shared" si="14"/>
        <v>0.2</v>
      </c>
      <c r="F35" s="707"/>
      <c r="G35" s="24">
        <f t="shared" si="15"/>
        <v>1</v>
      </c>
      <c r="H35" s="707"/>
      <c r="I35" s="24">
        <f t="shared" si="16"/>
        <v>1</v>
      </c>
      <c r="J35" s="707"/>
      <c r="K35" s="24">
        <f t="shared" si="17"/>
        <v>1</v>
      </c>
      <c r="L35" s="707"/>
      <c r="M35" s="24">
        <f t="shared" si="18"/>
        <v>1</v>
      </c>
      <c r="N35" s="707"/>
      <c r="O35" s="24">
        <f t="shared" si="19"/>
        <v>1</v>
      </c>
      <c r="P35" s="707"/>
      <c r="Q35" s="24">
        <f t="shared" si="20"/>
        <v>1</v>
      </c>
      <c r="R35" s="703">
        <f t="shared" si="21"/>
        <v>0</v>
      </c>
      <c r="S35" s="348">
        <f t="shared" si="12"/>
        <v>0</v>
      </c>
    </row>
    <row r="36" spans="1:19">
      <c r="A36" s="146"/>
      <c r="B36" s="59"/>
      <c r="C36" s="24">
        <f t="shared" si="13"/>
        <v>1</v>
      </c>
      <c r="D36" s="707"/>
      <c r="E36" s="24">
        <f t="shared" si="14"/>
        <v>0.2</v>
      </c>
      <c r="F36" s="707"/>
      <c r="G36" s="24">
        <f t="shared" si="15"/>
        <v>1</v>
      </c>
      <c r="H36" s="707"/>
      <c r="I36" s="24">
        <f t="shared" si="16"/>
        <v>1</v>
      </c>
      <c r="J36" s="707"/>
      <c r="K36" s="24">
        <f t="shared" si="17"/>
        <v>1</v>
      </c>
      <c r="L36" s="707"/>
      <c r="M36" s="24">
        <f t="shared" si="18"/>
        <v>1</v>
      </c>
      <c r="N36" s="707"/>
      <c r="O36" s="24">
        <f t="shared" si="19"/>
        <v>1</v>
      </c>
      <c r="P36" s="707"/>
      <c r="Q36" s="24">
        <f t="shared" si="20"/>
        <v>1</v>
      </c>
      <c r="R36" s="703">
        <f t="shared" si="21"/>
        <v>0</v>
      </c>
      <c r="S36" s="348">
        <f t="shared" si="12"/>
        <v>0</v>
      </c>
    </row>
    <row r="37" spans="1:19">
      <c r="A37" s="146"/>
      <c r="B37" s="59"/>
      <c r="C37" s="24">
        <f t="shared" si="13"/>
        <v>1</v>
      </c>
      <c r="D37" s="707"/>
      <c r="E37" s="24">
        <f t="shared" si="14"/>
        <v>0.2</v>
      </c>
      <c r="F37" s="707"/>
      <c r="G37" s="24">
        <f t="shared" si="15"/>
        <v>1</v>
      </c>
      <c r="H37" s="707"/>
      <c r="I37" s="24">
        <f t="shared" si="16"/>
        <v>1</v>
      </c>
      <c r="J37" s="707"/>
      <c r="K37" s="24">
        <f t="shared" si="17"/>
        <v>1</v>
      </c>
      <c r="L37" s="707"/>
      <c r="M37" s="24">
        <f t="shared" si="18"/>
        <v>1</v>
      </c>
      <c r="N37" s="707"/>
      <c r="O37" s="24">
        <f t="shared" si="19"/>
        <v>1</v>
      </c>
      <c r="P37" s="707"/>
      <c r="Q37" s="24">
        <f t="shared" si="20"/>
        <v>1</v>
      </c>
      <c r="R37" s="703">
        <f t="shared" si="21"/>
        <v>0</v>
      </c>
      <c r="S37" s="348">
        <f t="shared" si="12"/>
        <v>0</v>
      </c>
    </row>
    <row r="38" spans="1:19">
      <c r="A38" s="146"/>
      <c r="B38" s="59"/>
      <c r="C38" s="24">
        <f t="shared" si="13"/>
        <v>1</v>
      </c>
      <c r="D38" s="707"/>
      <c r="E38" s="24">
        <f t="shared" si="14"/>
        <v>0.2</v>
      </c>
      <c r="F38" s="707"/>
      <c r="G38" s="24">
        <f t="shared" si="15"/>
        <v>1</v>
      </c>
      <c r="H38" s="707"/>
      <c r="I38" s="24">
        <f t="shared" si="16"/>
        <v>1</v>
      </c>
      <c r="J38" s="707"/>
      <c r="K38" s="24">
        <f t="shared" si="17"/>
        <v>1</v>
      </c>
      <c r="L38" s="707"/>
      <c r="M38" s="24">
        <f t="shared" si="18"/>
        <v>1</v>
      </c>
      <c r="N38" s="707"/>
      <c r="O38" s="24">
        <f t="shared" si="19"/>
        <v>1</v>
      </c>
      <c r="P38" s="707"/>
      <c r="Q38" s="24">
        <f t="shared" si="20"/>
        <v>1</v>
      </c>
      <c r="R38" s="703">
        <f t="shared" si="21"/>
        <v>0</v>
      </c>
      <c r="S38" s="348">
        <f t="shared" si="12"/>
        <v>0</v>
      </c>
    </row>
    <row r="39" spans="1:19">
      <c r="A39" s="146"/>
      <c r="B39" s="59"/>
      <c r="C39" s="24">
        <f t="shared" si="13"/>
        <v>1</v>
      </c>
      <c r="D39" s="707"/>
      <c r="E39" s="24">
        <f t="shared" si="14"/>
        <v>0.2</v>
      </c>
      <c r="F39" s="707"/>
      <c r="G39" s="24">
        <f t="shared" si="15"/>
        <v>1</v>
      </c>
      <c r="H39" s="707"/>
      <c r="I39" s="24">
        <f t="shared" si="16"/>
        <v>1</v>
      </c>
      <c r="J39" s="707"/>
      <c r="K39" s="24">
        <f t="shared" si="17"/>
        <v>1</v>
      </c>
      <c r="L39" s="707"/>
      <c r="M39" s="24">
        <f t="shared" si="18"/>
        <v>1</v>
      </c>
      <c r="N39" s="707"/>
      <c r="O39" s="24">
        <f t="shared" si="19"/>
        <v>1</v>
      </c>
      <c r="P39" s="707"/>
      <c r="Q39" s="24">
        <f t="shared" si="20"/>
        <v>1</v>
      </c>
      <c r="R39" s="703">
        <f t="shared" si="21"/>
        <v>0</v>
      </c>
      <c r="S39" s="348">
        <f t="shared" si="12"/>
        <v>0</v>
      </c>
    </row>
    <row r="40" spans="1:19">
      <c r="A40" s="146"/>
      <c r="B40" s="59"/>
      <c r="C40" s="24">
        <f t="shared" si="13"/>
        <v>1</v>
      </c>
      <c r="D40" s="707"/>
      <c r="E40" s="24">
        <f t="shared" si="14"/>
        <v>0.2</v>
      </c>
      <c r="F40" s="707"/>
      <c r="G40" s="24">
        <f t="shared" si="15"/>
        <v>1</v>
      </c>
      <c r="H40" s="707"/>
      <c r="I40" s="24">
        <f t="shared" si="16"/>
        <v>1</v>
      </c>
      <c r="J40" s="707"/>
      <c r="K40" s="24">
        <f t="shared" si="17"/>
        <v>1</v>
      </c>
      <c r="L40" s="707"/>
      <c r="M40" s="24">
        <f t="shared" si="18"/>
        <v>1</v>
      </c>
      <c r="N40" s="707"/>
      <c r="O40" s="24">
        <f t="shared" si="19"/>
        <v>1</v>
      </c>
      <c r="P40" s="707"/>
      <c r="Q40" s="24">
        <f t="shared" si="20"/>
        <v>1</v>
      </c>
      <c r="R40" s="703">
        <f t="shared" si="21"/>
        <v>0</v>
      </c>
      <c r="S40" s="348">
        <f t="shared" si="12"/>
        <v>0</v>
      </c>
    </row>
    <row r="41" spans="1:19">
      <c r="A41" s="146"/>
      <c r="B41" s="59"/>
      <c r="C41" s="24">
        <f t="shared" si="13"/>
        <v>1</v>
      </c>
      <c r="D41" s="707"/>
      <c r="E41" s="24">
        <f t="shared" si="14"/>
        <v>0.2</v>
      </c>
      <c r="F41" s="707"/>
      <c r="G41" s="24">
        <f t="shared" si="15"/>
        <v>1</v>
      </c>
      <c r="H41" s="707"/>
      <c r="I41" s="24">
        <f t="shared" si="16"/>
        <v>1</v>
      </c>
      <c r="J41" s="707"/>
      <c r="K41" s="24">
        <f t="shared" si="17"/>
        <v>1</v>
      </c>
      <c r="L41" s="707"/>
      <c r="M41" s="24">
        <f t="shared" si="18"/>
        <v>1</v>
      </c>
      <c r="N41" s="707"/>
      <c r="O41" s="24">
        <f t="shared" si="19"/>
        <v>1</v>
      </c>
      <c r="P41" s="707"/>
      <c r="Q41" s="24">
        <f t="shared" si="20"/>
        <v>1</v>
      </c>
      <c r="R41" s="703">
        <f t="shared" si="21"/>
        <v>0</v>
      </c>
      <c r="S41" s="348">
        <f t="shared" si="12"/>
        <v>0</v>
      </c>
    </row>
    <row r="42" spans="1:19">
      <c r="A42" s="146"/>
      <c r="B42" s="59"/>
      <c r="C42" s="24">
        <f t="shared" si="13"/>
        <v>1</v>
      </c>
      <c r="D42" s="707"/>
      <c r="E42" s="24">
        <f t="shared" si="14"/>
        <v>0.2</v>
      </c>
      <c r="F42" s="707"/>
      <c r="G42" s="24">
        <f t="shared" si="15"/>
        <v>1</v>
      </c>
      <c r="H42" s="707"/>
      <c r="I42" s="24">
        <f t="shared" si="16"/>
        <v>1</v>
      </c>
      <c r="J42" s="707"/>
      <c r="K42" s="24">
        <f t="shared" si="17"/>
        <v>1</v>
      </c>
      <c r="L42" s="707"/>
      <c r="M42" s="24">
        <f t="shared" si="18"/>
        <v>1</v>
      </c>
      <c r="N42" s="707"/>
      <c r="O42" s="24">
        <f t="shared" si="19"/>
        <v>1</v>
      </c>
      <c r="P42" s="707"/>
      <c r="Q42" s="24">
        <f t="shared" si="20"/>
        <v>1</v>
      </c>
      <c r="R42" s="703">
        <f t="shared" si="21"/>
        <v>0</v>
      </c>
      <c r="S42" s="348">
        <f t="shared" si="12"/>
        <v>0</v>
      </c>
    </row>
    <row r="43" spans="1:19">
      <c r="A43" s="146"/>
      <c r="B43" s="59"/>
      <c r="C43" s="24">
        <f t="shared" si="13"/>
        <v>1</v>
      </c>
      <c r="D43" s="707"/>
      <c r="E43" s="24">
        <f t="shared" si="14"/>
        <v>0.2</v>
      </c>
      <c r="F43" s="707"/>
      <c r="G43" s="24">
        <f t="shared" si="15"/>
        <v>1</v>
      </c>
      <c r="H43" s="707"/>
      <c r="I43" s="24">
        <f t="shared" si="16"/>
        <v>1</v>
      </c>
      <c r="J43" s="707"/>
      <c r="K43" s="24">
        <f t="shared" si="17"/>
        <v>1</v>
      </c>
      <c r="L43" s="707"/>
      <c r="M43" s="24">
        <f t="shared" si="18"/>
        <v>1</v>
      </c>
      <c r="N43" s="707"/>
      <c r="O43" s="24">
        <f t="shared" si="19"/>
        <v>1</v>
      </c>
      <c r="P43" s="707"/>
      <c r="Q43" s="24">
        <f t="shared" si="20"/>
        <v>1</v>
      </c>
      <c r="R43" s="703">
        <f t="shared" si="21"/>
        <v>0</v>
      </c>
      <c r="S43" s="348">
        <f t="shared" si="12"/>
        <v>0</v>
      </c>
    </row>
    <row r="44" spans="1:19">
      <c r="A44" s="146"/>
      <c r="B44" s="59"/>
      <c r="C44" s="24">
        <f t="shared" si="13"/>
        <v>1</v>
      </c>
      <c r="D44" s="707"/>
      <c r="E44" s="24">
        <f t="shared" si="14"/>
        <v>0.2</v>
      </c>
      <c r="F44" s="707"/>
      <c r="G44" s="24">
        <f t="shared" si="15"/>
        <v>1</v>
      </c>
      <c r="H44" s="707"/>
      <c r="I44" s="24">
        <f t="shared" si="16"/>
        <v>1</v>
      </c>
      <c r="J44" s="707"/>
      <c r="K44" s="24">
        <f t="shared" si="17"/>
        <v>1</v>
      </c>
      <c r="L44" s="707"/>
      <c r="M44" s="24">
        <f t="shared" si="18"/>
        <v>1</v>
      </c>
      <c r="N44" s="707"/>
      <c r="O44" s="24">
        <f t="shared" si="19"/>
        <v>1</v>
      </c>
      <c r="P44" s="707"/>
      <c r="Q44" s="24">
        <f t="shared" si="20"/>
        <v>1</v>
      </c>
      <c r="R44" s="703">
        <f t="shared" si="21"/>
        <v>0</v>
      </c>
      <c r="S44" s="348">
        <f t="shared" si="12"/>
        <v>0</v>
      </c>
    </row>
    <row r="45" spans="1:19">
      <c r="A45" s="146"/>
      <c r="B45" s="59"/>
      <c r="C45" s="24">
        <f t="shared" si="13"/>
        <v>1</v>
      </c>
      <c r="D45" s="707"/>
      <c r="E45" s="24">
        <f t="shared" si="14"/>
        <v>0.2</v>
      </c>
      <c r="F45" s="707"/>
      <c r="G45" s="24">
        <f t="shared" si="15"/>
        <v>1</v>
      </c>
      <c r="H45" s="707"/>
      <c r="I45" s="24">
        <f t="shared" si="16"/>
        <v>1</v>
      </c>
      <c r="J45" s="707"/>
      <c r="K45" s="24">
        <f t="shared" si="17"/>
        <v>1</v>
      </c>
      <c r="L45" s="707"/>
      <c r="M45" s="24">
        <f t="shared" si="18"/>
        <v>1</v>
      </c>
      <c r="N45" s="707"/>
      <c r="O45" s="24">
        <f t="shared" si="19"/>
        <v>1</v>
      </c>
      <c r="P45" s="707"/>
      <c r="Q45" s="24">
        <f t="shared" si="20"/>
        <v>1</v>
      </c>
      <c r="R45" s="703">
        <f t="shared" si="21"/>
        <v>0</v>
      </c>
      <c r="S45" s="348">
        <f t="shared" si="12"/>
        <v>0</v>
      </c>
    </row>
    <row r="46" spans="1:19">
      <c r="A46" s="146"/>
      <c r="B46" s="59"/>
      <c r="C46" s="24">
        <f t="shared" si="13"/>
        <v>1</v>
      </c>
      <c r="D46" s="707"/>
      <c r="E46" s="24">
        <f t="shared" si="14"/>
        <v>0.2</v>
      </c>
      <c r="F46" s="707"/>
      <c r="G46" s="24">
        <f t="shared" si="15"/>
        <v>1</v>
      </c>
      <c r="H46" s="707"/>
      <c r="I46" s="24">
        <f t="shared" si="16"/>
        <v>1</v>
      </c>
      <c r="J46" s="707"/>
      <c r="K46" s="24">
        <f t="shared" si="17"/>
        <v>1</v>
      </c>
      <c r="L46" s="707"/>
      <c r="M46" s="24">
        <f t="shared" si="18"/>
        <v>1</v>
      </c>
      <c r="N46" s="707"/>
      <c r="O46" s="24">
        <f t="shared" si="19"/>
        <v>1</v>
      </c>
      <c r="P46" s="707"/>
      <c r="Q46" s="24">
        <f t="shared" si="20"/>
        <v>1</v>
      </c>
      <c r="R46" s="703">
        <f t="shared" si="21"/>
        <v>0</v>
      </c>
      <c r="S46" s="348">
        <f t="shared" si="12"/>
        <v>0</v>
      </c>
    </row>
    <row r="47" spans="1:19">
      <c r="A47" s="146"/>
      <c r="B47" s="59"/>
      <c r="C47" s="24">
        <f t="shared" si="13"/>
        <v>1</v>
      </c>
      <c r="D47" s="707"/>
      <c r="E47" s="24">
        <f t="shared" si="14"/>
        <v>0.2</v>
      </c>
      <c r="F47" s="707"/>
      <c r="G47" s="24">
        <f t="shared" si="15"/>
        <v>1</v>
      </c>
      <c r="H47" s="707"/>
      <c r="I47" s="24">
        <f t="shared" si="16"/>
        <v>1</v>
      </c>
      <c r="J47" s="707"/>
      <c r="K47" s="24">
        <f t="shared" si="17"/>
        <v>1</v>
      </c>
      <c r="L47" s="707"/>
      <c r="M47" s="24">
        <f t="shared" si="18"/>
        <v>1</v>
      </c>
      <c r="N47" s="707"/>
      <c r="O47" s="24">
        <f t="shared" si="19"/>
        <v>1</v>
      </c>
      <c r="P47" s="707"/>
      <c r="Q47" s="24">
        <f t="shared" si="20"/>
        <v>1</v>
      </c>
      <c r="R47" s="703">
        <f t="shared" si="21"/>
        <v>0</v>
      </c>
      <c r="S47" s="348">
        <f t="shared" si="12"/>
        <v>0</v>
      </c>
    </row>
    <row r="48" spans="1:19">
      <c r="A48" s="146"/>
      <c r="B48" s="59"/>
      <c r="C48" s="24">
        <f t="shared" si="13"/>
        <v>1</v>
      </c>
      <c r="D48" s="707"/>
      <c r="E48" s="24">
        <f t="shared" si="14"/>
        <v>0.2</v>
      </c>
      <c r="F48" s="707"/>
      <c r="G48" s="24">
        <f t="shared" si="15"/>
        <v>1</v>
      </c>
      <c r="H48" s="707"/>
      <c r="I48" s="24">
        <f t="shared" si="16"/>
        <v>1</v>
      </c>
      <c r="J48" s="707"/>
      <c r="K48" s="24">
        <f t="shared" si="17"/>
        <v>1</v>
      </c>
      <c r="L48" s="707"/>
      <c r="M48" s="24">
        <f t="shared" si="18"/>
        <v>1</v>
      </c>
      <c r="N48" s="707"/>
      <c r="O48" s="24">
        <f t="shared" si="19"/>
        <v>1</v>
      </c>
      <c r="P48" s="707"/>
      <c r="Q48" s="24">
        <f t="shared" si="20"/>
        <v>1</v>
      </c>
      <c r="R48" s="703">
        <f t="shared" si="21"/>
        <v>0</v>
      </c>
      <c r="S48" s="348">
        <f t="shared" si="12"/>
        <v>0</v>
      </c>
    </row>
    <row r="49" spans="1:19">
      <c r="A49" s="146"/>
      <c r="B49" s="59"/>
      <c r="C49" s="24">
        <f t="shared" si="13"/>
        <v>1</v>
      </c>
      <c r="D49" s="707"/>
      <c r="E49" s="24">
        <f t="shared" si="14"/>
        <v>0.2</v>
      </c>
      <c r="F49" s="707"/>
      <c r="G49" s="24">
        <f t="shared" si="15"/>
        <v>1</v>
      </c>
      <c r="H49" s="707"/>
      <c r="I49" s="24">
        <f t="shared" si="16"/>
        <v>1</v>
      </c>
      <c r="J49" s="707"/>
      <c r="K49" s="24">
        <f t="shared" si="17"/>
        <v>1</v>
      </c>
      <c r="L49" s="707"/>
      <c r="M49" s="24">
        <f t="shared" si="18"/>
        <v>1</v>
      </c>
      <c r="N49" s="707"/>
      <c r="O49" s="24">
        <f t="shared" si="19"/>
        <v>1</v>
      </c>
      <c r="P49" s="707"/>
      <c r="Q49" s="24">
        <f t="shared" si="20"/>
        <v>1</v>
      </c>
      <c r="R49" s="703">
        <f t="shared" si="21"/>
        <v>0</v>
      </c>
      <c r="S49" s="348">
        <f t="shared" si="12"/>
        <v>0</v>
      </c>
    </row>
    <row r="50" spans="1:19">
      <c r="A50" s="146"/>
      <c r="B50" s="59"/>
      <c r="C50" s="24">
        <f t="shared" si="13"/>
        <v>1</v>
      </c>
      <c r="D50" s="707"/>
      <c r="E50" s="24">
        <f t="shared" si="14"/>
        <v>0.2</v>
      </c>
      <c r="F50" s="707"/>
      <c r="G50" s="24">
        <f t="shared" si="15"/>
        <v>1</v>
      </c>
      <c r="H50" s="707"/>
      <c r="I50" s="24">
        <f t="shared" si="16"/>
        <v>1</v>
      </c>
      <c r="J50" s="707"/>
      <c r="K50" s="24">
        <f t="shared" si="17"/>
        <v>1</v>
      </c>
      <c r="L50" s="707"/>
      <c r="M50" s="24">
        <f t="shared" si="18"/>
        <v>1</v>
      </c>
      <c r="N50" s="707"/>
      <c r="O50" s="24">
        <f t="shared" si="19"/>
        <v>1</v>
      </c>
      <c r="P50" s="707"/>
      <c r="Q50" s="24">
        <f t="shared" si="20"/>
        <v>1</v>
      </c>
      <c r="R50" s="703">
        <f t="shared" si="21"/>
        <v>0</v>
      </c>
      <c r="S50" s="348">
        <f t="shared" si="12"/>
        <v>0</v>
      </c>
    </row>
    <row r="51" spans="1:19">
      <c r="A51" s="146"/>
      <c r="B51" s="59"/>
      <c r="C51" s="24">
        <f t="shared" si="13"/>
        <v>1</v>
      </c>
      <c r="D51" s="707"/>
      <c r="E51" s="24">
        <f t="shared" si="14"/>
        <v>0.2</v>
      </c>
      <c r="F51" s="707"/>
      <c r="G51" s="24">
        <f t="shared" si="15"/>
        <v>1</v>
      </c>
      <c r="H51" s="707"/>
      <c r="I51" s="24">
        <f t="shared" si="16"/>
        <v>1</v>
      </c>
      <c r="J51" s="707"/>
      <c r="K51" s="24">
        <f t="shared" si="17"/>
        <v>1</v>
      </c>
      <c r="L51" s="707"/>
      <c r="M51" s="24">
        <f t="shared" si="18"/>
        <v>1</v>
      </c>
      <c r="N51" s="707"/>
      <c r="O51" s="24">
        <f t="shared" si="19"/>
        <v>1</v>
      </c>
      <c r="P51" s="707"/>
      <c r="Q51" s="24">
        <f t="shared" si="20"/>
        <v>1</v>
      </c>
      <c r="R51" s="703">
        <f t="shared" si="21"/>
        <v>0</v>
      </c>
      <c r="S51" s="348">
        <f t="shared" si="12"/>
        <v>0</v>
      </c>
    </row>
    <row r="52" spans="1:19">
      <c r="A52" s="146"/>
      <c r="B52" s="59"/>
      <c r="C52" s="24">
        <f t="shared" si="13"/>
        <v>1</v>
      </c>
      <c r="D52" s="707"/>
      <c r="E52" s="24">
        <f t="shared" si="14"/>
        <v>0.2</v>
      </c>
      <c r="F52" s="707"/>
      <c r="G52" s="24">
        <f t="shared" si="15"/>
        <v>1</v>
      </c>
      <c r="H52" s="707"/>
      <c r="I52" s="24">
        <f t="shared" si="16"/>
        <v>1</v>
      </c>
      <c r="J52" s="707"/>
      <c r="K52" s="24">
        <f t="shared" si="17"/>
        <v>1</v>
      </c>
      <c r="L52" s="707"/>
      <c r="M52" s="24">
        <f t="shared" si="18"/>
        <v>1</v>
      </c>
      <c r="N52" s="707"/>
      <c r="O52" s="24">
        <f t="shared" si="19"/>
        <v>1</v>
      </c>
      <c r="P52" s="707"/>
      <c r="Q52" s="24">
        <f t="shared" si="20"/>
        <v>1</v>
      </c>
      <c r="R52" s="703">
        <f t="shared" si="21"/>
        <v>0</v>
      </c>
      <c r="S52" s="348">
        <f t="shared" si="12"/>
        <v>0</v>
      </c>
    </row>
    <row r="53" spans="1:19">
      <c r="A53" s="146"/>
      <c r="B53" s="59"/>
      <c r="C53" s="24">
        <f t="shared" si="13"/>
        <v>1</v>
      </c>
      <c r="D53" s="707"/>
      <c r="E53" s="24">
        <f t="shared" si="14"/>
        <v>0.2</v>
      </c>
      <c r="F53" s="707"/>
      <c r="G53" s="24">
        <f t="shared" si="15"/>
        <v>1</v>
      </c>
      <c r="H53" s="707"/>
      <c r="I53" s="24">
        <f t="shared" si="16"/>
        <v>1</v>
      </c>
      <c r="J53" s="707"/>
      <c r="K53" s="24">
        <f t="shared" si="17"/>
        <v>1</v>
      </c>
      <c r="L53" s="707"/>
      <c r="M53" s="24">
        <f t="shared" si="18"/>
        <v>1</v>
      </c>
      <c r="N53" s="707"/>
      <c r="O53" s="24">
        <f t="shared" si="19"/>
        <v>1</v>
      </c>
      <c r="P53" s="707"/>
      <c r="Q53" s="24">
        <f t="shared" si="20"/>
        <v>1</v>
      </c>
      <c r="R53" s="703">
        <f t="shared" si="21"/>
        <v>0</v>
      </c>
      <c r="S53" s="348">
        <f t="shared" si="12"/>
        <v>0</v>
      </c>
    </row>
    <row r="54" spans="1:19">
      <c r="A54" s="146"/>
      <c r="B54" s="59"/>
      <c r="C54" s="24">
        <f t="shared" si="13"/>
        <v>1</v>
      </c>
      <c r="D54" s="707"/>
      <c r="E54" s="24">
        <f t="shared" si="14"/>
        <v>0.2</v>
      </c>
      <c r="F54" s="707"/>
      <c r="G54" s="24">
        <f t="shared" si="15"/>
        <v>1</v>
      </c>
      <c r="H54" s="707"/>
      <c r="I54" s="24">
        <f t="shared" si="16"/>
        <v>1</v>
      </c>
      <c r="J54" s="707"/>
      <c r="K54" s="24">
        <f t="shared" si="17"/>
        <v>1</v>
      </c>
      <c r="L54" s="707"/>
      <c r="M54" s="24">
        <f t="shared" si="18"/>
        <v>1</v>
      </c>
      <c r="N54" s="707"/>
      <c r="O54" s="24">
        <f t="shared" si="19"/>
        <v>1</v>
      </c>
      <c r="P54" s="707"/>
      <c r="Q54" s="24">
        <f t="shared" si="20"/>
        <v>1</v>
      </c>
      <c r="R54" s="703">
        <f t="shared" si="21"/>
        <v>0</v>
      </c>
      <c r="S54" s="348">
        <f t="shared" si="12"/>
        <v>0</v>
      </c>
    </row>
    <row r="55" spans="1:19">
      <c r="A55" s="146"/>
      <c r="B55" s="59"/>
      <c r="C55" s="24">
        <f t="shared" si="13"/>
        <v>1</v>
      </c>
      <c r="D55" s="707"/>
      <c r="E55" s="24">
        <f t="shared" si="14"/>
        <v>0.2</v>
      </c>
      <c r="F55" s="707"/>
      <c r="G55" s="24">
        <f t="shared" si="15"/>
        <v>1</v>
      </c>
      <c r="H55" s="707"/>
      <c r="I55" s="24">
        <f t="shared" si="16"/>
        <v>1</v>
      </c>
      <c r="J55" s="707"/>
      <c r="K55" s="24">
        <f t="shared" si="17"/>
        <v>1</v>
      </c>
      <c r="L55" s="707"/>
      <c r="M55" s="24">
        <f t="shared" si="18"/>
        <v>1</v>
      </c>
      <c r="N55" s="707"/>
      <c r="O55" s="24">
        <f t="shared" si="19"/>
        <v>1</v>
      </c>
      <c r="P55" s="707"/>
      <c r="Q55" s="24">
        <f t="shared" si="20"/>
        <v>1</v>
      </c>
      <c r="R55" s="703">
        <f t="shared" si="21"/>
        <v>0</v>
      </c>
      <c r="S55" s="348">
        <f t="shared" ref="S55:S77" si="22">ROUND(R55*B55/10000,0)</f>
        <v>0</v>
      </c>
    </row>
    <row r="56" spans="1:19">
      <c r="A56" s="146"/>
      <c r="B56" s="59"/>
      <c r="C56" s="24">
        <f t="shared" si="13"/>
        <v>1</v>
      </c>
      <c r="D56" s="707"/>
      <c r="E56" s="24">
        <f t="shared" si="14"/>
        <v>0.2</v>
      </c>
      <c r="F56" s="707"/>
      <c r="G56" s="24">
        <f t="shared" si="15"/>
        <v>1</v>
      </c>
      <c r="H56" s="707"/>
      <c r="I56" s="24">
        <f t="shared" si="16"/>
        <v>1</v>
      </c>
      <c r="J56" s="707"/>
      <c r="K56" s="24">
        <f t="shared" si="17"/>
        <v>1</v>
      </c>
      <c r="L56" s="707"/>
      <c r="M56" s="24">
        <f t="shared" si="18"/>
        <v>1</v>
      </c>
      <c r="N56" s="707"/>
      <c r="O56" s="24">
        <f t="shared" si="19"/>
        <v>1</v>
      </c>
      <c r="P56" s="707"/>
      <c r="Q56" s="24">
        <f t="shared" si="20"/>
        <v>1</v>
      </c>
      <c r="R56" s="703">
        <f t="shared" si="21"/>
        <v>0</v>
      </c>
      <c r="S56" s="348">
        <f t="shared" si="22"/>
        <v>0</v>
      </c>
    </row>
    <row r="57" spans="1:19">
      <c r="A57" s="146"/>
      <c r="B57" s="59"/>
      <c r="C57" s="24">
        <f t="shared" si="13"/>
        <v>1</v>
      </c>
      <c r="D57" s="707"/>
      <c r="E57" s="24">
        <f t="shared" si="14"/>
        <v>0.2</v>
      </c>
      <c r="F57" s="707"/>
      <c r="G57" s="24">
        <f t="shared" si="15"/>
        <v>1</v>
      </c>
      <c r="H57" s="707"/>
      <c r="I57" s="24">
        <f t="shared" si="16"/>
        <v>1</v>
      </c>
      <c r="J57" s="707"/>
      <c r="K57" s="24">
        <f t="shared" si="17"/>
        <v>1</v>
      </c>
      <c r="L57" s="707"/>
      <c r="M57" s="24">
        <f t="shared" si="18"/>
        <v>1</v>
      </c>
      <c r="N57" s="707"/>
      <c r="O57" s="24">
        <f t="shared" si="19"/>
        <v>1</v>
      </c>
      <c r="P57" s="707"/>
      <c r="Q57" s="24">
        <f t="shared" si="20"/>
        <v>1</v>
      </c>
      <c r="R57" s="703">
        <f t="shared" si="21"/>
        <v>0</v>
      </c>
      <c r="S57" s="348">
        <f t="shared" si="22"/>
        <v>0</v>
      </c>
    </row>
    <row r="58" spans="1:19">
      <c r="A58" s="146"/>
      <c r="B58" s="59"/>
      <c r="C58" s="24">
        <f t="shared" si="13"/>
        <v>1</v>
      </c>
      <c r="D58" s="707"/>
      <c r="E58" s="24">
        <f t="shared" si="14"/>
        <v>0.2</v>
      </c>
      <c r="F58" s="707"/>
      <c r="G58" s="24">
        <f t="shared" si="15"/>
        <v>1</v>
      </c>
      <c r="H58" s="707"/>
      <c r="I58" s="24">
        <f t="shared" si="16"/>
        <v>1</v>
      </c>
      <c r="J58" s="707"/>
      <c r="K58" s="24">
        <f t="shared" si="17"/>
        <v>1</v>
      </c>
      <c r="L58" s="707"/>
      <c r="M58" s="24">
        <f t="shared" si="18"/>
        <v>1</v>
      </c>
      <c r="N58" s="707"/>
      <c r="O58" s="24">
        <f t="shared" si="19"/>
        <v>1</v>
      </c>
      <c r="P58" s="707"/>
      <c r="Q58" s="24">
        <f t="shared" si="20"/>
        <v>1</v>
      </c>
      <c r="R58" s="703">
        <f t="shared" si="21"/>
        <v>0</v>
      </c>
      <c r="S58" s="348">
        <f t="shared" si="22"/>
        <v>0</v>
      </c>
    </row>
    <row r="59" spans="1:19">
      <c r="A59" s="146"/>
      <c r="B59" s="59"/>
      <c r="C59" s="24">
        <f t="shared" si="13"/>
        <v>1</v>
      </c>
      <c r="D59" s="707"/>
      <c r="E59" s="24">
        <f t="shared" si="14"/>
        <v>0.2</v>
      </c>
      <c r="F59" s="707"/>
      <c r="G59" s="24">
        <f t="shared" si="15"/>
        <v>1</v>
      </c>
      <c r="H59" s="707"/>
      <c r="I59" s="24">
        <f t="shared" si="16"/>
        <v>1</v>
      </c>
      <c r="J59" s="707"/>
      <c r="K59" s="24">
        <f t="shared" si="17"/>
        <v>1</v>
      </c>
      <c r="L59" s="707"/>
      <c r="M59" s="24">
        <f t="shared" si="18"/>
        <v>1</v>
      </c>
      <c r="N59" s="707"/>
      <c r="O59" s="24">
        <f t="shared" si="19"/>
        <v>1</v>
      </c>
      <c r="P59" s="707"/>
      <c r="Q59" s="24">
        <f t="shared" si="20"/>
        <v>1</v>
      </c>
      <c r="R59" s="703">
        <f t="shared" si="21"/>
        <v>0</v>
      </c>
      <c r="S59" s="348">
        <f t="shared" si="22"/>
        <v>0</v>
      </c>
    </row>
    <row r="60" spans="1:19">
      <c r="A60" s="146"/>
      <c r="B60" s="59"/>
      <c r="C60" s="24">
        <f t="shared" si="13"/>
        <v>1</v>
      </c>
      <c r="D60" s="707"/>
      <c r="E60" s="24">
        <f t="shared" si="14"/>
        <v>0.2</v>
      </c>
      <c r="F60" s="707"/>
      <c r="G60" s="24">
        <f t="shared" si="15"/>
        <v>1</v>
      </c>
      <c r="H60" s="707"/>
      <c r="I60" s="24">
        <f t="shared" si="16"/>
        <v>1</v>
      </c>
      <c r="J60" s="707"/>
      <c r="K60" s="24">
        <f t="shared" si="17"/>
        <v>1</v>
      </c>
      <c r="L60" s="707"/>
      <c r="M60" s="24">
        <f t="shared" si="18"/>
        <v>1</v>
      </c>
      <c r="N60" s="707"/>
      <c r="O60" s="24">
        <f t="shared" si="19"/>
        <v>1</v>
      </c>
      <c r="P60" s="707"/>
      <c r="Q60" s="24">
        <f t="shared" si="20"/>
        <v>1</v>
      </c>
      <c r="R60" s="703">
        <f t="shared" si="21"/>
        <v>0</v>
      </c>
      <c r="S60" s="348">
        <f t="shared" si="22"/>
        <v>0</v>
      </c>
    </row>
    <row r="61" spans="1:19">
      <c r="A61" s="146"/>
      <c r="B61" s="59"/>
      <c r="C61" s="24">
        <f t="shared" si="13"/>
        <v>1</v>
      </c>
      <c r="D61" s="707"/>
      <c r="E61" s="24">
        <f t="shared" si="14"/>
        <v>0.2</v>
      </c>
      <c r="F61" s="707"/>
      <c r="G61" s="24">
        <f t="shared" si="15"/>
        <v>1</v>
      </c>
      <c r="H61" s="707"/>
      <c r="I61" s="24">
        <f t="shared" si="16"/>
        <v>1</v>
      </c>
      <c r="J61" s="707"/>
      <c r="K61" s="24">
        <f t="shared" si="17"/>
        <v>1</v>
      </c>
      <c r="L61" s="707"/>
      <c r="M61" s="24">
        <f t="shared" si="18"/>
        <v>1</v>
      </c>
      <c r="N61" s="707"/>
      <c r="O61" s="24">
        <f t="shared" si="19"/>
        <v>1</v>
      </c>
      <c r="P61" s="707"/>
      <c r="Q61" s="24">
        <f t="shared" si="20"/>
        <v>1</v>
      </c>
      <c r="R61" s="703">
        <f t="shared" si="21"/>
        <v>0</v>
      </c>
      <c r="S61" s="348">
        <f t="shared" si="22"/>
        <v>0</v>
      </c>
    </row>
    <row r="62" spans="1:19">
      <c r="A62" s="146"/>
      <c r="B62" s="59"/>
      <c r="C62" s="24">
        <f t="shared" si="13"/>
        <v>1</v>
      </c>
      <c r="D62" s="707"/>
      <c r="E62" s="24">
        <f t="shared" si="14"/>
        <v>0.2</v>
      </c>
      <c r="F62" s="707"/>
      <c r="G62" s="24">
        <f t="shared" si="15"/>
        <v>1</v>
      </c>
      <c r="H62" s="707"/>
      <c r="I62" s="24">
        <f t="shared" si="16"/>
        <v>1</v>
      </c>
      <c r="J62" s="707"/>
      <c r="K62" s="24">
        <f t="shared" si="17"/>
        <v>1</v>
      </c>
      <c r="L62" s="707"/>
      <c r="M62" s="24">
        <f t="shared" si="18"/>
        <v>1</v>
      </c>
      <c r="N62" s="707"/>
      <c r="O62" s="24">
        <f t="shared" si="19"/>
        <v>1</v>
      </c>
      <c r="P62" s="707"/>
      <c r="Q62" s="24">
        <f t="shared" si="20"/>
        <v>1</v>
      </c>
      <c r="R62" s="703">
        <f t="shared" si="21"/>
        <v>0</v>
      </c>
      <c r="S62" s="348">
        <f t="shared" si="22"/>
        <v>0</v>
      </c>
    </row>
    <row r="63" spans="1:19">
      <c r="A63" s="146"/>
      <c r="B63" s="59"/>
      <c r="C63" s="24">
        <f t="shared" si="13"/>
        <v>1</v>
      </c>
      <c r="D63" s="707"/>
      <c r="E63" s="24">
        <f t="shared" si="14"/>
        <v>0.2</v>
      </c>
      <c r="F63" s="707"/>
      <c r="G63" s="24">
        <f t="shared" si="15"/>
        <v>1</v>
      </c>
      <c r="H63" s="707"/>
      <c r="I63" s="24">
        <f t="shared" si="16"/>
        <v>1</v>
      </c>
      <c r="J63" s="707"/>
      <c r="K63" s="24">
        <f t="shared" si="17"/>
        <v>1</v>
      </c>
      <c r="L63" s="707"/>
      <c r="M63" s="24">
        <f t="shared" si="18"/>
        <v>1</v>
      </c>
      <c r="N63" s="707"/>
      <c r="O63" s="24">
        <f t="shared" si="19"/>
        <v>1</v>
      </c>
      <c r="P63" s="707"/>
      <c r="Q63" s="24">
        <f t="shared" si="20"/>
        <v>1</v>
      </c>
      <c r="R63" s="703">
        <f t="shared" si="21"/>
        <v>0</v>
      </c>
      <c r="S63" s="348">
        <f t="shared" si="22"/>
        <v>0</v>
      </c>
    </row>
    <row r="64" spans="1:19">
      <c r="A64" s="146"/>
      <c r="B64" s="59"/>
      <c r="C64" s="24">
        <f t="shared" si="13"/>
        <v>1</v>
      </c>
      <c r="D64" s="707"/>
      <c r="E64" s="24">
        <f t="shared" si="14"/>
        <v>0.2</v>
      </c>
      <c r="F64" s="707"/>
      <c r="G64" s="24">
        <f t="shared" si="15"/>
        <v>1</v>
      </c>
      <c r="H64" s="707"/>
      <c r="I64" s="24">
        <f t="shared" si="16"/>
        <v>1</v>
      </c>
      <c r="J64" s="707"/>
      <c r="K64" s="24">
        <f t="shared" si="17"/>
        <v>1</v>
      </c>
      <c r="L64" s="707"/>
      <c r="M64" s="24">
        <f t="shared" si="18"/>
        <v>1</v>
      </c>
      <c r="N64" s="707"/>
      <c r="O64" s="24">
        <f t="shared" si="19"/>
        <v>1</v>
      </c>
      <c r="P64" s="707"/>
      <c r="Q64" s="24">
        <f t="shared" si="20"/>
        <v>1</v>
      </c>
      <c r="R64" s="703">
        <f t="shared" si="21"/>
        <v>0</v>
      </c>
      <c r="S64" s="348">
        <f t="shared" si="22"/>
        <v>0</v>
      </c>
    </row>
    <row r="65" spans="1:19">
      <c r="A65" s="146"/>
      <c r="B65" s="59"/>
      <c r="C65" s="24">
        <f t="shared" si="13"/>
        <v>1</v>
      </c>
      <c r="D65" s="707"/>
      <c r="E65" s="24">
        <f t="shared" si="14"/>
        <v>0.2</v>
      </c>
      <c r="F65" s="707"/>
      <c r="G65" s="24">
        <f t="shared" si="15"/>
        <v>1</v>
      </c>
      <c r="H65" s="707"/>
      <c r="I65" s="24">
        <f t="shared" si="16"/>
        <v>1</v>
      </c>
      <c r="J65" s="707"/>
      <c r="K65" s="24">
        <f t="shared" si="17"/>
        <v>1</v>
      </c>
      <c r="L65" s="707"/>
      <c r="M65" s="24">
        <f t="shared" si="18"/>
        <v>1</v>
      </c>
      <c r="N65" s="707"/>
      <c r="O65" s="24">
        <f t="shared" si="19"/>
        <v>1</v>
      </c>
      <c r="P65" s="707"/>
      <c r="Q65" s="24">
        <f t="shared" si="20"/>
        <v>1</v>
      </c>
      <c r="R65" s="703">
        <f t="shared" si="21"/>
        <v>0</v>
      </c>
      <c r="S65" s="348">
        <f t="shared" si="22"/>
        <v>0</v>
      </c>
    </row>
    <row r="66" spans="1:19">
      <c r="A66" s="146"/>
      <c r="B66" s="59"/>
      <c r="C66" s="24">
        <f t="shared" si="13"/>
        <v>1</v>
      </c>
      <c r="D66" s="707"/>
      <c r="E66" s="24">
        <f t="shared" si="14"/>
        <v>0.2</v>
      </c>
      <c r="F66" s="707"/>
      <c r="G66" s="24">
        <f t="shared" si="15"/>
        <v>1</v>
      </c>
      <c r="H66" s="707"/>
      <c r="I66" s="24">
        <f t="shared" si="16"/>
        <v>1</v>
      </c>
      <c r="J66" s="707"/>
      <c r="K66" s="24">
        <f t="shared" si="17"/>
        <v>1</v>
      </c>
      <c r="L66" s="707"/>
      <c r="M66" s="24">
        <f t="shared" si="18"/>
        <v>1</v>
      </c>
      <c r="N66" s="707"/>
      <c r="O66" s="24">
        <f t="shared" si="19"/>
        <v>1</v>
      </c>
      <c r="P66" s="707"/>
      <c r="Q66" s="24">
        <f t="shared" si="20"/>
        <v>1</v>
      </c>
      <c r="R66" s="703">
        <f t="shared" si="21"/>
        <v>0</v>
      </c>
      <c r="S66" s="348">
        <f t="shared" si="22"/>
        <v>0</v>
      </c>
    </row>
    <row r="67" spans="1:19">
      <c r="A67" s="146"/>
      <c r="B67" s="59"/>
      <c r="C67" s="24">
        <f t="shared" si="13"/>
        <v>1</v>
      </c>
      <c r="D67" s="707"/>
      <c r="E67" s="24">
        <f t="shared" si="14"/>
        <v>0.2</v>
      </c>
      <c r="F67" s="707"/>
      <c r="G67" s="24">
        <f t="shared" si="15"/>
        <v>1</v>
      </c>
      <c r="H67" s="707"/>
      <c r="I67" s="24">
        <f t="shared" si="16"/>
        <v>1</v>
      </c>
      <c r="J67" s="707"/>
      <c r="K67" s="24">
        <f t="shared" si="17"/>
        <v>1</v>
      </c>
      <c r="L67" s="707"/>
      <c r="M67" s="24">
        <f t="shared" si="18"/>
        <v>1</v>
      </c>
      <c r="N67" s="707"/>
      <c r="O67" s="24">
        <f t="shared" si="19"/>
        <v>1</v>
      </c>
      <c r="P67" s="707"/>
      <c r="Q67" s="24">
        <f t="shared" si="20"/>
        <v>1</v>
      </c>
      <c r="R67" s="703">
        <f t="shared" si="21"/>
        <v>0</v>
      </c>
      <c r="S67" s="348">
        <f t="shared" si="22"/>
        <v>0</v>
      </c>
    </row>
    <row r="68" spans="1:19">
      <c r="A68" s="146"/>
      <c r="B68" s="59"/>
      <c r="C68" s="24">
        <f t="shared" si="13"/>
        <v>1</v>
      </c>
      <c r="D68" s="707"/>
      <c r="E68" s="24">
        <f t="shared" si="14"/>
        <v>0.2</v>
      </c>
      <c r="F68" s="707"/>
      <c r="G68" s="24">
        <f t="shared" si="15"/>
        <v>1</v>
      </c>
      <c r="H68" s="707"/>
      <c r="I68" s="24">
        <f t="shared" si="16"/>
        <v>1</v>
      </c>
      <c r="J68" s="707"/>
      <c r="K68" s="24">
        <f t="shared" si="17"/>
        <v>1</v>
      </c>
      <c r="L68" s="707"/>
      <c r="M68" s="24">
        <f t="shared" si="18"/>
        <v>1</v>
      </c>
      <c r="N68" s="707"/>
      <c r="O68" s="24">
        <f t="shared" si="19"/>
        <v>1</v>
      </c>
      <c r="P68" s="707"/>
      <c r="Q68" s="24">
        <f t="shared" si="20"/>
        <v>1</v>
      </c>
      <c r="R68" s="703">
        <f t="shared" si="21"/>
        <v>0</v>
      </c>
      <c r="S68" s="348">
        <f t="shared" si="22"/>
        <v>0</v>
      </c>
    </row>
    <row r="69" spans="1:19">
      <c r="A69" s="146"/>
      <c r="B69" s="59"/>
      <c r="C69" s="24">
        <f t="shared" si="13"/>
        <v>1</v>
      </c>
      <c r="D69" s="707"/>
      <c r="E69" s="24">
        <f t="shared" si="14"/>
        <v>0.2</v>
      </c>
      <c r="F69" s="707"/>
      <c r="G69" s="24">
        <f t="shared" si="15"/>
        <v>1</v>
      </c>
      <c r="H69" s="707"/>
      <c r="I69" s="24">
        <f t="shared" si="16"/>
        <v>1</v>
      </c>
      <c r="J69" s="707"/>
      <c r="K69" s="24">
        <f t="shared" si="17"/>
        <v>1</v>
      </c>
      <c r="L69" s="707"/>
      <c r="M69" s="24">
        <f t="shared" si="18"/>
        <v>1</v>
      </c>
      <c r="N69" s="707"/>
      <c r="O69" s="24">
        <f t="shared" si="19"/>
        <v>1</v>
      </c>
      <c r="P69" s="707"/>
      <c r="Q69" s="24">
        <f t="shared" si="20"/>
        <v>1</v>
      </c>
      <c r="R69" s="703">
        <f t="shared" si="21"/>
        <v>0</v>
      </c>
      <c r="S69" s="348">
        <f t="shared" si="22"/>
        <v>0</v>
      </c>
    </row>
    <row r="70" spans="1:19">
      <c r="A70" s="146"/>
      <c r="B70" s="59"/>
      <c r="C70" s="24">
        <f t="shared" si="13"/>
        <v>1</v>
      </c>
      <c r="D70" s="707"/>
      <c r="E70" s="24">
        <f t="shared" si="14"/>
        <v>0.2</v>
      </c>
      <c r="F70" s="707"/>
      <c r="G70" s="24">
        <f t="shared" si="15"/>
        <v>1</v>
      </c>
      <c r="H70" s="707"/>
      <c r="I70" s="24">
        <f t="shared" si="16"/>
        <v>1</v>
      </c>
      <c r="J70" s="707"/>
      <c r="K70" s="24">
        <f t="shared" si="17"/>
        <v>1</v>
      </c>
      <c r="L70" s="707"/>
      <c r="M70" s="24">
        <f t="shared" si="18"/>
        <v>1</v>
      </c>
      <c r="N70" s="707"/>
      <c r="O70" s="24">
        <f t="shared" si="19"/>
        <v>1</v>
      </c>
      <c r="P70" s="707"/>
      <c r="Q70" s="24">
        <f t="shared" si="20"/>
        <v>1</v>
      </c>
      <c r="R70" s="703">
        <f t="shared" si="21"/>
        <v>0</v>
      </c>
      <c r="S70" s="348">
        <f t="shared" si="22"/>
        <v>0</v>
      </c>
    </row>
    <row r="71" spans="1:19">
      <c r="A71" s="146"/>
      <c r="B71" s="59"/>
      <c r="C71" s="24">
        <f t="shared" si="13"/>
        <v>1</v>
      </c>
      <c r="D71" s="707"/>
      <c r="E71" s="24">
        <f t="shared" si="14"/>
        <v>0.2</v>
      </c>
      <c r="F71" s="707"/>
      <c r="G71" s="24">
        <f t="shared" si="15"/>
        <v>1</v>
      </c>
      <c r="H71" s="707"/>
      <c r="I71" s="24">
        <f t="shared" si="16"/>
        <v>1</v>
      </c>
      <c r="J71" s="707"/>
      <c r="K71" s="24">
        <f t="shared" si="17"/>
        <v>1</v>
      </c>
      <c r="L71" s="707"/>
      <c r="M71" s="24">
        <f t="shared" si="18"/>
        <v>1</v>
      </c>
      <c r="N71" s="707"/>
      <c r="O71" s="24">
        <f t="shared" si="19"/>
        <v>1</v>
      </c>
      <c r="P71" s="707"/>
      <c r="Q71" s="24">
        <f t="shared" si="20"/>
        <v>1</v>
      </c>
      <c r="R71" s="703">
        <f t="shared" si="21"/>
        <v>0</v>
      </c>
      <c r="S71" s="348">
        <f t="shared" si="22"/>
        <v>0</v>
      </c>
    </row>
    <row r="72" spans="1:19">
      <c r="A72" s="146"/>
      <c r="B72" s="59"/>
      <c r="C72" s="24">
        <f t="shared" si="13"/>
        <v>1</v>
      </c>
      <c r="D72" s="707"/>
      <c r="E72" s="24">
        <f t="shared" si="14"/>
        <v>0.2</v>
      </c>
      <c r="F72" s="707"/>
      <c r="G72" s="24">
        <f t="shared" si="15"/>
        <v>1</v>
      </c>
      <c r="H72" s="707"/>
      <c r="I72" s="24">
        <f t="shared" si="16"/>
        <v>1</v>
      </c>
      <c r="J72" s="707"/>
      <c r="K72" s="24">
        <f t="shared" si="17"/>
        <v>1</v>
      </c>
      <c r="L72" s="707"/>
      <c r="M72" s="24">
        <f t="shared" si="18"/>
        <v>1</v>
      </c>
      <c r="N72" s="707"/>
      <c r="O72" s="24">
        <f t="shared" si="19"/>
        <v>1</v>
      </c>
      <c r="P72" s="707"/>
      <c r="Q72" s="24">
        <f t="shared" si="20"/>
        <v>1</v>
      </c>
      <c r="R72" s="703">
        <f t="shared" si="21"/>
        <v>0</v>
      </c>
      <c r="S72" s="348">
        <f t="shared" si="22"/>
        <v>0</v>
      </c>
    </row>
    <row r="73" spans="1:19">
      <c r="A73" s="146"/>
      <c r="B73" s="59"/>
      <c r="C73" s="24">
        <f t="shared" si="13"/>
        <v>1</v>
      </c>
      <c r="D73" s="707"/>
      <c r="E73" s="24">
        <f t="shared" si="14"/>
        <v>0.2</v>
      </c>
      <c r="F73" s="707"/>
      <c r="G73" s="24">
        <f t="shared" si="15"/>
        <v>1</v>
      </c>
      <c r="H73" s="707"/>
      <c r="I73" s="24">
        <f t="shared" si="16"/>
        <v>1</v>
      </c>
      <c r="J73" s="707"/>
      <c r="K73" s="24">
        <f t="shared" si="17"/>
        <v>1</v>
      </c>
      <c r="L73" s="707"/>
      <c r="M73" s="24">
        <f t="shared" si="18"/>
        <v>1</v>
      </c>
      <c r="N73" s="707"/>
      <c r="O73" s="24">
        <f t="shared" si="19"/>
        <v>1</v>
      </c>
      <c r="P73" s="707"/>
      <c r="Q73" s="24">
        <f t="shared" si="20"/>
        <v>1</v>
      </c>
      <c r="R73" s="703">
        <f t="shared" si="21"/>
        <v>0</v>
      </c>
      <c r="S73" s="348">
        <f t="shared" si="22"/>
        <v>0</v>
      </c>
    </row>
    <row r="74" spans="1:19">
      <c r="A74" s="146"/>
      <c r="B74" s="59"/>
      <c r="C74" s="24">
        <f t="shared" si="13"/>
        <v>1</v>
      </c>
      <c r="D74" s="707"/>
      <c r="E74" s="24">
        <f t="shared" si="14"/>
        <v>0.2</v>
      </c>
      <c r="F74" s="707"/>
      <c r="G74" s="24">
        <f t="shared" si="15"/>
        <v>1</v>
      </c>
      <c r="H74" s="707"/>
      <c r="I74" s="24">
        <f t="shared" si="16"/>
        <v>1</v>
      </c>
      <c r="J74" s="707"/>
      <c r="K74" s="24">
        <f t="shared" si="17"/>
        <v>1</v>
      </c>
      <c r="L74" s="707"/>
      <c r="M74" s="24">
        <f t="shared" si="18"/>
        <v>1</v>
      </c>
      <c r="N74" s="707"/>
      <c r="O74" s="24">
        <f t="shared" si="19"/>
        <v>1</v>
      </c>
      <c r="P74" s="707"/>
      <c r="Q74" s="24">
        <f t="shared" si="20"/>
        <v>1</v>
      </c>
      <c r="R74" s="703">
        <f t="shared" si="21"/>
        <v>0</v>
      </c>
      <c r="S74" s="348">
        <f t="shared" si="22"/>
        <v>0</v>
      </c>
    </row>
    <row r="75" spans="1:19">
      <c r="A75" s="146"/>
      <c r="B75" s="59"/>
      <c r="C75" s="24">
        <f t="shared" si="13"/>
        <v>1</v>
      </c>
      <c r="D75" s="707"/>
      <c r="E75" s="24">
        <f t="shared" si="14"/>
        <v>0.2</v>
      </c>
      <c r="F75" s="707"/>
      <c r="G75" s="24">
        <f t="shared" si="15"/>
        <v>1</v>
      </c>
      <c r="H75" s="707"/>
      <c r="I75" s="24">
        <f t="shared" si="16"/>
        <v>1</v>
      </c>
      <c r="J75" s="707"/>
      <c r="K75" s="24">
        <f t="shared" si="17"/>
        <v>1</v>
      </c>
      <c r="L75" s="707"/>
      <c r="M75" s="24">
        <f t="shared" si="18"/>
        <v>1</v>
      </c>
      <c r="N75" s="707"/>
      <c r="O75" s="24">
        <f t="shared" si="19"/>
        <v>1</v>
      </c>
      <c r="P75" s="707"/>
      <c r="Q75" s="24">
        <f t="shared" si="20"/>
        <v>1</v>
      </c>
      <c r="R75" s="703">
        <f t="shared" si="21"/>
        <v>0</v>
      </c>
      <c r="S75" s="348">
        <f t="shared" si="22"/>
        <v>0</v>
      </c>
    </row>
    <row r="76" spans="1:19">
      <c r="A76" s="146"/>
      <c r="B76" s="59"/>
      <c r="C76" s="24">
        <f t="shared" si="13"/>
        <v>1</v>
      </c>
      <c r="D76" s="707"/>
      <c r="E76" s="24">
        <f t="shared" si="14"/>
        <v>0.2</v>
      </c>
      <c r="F76" s="707"/>
      <c r="G76" s="24">
        <f t="shared" si="15"/>
        <v>1</v>
      </c>
      <c r="H76" s="707"/>
      <c r="I76" s="24">
        <f t="shared" si="16"/>
        <v>1</v>
      </c>
      <c r="J76" s="707"/>
      <c r="K76" s="24">
        <f t="shared" si="17"/>
        <v>1</v>
      </c>
      <c r="L76" s="707"/>
      <c r="M76" s="24">
        <f t="shared" si="18"/>
        <v>1</v>
      </c>
      <c r="N76" s="707"/>
      <c r="O76" s="24">
        <f t="shared" si="19"/>
        <v>1</v>
      </c>
      <c r="P76" s="707"/>
      <c r="Q76" s="24">
        <f t="shared" si="20"/>
        <v>1</v>
      </c>
      <c r="R76" s="703">
        <f t="shared" si="21"/>
        <v>0</v>
      </c>
      <c r="S76" s="348">
        <f t="shared" si="22"/>
        <v>0</v>
      </c>
    </row>
    <row r="77" spans="1:19">
      <c r="A77" s="146"/>
      <c r="B77" s="59"/>
      <c r="C77" s="24">
        <f t="shared" si="13"/>
        <v>1</v>
      </c>
      <c r="D77" s="707"/>
      <c r="E77" s="24">
        <f t="shared" si="14"/>
        <v>0.2</v>
      </c>
      <c r="F77" s="707"/>
      <c r="G77" s="24">
        <f t="shared" si="15"/>
        <v>1</v>
      </c>
      <c r="H77" s="707"/>
      <c r="I77" s="24">
        <f t="shared" si="16"/>
        <v>1</v>
      </c>
      <c r="J77" s="707"/>
      <c r="K77" s="24">
        <f t="shared" si="17"/>
        <v>1</v>
      </c>
      <c r="L77" s="707"/>
      <c r="M77" s="24">
        <f t="shared" si="18"/>
        <v>1</v>
      </c>
      <c r="N77" s="707"/>
      <c r="O77" s="24">
        <f t="shared" si="19"/>
        <v>1</v>
      </c>
      <c r="P77" s="707"/>
      <c r="Q77" s="24">
        <f t="shared" si="20"/>
        <v>1</v>
      </c>
      <c r="R77" s="703">
        <f t="shared" si="21"/>
        <v>0</v>
      </c>
      <c r="S77" s="348">
        <f t="shared" si="22"/>
        <v>0</v>
      </c>
    </row>
    <row r="78" spans="1:19">
      <c r="A78" s="146"/>
      <c r="B78" s="59"/>
      <c r="C78" s="24">
        <f t="shared" si="13"/>
        <v>1</v>
      </c>
      <c r="D78" s="707"/>
      <c r="E78" s="24">
        <f t="shared" si="14"/>
        <v>0.2</v>
      </c>
      <c r="F78" s="707"/>
      <c r="G78" s="24">
        <f t="shared" si="15"/>
        <v>1</v>
      </c>
      <c r="H78" s="707"/>
      <c r="I78" s="24">
        <f t="shared" si="16"/>
        <v>1</v>
      </c>
      <c r="J78" s="707"/>
      <c r="K78" s="24">
        <f t="shared" si="17"/>
        <v>1</v>
      </c>
      <c r="L78" s="707"/>
      <c r="M78" s="24">
        <f t="shared" si="18"/>
        <v>1</v>
      </c>
      <c r="N78" s="707"/>
      <c r="O78" s="24">
        <f t="shared" si="19"/>
        <v>1</v>
      </c>
      <c r="P78" s="707"/>
      <c r="Q78" s="24">
        <f t="shared" si="20"/>
        <v>1</v>
      </c>
      <c r="R78" s="703">
        <f t="shared" si="21"/>
        <v>0</v>
      </c>
      <c r="S78" s="348">
        <f t="shared" ref="S78:S122" si="23">ROUND(R78*B78/10000,0)</f>
        <v>0</v>
      </c>
    </row>
    <row r="79" spans="1:19">
      <c r="A79" s="146"/>
      <c r="B79" s="59"/>
      <c r="C79" s="24">
        <f t="shared" si="13"/>
        <v>1</v>
      </c>
      <c r="D79" s="707"/>
      <c r="E79" s="24">
        <f t="shared" si="14"/>
        <v>0.2</v>
      </c>
      <c r="F79" s="707"/>
      <c r="G79" s="24">
        <f t="shared" si="15"/>
        <v>1</v>
      </c>
      <c r="H79" s="707"/>
      <c r="I79" s="24">
        <f t="shared" si="16"/>
        <v>1</v>
      </c>
      <c r="J79" s="707"/>
      <c r="K79" s="24">
        <f t="shared" si="17"/>
        <v>1</v>
      </c>
      <c r="L79" s="707"/>
      <c r="M79" s="24">
        <f t="shared" si="18"/>
        <v>1</v>
      </c>
      <c r="N79" s="707"/>
      <c r="O79" s="24">
        <f t="shared" si="19"/>
        <v>1</v>
      </c>
      <c r="P79" s="707"/>
      <c r="Q79" s="24">
        <f t="shared" si="20"/>
        <v>1</v>
      </c>
      <c r="R79" s="703">
        <f t="shared" si="21"/>
        <v>0</v>
      </c>
      <c r="S79" s="348">
        <f t="shared" si="23"/>
        <v>0</v>
      </c>
    </row>
    <row r="80" spans="1:19">
      <c r="A80" s="146"/>
      <c r="B80" s="59"/>
      <c r="C80" s="24">
        <f t="shared" si="13"/>
        <v>1</v>
      </c>
      <c r="D80" s="707"/>
      <c r="E80" s="24">
        <f t="shared" si="14"/>
        <v>0.2</v>
      </c>
      <c r="F80" s="707"/>
      <c r="G80" s="24">
        <f t="shared" si="15"/>
        <v>1</v>
      </c>
      <c r="H80" s="707"/>
      <c r="I80" s="24">
        <f t="shared" si="16"/>
        <v>1</v>
      </c>
      <c r="J80" s="707"/>
      <c r="K80" s="24">
        <f t="shared" si="17"/>
        <v>1</v>
      </c>
      <c r="L80" s="707"/>
      <c r="M80" s="24">
        <f t="shared" si="18"/>
        <v>1</v>
      </c>
      <c r="N80" s="707"/>
      <c r="O80" s="24">
        <f t="shared" si="19"/>
        <v>1</v>
      </c>
      <c r="P80" s="707"/>
      <c r="Q80" s="24">
        <f t="shared" si="20"/>
        <v>1</v>
      </c>
      <c r="R80" s="703">
        <f t="shared" si="21"/>
        <v>0</v>
      </c>
      <c r="S80" s="348">
        <f t="shared" si="23"/>
        <v>0</v>
      </c>
    </row>
    <row r="81" spans="1:19">
      <c r="A81" s="146"/>
      <c r="B81" s="59"/>
      <c r="C81" s="24">
        <f t="shared" si="13"/>
        <v>1</v>
      </c>
      <c r="D81" s="707"/>
      <c r="E81" s="24">
        <f t="shared" si="14"/>
        <v>0.2</v>
      </c>
      <c r="F81" s="707"/>
      <c r="G81" s="24">
        <f t="shared" si="15"/>
        <v>1</v>
      </c>
      <c r="H81" s="707"/>
      <c r="I81" s="24">
        <f t="shared" si="16"/>
        <v>1</v>
      </c>
      <c r="J81" s="707"/>
      <c r="K81" s="24">
        <f t="shared" si="17"/>
        <v>1</v>
      </c>
      <c r="L81" s="707"/>
      <c r="M81" s="24">
        <f t="shared" si="18"/>
        <v>1</v>
      </c>
      <c r="N81" s="707"/>
      <c r="O81" s="24">
        <f t="shared" si="19"/>
        <v>1</v>
      </c>
      <c r="P81" s="707"/>
      <c r="Q81" s="24">
        <f t="shared" si="20"/>
        <v>1</v>
      </c>
      <c r="R81" s="703">
        <f t="shared" si="21"/>
        <v>0</v>
      </c>
      <c r="S81" s="348">
        <f t="shared" si="23"/>
        <v>0</v>
      </c>
    </row>
    <row r="82" spans="1:19">
      <c r="A82" s="146"/>
      <c r="B82" s="59"/>
      <c r="C82" s="24">
        <f t="shared" si="13"/>
        <v>1</v>
      </c>
      <c r="D82" s="707"/>
      <c r="E82" s="24">
        <f t="shared" si="14"/>
        <v>0.2</v>
      </c>
      <c r="F82" s="707"/>
      <c r="G82" s="24">
        <f t="shared" si="15"/>
        <v>1</v>
      </c>
      <c r="H82" s="707"/>
      <c r="I82" s="24">
        <f t="shared" si="16"/>
        <v>1</v>
      </c>
      <c r="J82" s="707"/>
      <c r="K82" s="24">
        <f t="shared" si="17"/>
        <v>1</v>
      </c>
      <c r="L82" s="707"/>
      <c r="M82" s="24">
        <f t="shared" si="18"/>
        <v>1</v>
      </c>
      <c r="N82" s="707"/>
      <c r="O82" s="24">
        <f t="shared" si="19"/>
        <v>1</v>
      </c>
      <c r="P82" s="707"/>
      <c r="Q82" s="24">
        <f t="shared" si="20"/>
        <v>1</v>
      </c>
      <c r="R82" s="703">
        <f t="shared" si="21"/>
        <v>0</v>
      </c>
      <c r="S82" s="348">
        <f t="shared" si="23"/>
        <v>0</v>
      </c>
    </row>
    <row r="83" spans="1:19">
      <c r="A83" s="146"/>
      <c r="B83" s="59"/>
      <c r="C83" s="24">
        <f t="shared" si="13"/>
        <v>1</v>
      </c>
      <c r="D83" s="707"/>
      <c r="E83" s="24">
        <f t="shared" si="14"/>
        <v>0.2</v>
      </c>
      <c r="F83" s="707"/>
      <c r="G83" s="24">
        <f t="shared" si="15"/>
        <v>1</v>
      </c>
      <c r="H83" s="707"/>
      <c r="I83" s="24">
        <f t="shared" si="16"/>
        <v>1</v>
      </c>
      <c r="J83" s="707"/>
      <c r="K83" s="24">
        <f t="shared" si="17"/>
        <v>1</v>
      </c>
      <c r="L83" s="707"/>
      <c r="M83" s="24">
        <f t="shared" si="18"/>
        <v>1</v>
      </c>
      <c r="N83" s="707"/>
      <c r="O83" s="24">
        <f t="shared" si="19"/>
        <v>1</v>
      </c>
      <c r="P83" s="707"/>
      <c r="Q83" s="24">
        <f t="shared" si="20"/>
        <v>1</v>
      </c>
      <c r="R83" s="703">
        <f t="shared" si="21"/>
        <v>0</v>
      </c>
      <c r="S83" s="348">
        <f t="shared" si="23"/>
        <v>0</v>
      </c>
    </row>
    <row r="84" spans="1:19">
      <c r="A84" s="146"/>
      <c r="B84" s="59"/>
      <c r="C84" s="24">
        <f t="shared" si="13"/>
        <v>1</v>
      </c>
      <c r="D84" s="707"/>
      <c r="E84" s="24">
        <f t="shared" si="14"/>
        <v>0.2</v>
      </c>
      <c r="F84" s="707"/>
      <c r="G84" s="24">
        <f t="shared" si="15"/>
        <v>1</v>
      </c>
      <c r="H84" s="707"/>
      <c r="I84" s="24">
        <f t="shared" si="16"/>
        <v>1</v>
      </c>
      <c r="J84" s="707"/>
      <c r="K84" s="24">
        <f t="shared" si="17"/>
        <v>1</v>
      </c>
      <c r="L84" s="707"/>
      <c r="M84" s="24">
        <f t="shared" si="18"/>
        <v>1</v>
      </c>
      <c r="N84" s="707"/>
      <c r="O84" s="24">
        <f t="shared" si="19"/>
        <v>1</v>
      </c>
      <c r="P84" s="707"/>
      <c r="Q84" s="24">
        <f t="shared" si="20"/>
        <v>1</v>
      </c>
      <c r="R84" s="703">
        <f t="shared" si="21"/>
        <v>0</v>
      </c>
      <c r="S84" s="348">
        <f t="shared" si="23"/>
        <v>0</v>
      </c>
    </row>
    <row r="85" spans="1:19">
      <c r="A85" s="146"/>
      <c r="B85" s="59"/>
      <c r="C85" s="24">
        <f t="shared" si="13"/>
        <v>1</v>
      </c>
      <c r="D85" s="707"/>
      <c r="E85" s="24">
        <f t="shared" si="14"/>
        <v>0.2</v>
      </c>
      <c r="F85" s="707"/>
      <c r="G85" s="24">
        <f t="shared" si="15"/>
        <v>1</v>
      </c>
      <c r="H85" s="707"/>
      <c r="I85" s="24">
        <f t="shared" si="16"/>
        <v>1</v>
      </c>
      <c r="J85" s="707"/>
      <c r="K85" s="24">
        <f t="shared" si="17"/>
        <v>1</v>
      </c>
      <c r="L85" s="707"/>
      <c r="M85" s="24">
        <f t="shared" si="18"/>
        <v>1</v>
      </c>
      <c r="N85" s="707"/>
      <c r="O85" s="24">
        <f t="shared" si="19"/>
        <v>1</v>
      </c>
      <c r="P85" s="707"/>
      <c r="Q85" s="24">
        <f t="shared" si="20"/>
        <v>1</v>
      </c>
      <c r="R85" s="703">
        <f t="shared" si="21"/>
        <v>0</v>
      </c>
      <c r="S85" s="348">
        <f t="shared" si="23"/>
        <v>0</v>
      </c>
    </row>
    <row r="86" spans="1:19">
      <c r="A86" s="146"/>
      <c r="B86" s="59"/>
      <c r="C86" s="24">
        <f t="shared" si="13"/>
        <v>1</v>
      </c>
      <c r="D86" s="707"/>
      <c r="E86" s="24">
        <f t="shared" si="14"/>
        <v>0.2</v>
      </c>
      <c r="F86" s="707"/>
      <c r="G86" s="24">
        <f t="shared" si="15"/>
        <v>1</v>
      </c>
      <c r="H86" s="707"/>
      <c r="I86" s="24">
        <f t="shared" si="16"/>
        <v>1</v>
      </c>
      <c r="J86" s="707"/>
      <c r="K86" s="24">
        <f t="shared" si="17"/>
        <v>1</v>
      </c>
      <c r="L86" s="707"/>
      <c r="M86" s="24">
        <f t="shared" si="18"/>
        <v>1</v>
      </c>
      <c r="N86" s="707"/>
      <c r="O86" s="24">
        <f t="shared" si="19"/>
        <v>1</v>
      </c>
      <c r="P86" s="707"/>
      <c r="Q86" s="24">
        <f t="shared" si="20"/>
        <v>1</v>
      </c>
      <c r="R86" s="703">
        <f t="shared" si="21"/>
        <v>0</v>
      </c>
      <c r="S86" s="348">
        <f t="shared" si="23"/>
        <v>0</v>
      </c>
    </row>
    <row r="87" spans="1:19">
      <c r="A87" s="146"/>
      <c r="B87" s="59"/>
      <c r="C87" s="24">
        <f t="shared" si="13"/>
        <v>1</v>
      </c>
      <c r="D87" s="707"/>
      <c r="E87" s="24">
        <f t="shared" si="14"/>
        <v>0.2</v>
      </c>
      <c r="F87" s="707"/>
      <c r="G87" s="24">
        <f t="shared" si="15"/>
        <v>1</v>
      </c>
      <c r="H87" s="707"/>
      <c r="I87" s="24">
        <f t="shared" si="16"/>
        <v>1</v>
      </c>
      <c r="J87" s="707"/>
      <c r="K87" s="24">
        <f t="shared" si="17"/>
        <v>1</v>
      </c>
      <c r="L87" s="707"/>
      <c r="M87" s="24">
        <f t="shared" si="18"/>
        <v>1</v>
      </c>
      <c r="N87" s="707"/>
      <c r="O87" s="24">
        <f t="shared" si="19"/>
        <v>1</v>
      </c>
      <c r="P87" s="707"/>
      <c r="Q87" s="24">
        <f t="shared" si="20"/>
        <v>1</v>
      </c>
      <c r="R87" s="703">
        <f t="shared" si="21"/>
        <v>0</v>
      </c>
      <c r="S87" s="348">
        <f t="shared" si="23"/>
        <v>0</v>
      </c>
    </row>
    <row r="88" spans="1:19">
      <c r="A88" s="146"/>
      <c r="B88" s="59"/>
      <c r="C88" s="24">
        <f t="shared" si="13"/>
        <v>1</v>
      </c>
      <c r="D88" s="707"/>
      <c r="E88" s="24">
        <f t="shared" si="14"/>
        <v>0.2</v>
      </c>
      <c r="F88" s="707"/>
      <c r="G88" s="24">
        <f t="shared" si="15"/>
        <v>1</v>
      </c>
      <c r="H88" s="707"/>
      <c r="I88" s="24">
        <f t="shared" si="16"/>
        <v>1</v>
      </c>
      <c r="J88" s="707"/>
      <c r="K88" s="24">
        <f t="shared" si="17"/>
        <v>1</v>
      </c>
      <c r="L88" s="707"/>
      <c r="M88" s="24">
        <f t="shared" si="18"/>
        <v>1</v>
      </c>
      <c r="N88" s="707"/>
      <c r="O88" s="24">
        <f t="shared" si="19"/>
        <v>1</v>
      </c>
      <c r="P88" s="707"/>
      <c r="Q88" s="24">
        <f t="shared" si="20"/>
        <v>1</v>
      </c>
      <c r="R88" s="703">
        <f t="shared" si="21"/>
        <v>0</v>
      </c>
      <c r="S88" s="348">
        <f t="shared" si="23"/>
        <v>0</v>
      </c>
    </row>
    <row r="89" spans="1:19">
      <c r="A89" s="146"/>
      <c r="B89" s="59"/>
      <c r="C89" s="24">
        <f t="shared" si="13"/>
        <v>1</v>
      </c>
      <c r="D89" s="707"/>
      <c r="E89" s="24">
        <f t="shared" si="14"/>
        <v>0.2</v>
      </c>
      <c r="F89" s="707"/>
      <c r="G89" s="24">
        <f t="shared" si="15"/>
        <v>1</v>
      </c>
      <c r="H89" s="707"/>
      <c r="I89" s="24">
        <f t="shared" si="16"/>
        <v>1</v>
      </c>
      <c r="J89" s="707"/>
      <c r="K89" s="24">
        <f t="shared" si="17"/>
        <v>1</v>
      </c>
      <c r="L89" s="707"/>
      <c r="M89" s="24">
        <f t="shared" si="18"/>
        <v>1</v>
      </c>
      <c r="N89" s="707"/>
      <c r="O89" s="24">
        <f t="shared" si="19"/>
        <v>1</v>
      </c>
      <c r="P89" s="707"/>
      <c r="Q89" s="24">
        <f t="shared" si="20"/>
        <v>1</v>
      </c>
      <c r="R89" s="703">
        <f t="shared" si="21"/>
        <v>0</v>
      </c>
      <c r="S89" s="348">
        <f t="shared" si="23"/>
        <v>0</v>
      </c>
    </row>
    <row r="90" spans="1:19">
      <c r="A90" s="146"/>
      <c r="B90" s="59"/>
      <c r="C90" s="24">
        <f t="shared" ref="C90:C153" si="24">IF(B90="",1,(LOOKUP(B90,$3:$3,$4:$4)-LOOKUP($B$24,$3:$3,$4:$4)+100)/100)</f>
        <v>1</v>
      </c>
      <c r="D90" s="707"/>
      <c r="E90" s="24">
        <f t="shared" ref="E90:E153" si="25">(SUMIF($5:$5,D90,$6:$6)-SUMIF($5:$5,$D$24,$6:$6)+100)/100</f>
        <v>0.2</v>
      </c>
      <c r="F90" s="707"/>
      <c r="G90" s="24">
        <f t="shared" ref="G90:G153" si="26">(SUMIF($7:$7,F90,$8:$8)-SUMIF($7:$7,$F$24,$8:$8)+100)/100</f>
        <v>1</v>
      </c>
      <c r="H90" s="707"/>
      <c r="I90" s="24">
        <f t="shared" ref="I90:I153" si="27">(SUMIF($9:$9,H90,$10:$10)-SUMIF($9:$9,$H$24,$10:$10)+100)/100</f>
        <v>1</v>
      </c>
      <c r="J90" s="707"/>
      <c r="K90" s="24">
        <f t="shared" ref="K90:K153" si="28">(SUMIF($11:$11,J90,$12:$12)-SUMIF($11:$11,$J$24,$12:$12)+100)/100</f>
        <v>1</v>
      </c>
      <c r="L90" s="707"/>
      <c r="M90" s="24">
        <f t="shared" ref="M90:M153" si="29">(SUMIF($13:$13,L90,$14:$14)-SUMIF($13:$13,$L$24,$14:$14)+100)/100</f>
        <v>1</v>
      </c>
      <c r="N90" s="707"/>
      <c r="O90" s="24">
        <f t="shared" ref="O90:O153" si="30">(SUMIF($15:$15,N90,$16:$16)-SUMIF($15:$15,$N$24,$16:$16)+100)/100</f>
        <v>1</v>
      </c>
      <c r="P90" s="707"/>
      <c r="Q90" s="24">
        <f t="shared" ref="Q90:Q153" si="31">(SUMIF($17:$17,P90,$18:$18)-SUMIF($17:$17,$P$24,$18:$18)+100)/100</f>
        <v>1</v>
      </c>
      <c r="R90" s="703">
        <f t="shared" ref="R90:R153" si="32">IF(B90="",0,ROUND($R$24*C90*E90*G90*I90*K90*M90*O90*Q90,0))</f>
        <v>0</v>
      </c>
      <c r="S90" s="348">
        <f t="shared" si="23"/>
        <v>0</v>
      </c>
    </row>
    <row r="91" spans="1:19">
      <c r="A91" s="146"/>
      <c r="B91" s="59"/>
      <c r="C91" s="24">
        <f t="shared" si="24"/>
        <v>1</v>
      </c>
      <c r="D91" s="707"/>
      <c r="E91" s="24">
        <f t="shared" si="25"/>
        <v>0.2</v>
      </c>
      <c r="F91" s="707"/>
      <c r="G91" s="24">
        <f t="shared" si="26"/>
        <v>1</v>
      </c>
      <c r="H91" s="707"/>
      <c r="I91" s="24">
        <f t="shared" si="27"/>
        <v>1</v>
      </c>
      <c r="J91" s="707"/>
      <c r="K91" s="24">
        <f t="shared" si="28"/>
        <v>1</v>
      </c>
      <c r="L91" s="707"/>
      <c r="M91" s="24">
        <f t="shared" si="29"/>
        <v>1</v>
      </c>
      <c r="N91" s="707"/>
      <c r="O91" s="24">
        <f t="shared" si="30"/>
        <v>1</v>
      </c>
      <c r="P91" s="707"/>
      <c r="Q91" s="24">
        <f t="shared" si="31"/>
        <v>1</v>
      </c>
      <c r="R91" s="703">
        <f t="shared" si="32"/>
        <v>0</v>
      </c>
      <c r="S91" s="348">
        <f t="shared" si="23"/>
        <v>0</v>
      </c>
    </row>
    <row r="92" spans="1:19">
      <c r="A92" s="146"/>
      <c r="B92" s="59"/>
      <c r="C92" s="24">
        <f t="shared" si="24"/>
        <v>1</v>
      </c>
      <c r="D92" s="707"/>
      <c r="E92" s="24">
        <f t="shared" si="25"/>
        <v>0.2</v>
      </c>
      <c r="F92" s="707"/>
      <c r="G92" s="24">
        <f t="shared" si="26"/>
        <v>1</v>
      </c>
      <c r="H92" s="707"/>
      <c r="I92" s="24">
        <f t="shared" si="27"/>
        <v>1</v>
      </c>
      <c r="J92" s="707"/>
      <c r="K92" s="24">
        <f t="shared" si="28"/>
        <v>1</v>
      </c>
      <c r="L92" s="707"/>
      <c r="M92" s="24">
        <f t="shared" si="29"/>
        <v>1</v>
      </c>
      <c r="N92" s="707"/>
      <c r="O92" s="24">
        <f t="shared" si="30"/>
        <v>1</v>
      </c>
      <c r="P92" s="707"/>
      <c r="Q92" s="24">
        <f t="shared" si="31"/>
        <v>1</v>
      </c>
      <c r="R92" s="703">
        <f t="shared" si="32"/>
        <v>0</v>
      </c>
      <c r="S92" s="348">
        <f t="shared" si="23"/>
        <v>0</v>
      </c>
    </row>
    <row r="93" spans="1:19">
      <c r="A93" s="146"/>
      <c r="B93" s="59"/>
      <c r="C93" s="24">
        <f t="shared" si="24"/>
        <v>1</v>
      </c>
      <c r="D93" s="707"/>
      <c r="E93" s="24">
        <f t="shared" si="25"/>
        <v>0.2</v>
      </c>
      <c r="F93" s="707"/>
      <c r="G93" s="24">
        <f t="shared" si="26"/>
        <v>1</v>
      </c>
      <c r="H93" s="707"/>
      <c r="I93" s="24">
        <f t="shared" si="27"/>
        <v>1</v>
      </c>
      <c r="J93" s="707"/>
      <c r="K93" s="24">
        <f t="shared" si="28"/>
        <v>1</v>
      </c>
      <c r="L93" s="707"/>
      <c r="M93" s="24">
        <f t="shared" si="29"/>
        <v>1</v>
      </c>
      <c r="N93" s="707"/>
      <c r="O93" s="24">
        <f t="shared" si="30"/>
        <v>1</v>
      </c>
      <c r="P93" s="707"/>
      <c r="Q93" s="24">
        <f t="shared" si="31"/>
        <v>1</v>
      </c>
      <c r="R93" s="703">
        <f t="shared" si="32"/>
        <v>0</v>
      </c>
      <c r="S93" s="348">
        <f t="shared" si="23"/>
        <v>0</v>
      </c>
    </row>
    <row r="94" spans="1:19">
      <c r="A94" s="146"/>
      <c r="B94" s="59"/>
      <c r="C94" s="24">
        <f t="shared" si="24"/>
        <v>1</v>
      </c>
      <c r="D94" s="707"/>
      <c r="E94" s="24">
        <f t="shared" si="25"/>
        <v>0.2</v>
      </c>
      <c r="F94" s="707"/>
      <c r="G94" s="24">
        <f t="shared" si="26"/>
        <v>1</v>
      </c>
      <c r="H94" s="707"/>
      <c r="I94" s="24">
        <f t="shared" si="27"/>
        <v>1</v>
      </c>
      <c r="J94" s="707"/>
      <c r="K94" s="24">
        <f t="shared" si="28"/>
        <v>1</v>
      </c>
      <c r="L94" s="707"/>
      <c r="M94" s="24">
        <f t="shared" si="29"/>
        <v>1</v>
      </c>
      <c r="N94" s="707"/>
      <c r="O94" s="24">
        <f t="shared" si="30"/>
        <v>1</v>
      </c>
      <c r="P94" s="707"/>
      <c r="Q94" s="24">
        <f t="shared" si="31"/>
        <v>1</v>
      </c>
      <c r="R94" s="703">
        <f t="shared" si="32"/>
        <v>0</v>
      </c>
      <c r="S94" s="348">
        <f t="shared" si="23"/>
        <v>0</v>
      </c>
    </row>
    <row r="95" spans="1:19">
      <c r="A95" s="146"/>
      <c r="B95" s="59"/>
      <c r="C95" s="24">
        <f t="shared" si="24"/>
        <v>1</v>
      </c>
      <c r="D95" s="707"/>
      <c r="E95" s="24">
        <f t="shared" si="25"/>
        <v>0.2</v>
      </c>
      <c r="F95" s="707"/>
      <c r="G95" s="24">
        <f t="shared" si="26"/>
        <v>1</v>
      </c>
      <c r="H95" s="707"/>
      <c r="I95" s="24">
        <f t="shared" si="27"/>
        <v>1</v>
      </c>
      <c r="J95" s="707"/>
      <c r="K95" s="24">
        <f t="shared" si="28"/>
        <v>1</v>
      </c>
      <c r="L95" s="707"/>
      <c r="M95" s="24">
        <f t="shared" si="29"/>
        <v>1</v>
      </c>
      <c r="N95" s="707"/>
      <c r="O95" s="24">
        <f t="shared" si="30"/>
        <v>1</v>
      </c>
      <c r="P95" s="707"/>
      <c r="Q95" s="24">
        <f t="shared" si="31"/>
        <v>1</v>
      </c>
      <c r="R95" s="703">
        <f t="shared" si="32"/>
        <v>0</v>
      </c>
      <c r="S95" s="348">
        <f t="shared" si="23"/>
        <v>0</v>
      </c>
    </row>
    <row r="96" spans="1:19">
      <c r="A96" s="146"/>
      <c r="B96" s="59"/>
      <c r="C96" s="24">
        <f t="shared" si="24"/>
        <v>1</v>
      </c>
      <c r="D96" s="707"/>
      <c r="E96" s="24">
        <f t="shared" si="25"/>
        <v>0.2</v>
      </c>
      <c r="F96" s="707"/>
      <c r="G96" s="24">
        <f t="shared" si="26"/>
        <v>1</v>
      </c>
      <c r="H96" s="707"/>
      <c r="I96" s="24">
        <f t="shared" si="27"/>
        <v>1</v>
      </c>
      <c r="J96" s="707"/>
      <c r="K96" s="24">
        <f t="shared" si="28"/>
        <v>1</v>
      </c>
      <c r="L96" s="707"/>
      <c r="M96" s="24">
        <f t="shared" si="29"/>
        <v>1</v>
      </c>
      <c r="N96" s="707"/>
      <c r="O96" s="24">
        <f t="shared" si="30"/>
        <v>1</v>
      </c>
      <c r="P96" s="707"/>
      <c r="Q96" s="24">
        <f t="shared" si="31"/>
        <v>1</v>
      </c>
      <c r="R96" s="703">
        <f t="shared" si="32"/>
        <v>0</v>
      </c>
      <c r="S96" s="348">
        <f t="shared" si="23"/>
        <v>0</v>
      </c>
    </row>
    <row r="97" spans="1:19">
      <c r="A97" s="146"/>
      <c r="B97" s="59"/>
      <c r="C97" s="24">
        <f t="shared" si="24"/>
        <v>1</v>
      </c>
      <c r="D97" s="707"/>
      <c r="E97" s="24">
        <f t="shared" si="25"/>
        <v>0.2</v>
      </c>
      <c r="F97" s="707"/>
      <c r="G97" s="24">
        <f t="shared" si="26"/>
        <v>1</v>
      </c>
      <c r="H97" s="707"/>
      <c r="I97" s="24">
        <f t="shared" si="27"/>
        <v>1</v>
      </c>
      <c r="J97" s="707"/>
      <c r="K97" s="24">
        <f t="shared" si="28"/>
        <v>1</v>
      </c>
      <c r="L97" s="707"/>
      <c r="M97" s="24">
        <f t="shared" si="29"/>
        <v>1</v>
      </c>
      <c r="N97" s="707"/>
      <c r="O97" s="24">
        <f t="shared" si="30"/>
        <v>1</v>
      </c>
      <c r="P97" s="707"/>
      <c r="Q97" s="24">
        <f t="shared" si="31"/>
        <v>1</v>
      </c>
      <c r="R97" s="703">
        <f t="shared" si="32"/>
        <v>0</v>
      </c>
      <c r="S97" s="348">
        <f t="shared" si="23"/>
        <v>0</v>
      </c>
    </row>
    <row r="98" spans="1:19">
      <c r="A98" s="146"/>
      <c r="B98" s="59"/>
      <c r="C98" s="24">
        <f t="shared" si="24"/>
        <v>1</v>
      </c>
      <c r="D98" s="707"/>
      <c r="E98" s="24">
        <f t="shared" si="25"/>
        <v>0.2</v>
      </c>
      <c r="F98" s="707"/>
      <c r="G98" s="24">
        <f t="shared" si="26"/>
        <v>1</v>
      </c>
      <c r="H98" s="707"/>
      <c r="I98" s="24">
        <f t="shared" si="27"/>
        <v>1</v>
      </c>
      <c r="J98" s="707"/>
      <c r="K98" s="24">
        <f t="shared" si="28"/>
        <v>1</v>
      </c>
      <c r="L98" s="707"/>
      <c r="M98" s="24">
        <f t="shared" si="29"/>
        <v>1</v>
      </c>
      <c r="N98" s="707"/>
      <c r="O98" s="24">
        <f t="shared" si="30"/>
        <v>1</v>
      </c>
      <c r="P98" s="707"/>
      <c r="Q98" s="24">
        <f t="shared" si="31"/>
        <v>1</v>
      </c>
      <c r="R98" s="703">
        <f t="shared" si="32"/>
        <v>0</v>
      </c>
      <c r="S98" s="348">
        <f t="shared" si="23"/>
        <v>0</v>
      </c>
    </row>
    <row r="99" spans="1:19">
      <c r="A99" s="146"/>
      <c r="B99" s="59"/>
      <c r="C99" s="24">
        <f t="shared" si="24"/>
        <v>1</v>
      </c>
      <c r="D99" s="707"/>
      <c r="E99" s="24">
        <f t="shared" si="25"/>
        <v>0.2</v>
      </c>
      <c r="F99" s="707"/>
      <c r="G99" s="24">
        <f t="shared" si="26"/>
        <v>1</v>
      </c>
      <c r="H99" s="707"/>
      <c r="I99" s="24">
        <f t="shared" si="27"/>
        <v>1</v>
      </c>
      <c r="J99" s="707"/>
      <c r="K99" s="24">
        <f t="shared" si="28"/>
        <v>1</v>
      </c>
      <c r="L99" s="707"/>
      <c r="M99" s="24">
        <f t="shared" si="29"/>
        <v>1</v>
      </c>
      <c r="N99" s="707"/>
      <c r="O99" s="24">
        <f t="shared" si="30"/>
        <v>1</v>
      </c>
      <c r="P99" s="707"/>
      <c r="Q99" s="24">
        <f t="shared" si="31"/>
        <v>1</v>
      </c>
      <c r="R99" s="703">
        <f t="shared" si="32"/>
        <v>0</v>
      </c>
      <c r="S99" s="348">
        <f t="shared" si="23"/>
        <v>0</v>
      </c>
    </row>
    <row r="100" spans="1:19">
      <c r="A100" s="146"/>
      <c r="B100" s="59"/>
      <c r="C100" s="24">
        <f t="shared" si="24"/>
        <v>1</v>
      </c>
      <c r="D100" s="707"/>
      <c r="E100" s="24">
        <f t="shared" si="25"/>
        <v>0.2</v>
      </c>
      <c r="F100" s="707"/>
      <c r="G100" s="24">
        <f t="shared" si="26"/>
        <v>1</v>
      </c>
      <c r="H100" s="707"/>
      <c r="I100" s="24">
        <f t="shared" si="27"/>
        <v>1</v>
      </c>
      <c r="J100" s="707"/>
      <c r="K100" s="24">
        <f t="shared" si="28"/>
        <v>1</v>
      </c>
      <c r="L100" s="707"/>
      <c r="M100" s="24">
        <f t="shared" si="29"/>
        <v>1</v>
      </c>
      <c r="N100" s="707"/>
      <c r="O100" s="24">
        <f t="shared" si="30"/>
        <v>1</v>
      </c>
      <c r="P100" s="707"/>
      <c r="Q100" s="24">
        <f t="shared" si="31"/>
        <v>1</v>
      </c>
      <c r="R100" s="703">
        <f t="shared" si="32"/>
        <v>0</v>
      </c>
      <c r="S100" s="348">
        <f t="shared" si="23"/>
        <v>0</v>
      </c>
    </row>
    <row r="101" spans="1:19">
      <c r="A101" s="146"/>
      <c r="B101" s="59"/>
      <c r="C101" s="24">
        <f t="shared" si="24"/>
        <v>1</v>
      </c>
      <c r="D101" s="707"/>
      <c r="E101" s="24">
        <f t="shared" si="25"/>
        <v>0.2</v>
      </c>
      <c r="F101" s="707"/>
      <c r="G101" s="24">
        <f t="shared" si="26"/>
        <v>1</v>
      </c>
      <c r="H101" s="707"/>
      <c r="I101" s="24">
        <f t="shared" si="27"/>
        <v>1</v>
      </c>
      <c r="J101" s="707"/>
      <c r="K101" s="24">
        <f t="shared" si="28"/>
        <v>1</v>
      </c>
      <c r="L101" s="707"/>
      <c r="M101" s="24">
        <f t="shared" si="29"/>
        <v>1</v>
      </c>
      <c r="N101" s="707"/>
      <c r="O101" s="24">
        <f t="shared" si="30"/>
        <v>1</v>
      </c>
      <c r="P101" s="707"/>
      <c r="Q101" s="24">
        <f t="shared" si="31"/>
        <v>1</v>
      </c>
      <c r="R101" s="703">
        <f t="shared" si="32"/>
        <v>0</v>
      </c>
      <c r="S101" s="348">
        <f t="shared" si="23"/>
        <v>0</v>
      </c>
    </row>
    <row r="102" spans="1:19">
      <c r="A102" s="146"/>
      <c r="B102" s="59"/>
      <c r="C102" s="24">
        <f t="shared" si="24"/>
        <v>1</v>
      </c>
      <c r="D102" s="707"/>
      <c r="E102" s="24">
        <f t="shared" si="25"/>
        <v>0.2</v>
      </c>
      <c r="F102" s="707"/>
      <c r="G102" s="24">
        <f t="shared" si="26"/>
        <v>1</v>
      </c>
      <c r="H102" s="707"/>
      <c r="I102" s="24">
        <f t="shared" si="27"/>
        <v>1</v>
      </c>
      <c r="J102" s="707"/>
      <c r="K102" s="24">
        <f t="shared" si="28"/>
        <v>1</v>
      </c>
      <c r="L102" s="707"/>
      <c r="M102" s="24">
        <f t="shared" si="29"/>
        <v>1</v>
      </c>
      <c r="N102" s="707"/>
      <c r="O102" s="24">
        <f t="shared" si="30"/>
        <v>1</v>
      </c>
      <c r="P102" s="707"/>
      <c r="Q102" s="24">
        <f t="shared" si="31"/>
        <v>1</v>
      </c>
      <c r="R102" s="703">
        <f t="shared" si="32"/>
        <v>0</v>
      </c>
      <c r="S102" s="348">
        <f t="shared" si="23"/>
        <v>0</v>
      </c>
    </row>
    <row r="103" spans="1:19">
      <c r="A103" s="146"/>
      <c r="B103" s="59"/>
      <c r="C103" s="24">
        <f t="shared" si="24"/>
        <v>1</v>
      </c>
      <c r="D103" s="707"/>
      <c r="E103" s="24">
        <f t="shared" si="25"/>
        <v>0.2</v>
      </c>
      <c r="F103" s="707"/>
      <c r="G103" s="24">
        <f t="shared" si="26"/>
        <v>1</v>
      </c>
      <c r="H103" s="707"/>
      <c r="I103" s="24">
        <f t="shared" si="27"/>
        <v>1</v>
      </c>
      <c r="J103" s="707"/>
      <c r="K103" s="24">
        <f t="shared" si="28"/>
        <v>1</v>
      </c>
      <c r="L103" s="707"/>
      <c r="M103" s="24">
        <f t="shared" si="29"/>
        <v>1</v>
      </c>
      <c r="N103" s="707"/>
      <c r="O103" s="24">
        <f t="shared" si="30"/>
        <v>1</v>
      </c>
      <c r="P103" s="707"/>
      <c r="Q103" s="24">
        <f t="shared" si="31"/>
        <v>1</v>
      </c>
      <c r="R103" s="703">
        <f t="shared" si="32"/>
        <v>0</v>
      </c>
      <c r="S103" s="348">
        <f t="shared" si="23"/>
        <v>0</v>
      </c>
    </row>
    <row r="104" spans="1:19">
      <c r="A104" s="146"/>
      <c r="B104" s="59"/>
      <c r="C104" s="24">
        <f t="shared" si="24"/>
        <v>1</v>
      </c>
      <c r="D104" s="707"/>
      <c r="E104" s="24">
        <f t="shared" si="25"/>
        <v>0.2</v>
      </c>
      <c r="F104" s="707"/>
      <c r="G104" s="24">
        <f t="shared" si="26"/>
        <v>1</v>
      </c>
      <c r="H104" s="707"/>
      <c r="I104" s="24">
        <f t="shared" si="27"/>
        <v>1</v>
      </c>
      <c r="J104" s="707"/>
      <c r="K104" s="24">
        <f t="shared" si="28"/>
        <v>1</v>
      </c>
      <c r="L104" s="707"/>
      <c r="M104" s="24">
        <f t="shared" si="29"/>
        <v>1</v>
      </c>
      <c r="N104" s="707"/>
      <c r="O104" s="24">
        <f t="shared" si="30"/>
        <v>1</v>
      </c>
      <c r="P104" s="707"/>
      <c r="Q104" s="24">
        <f t="shared" si="31"/>
        <v>1</v>
      </c>
      <c r="R104" s="703">
        <f t="shared" si="32"/>
        <v>0</v>
      </c>
      <c r="S104" s="348">
        <f t="shared" si="23"/>
        <v>0</v>
      </c>
    </row>
    <row r="105" spans="1:19">
      <c r="A105" s="146"/>
      <c r="B105" s="59"/>
      <c r="C105" s="24">
        <f t="shared" si="24"/>
        <v>1</v>
      </c>
      <c r="D105" s="707"/>
      <c r="E105" s="24">
        <f t="shared" si="25"/>
        <v>0.2</v>
      </c>
      <c r="F105" s="707"/>
      <c r="G105" s="24">
        <f t="shared" si="26"/>
        <v>1</v>
      </c>
      <c r="H105" s="707"/>
      <c r="I105" s="24">
        <f t="shared" si="27"/>
        <v>1</v>
      </c>
      <c r="J105" s="707"/>
      <c r="K105" s="24">
        <f t="shared" si="28"/>
        <v>1</v>
      </c>
      <c r="L105" s="707"/>
      <c r="M105" s="24">
        <f t="shared" si="29"/>
        <v>1</v>
      </c>
      <c r="N105" s="707"/>
      <c r="O105" s="24">
        <f t="shared" si="30"/>
        <v>1</v>
      </c>
      <c r="P105" s="707"/>
      <c r="Q105" s="24">
        <f t="shared" si="31"/>
        <v>1</v>
      </c>
      <c r="R105" s="703">
        <f t="shared" si="32"/>
        <v>0</v>
      </c>
      <c r="S105" s="348">
        <f t="shared" si="23"/>
        <v>0</v>
      </c>
    </row>
    <row r="106" spans="1:19">
      <c r="A106" s="146"/>
      <c r="B106" s="59"/>
      <c r="C106" s="24">
        <f t="shared" si="24"/>
        <v>1</v>
      </c>
      <c r="D106" s="707"/>
      <c r="E106" s="24">
        <f t="shared" si="25"/>
        <v>0.2</v>
      </c>
      <c r="F106" s="707"/>
      <c r="G106" s="24">
        <f t="shared" si="26"/>
        <v>1</v>
      </c>
      <c r="H106" s="707"/>
      <c r="I106" s="24">
        <f t="shared" si="27"/>
        <v>1</v>
      </c>
      <c r="J106" s="707"/>
      <c r="K106" s="24">
        <f t="shared" si="28"/>
        <v>1</v>
      </c>
      <c r="L106" s="707"/>
      <c r="M106" s="24">
        <f t="shared" si="29"/>
        <v>1</v>
      </c>
      <c r="N106" s="707"/>
      <c r="O106" s="24">
        <f t="shared" si="30"/>
        <v>1</v>
      </c>
      <c r="P106" s="707"/>
      <c r="Q106" s="24">
        <f t="shared" si="31"/>
        <v>1</v>
      </c>
      <c r="R106" s="703">
        <f t="shared" si="32"/>
        <v>0</v>
      </c>
      <c r="S106" s="348">
        <f t="shared" si="23"/>
        <v>0</v>
      </c>
    </row>
    <row r="107" spans="1:19">
      <c r="A107" s="146"/>
      <c r="B107" s="59"/>
      <c r="C107" s="24">
        <f t="shared" si="24"/>
        <v>1</v>
      </c>
      <c r="D107" s="707"/>
      <c r="E107" s="24">
        <f t="shared" si="25"/>
        <v>0.2</v>
      </c>
      <c r="F107" s="707"/>
      <c r="G107" s="24">
        <f t="shared" si="26"/>
        <v>1</v>
      </c>
      <c r="H107" s="707"/>
      <c r="I107" s="24">
        <f t="shared" si="27"/>
        <v>1</v>
      </c>
      <c r="J107" s="707"/>
      <c r="K107" s="24">
        <f t="shared" si="28"/>
        <v>1</v>
      </c>
      <c r="L107" s="707"/>
      <c r="M107" s="24">
        <f t="shared" si="29"/>
        <v>1</v>
      </c>
      <c r="N107" s="707"/>
      <c r="O107" s="24">
        <f t="shared" si="30"/>
        <v>1</v>
      </c>
      <c r="P107" s="707"/>
      <c r="Q107" s="24">
        <f t="shared" si="31"/>
        <v>1</v>
      </c>
      <c r="R107" s="703">
        <f t="shared" si="32"/>
        <v>0</v>
      </c>
      <c r="S107" s="348">
        <f t="shared" si="23"/>
        <v>0</v>
      </c>
    </row>
    <row r="108" spans="1:19">
      <c r="A108" s="146"/>
      <c r="B108" s="59"/>
      <c r="C108" s="24">
        <f t="shared" si="24"/>
        <v>1</v>
      </c>
      <c r="D108" s="707"/>
      <c r="E108" s="24">
        <f t="shared" si="25"/>
        <v>0.2</v>
      </c>
      <c r="F108" s="707"/>
      <c r="G108" s="24">
        <f t="shared" si="26"/>
        <v>1</v>
      </c>
      <c r="H108" s="707"/>
      <c r="I108" s="24">
        <f t="shared" si="27"/>
        <v>1</v>
      </c>
      <c r="J108" s="707"/>
      <c r="K108" s="24">
        <f t="shared" si="28"/>
        <v>1</v>
      </c>
      <c r="L108" s="707"/>
      <c r="M108" s="24">
        <f t="shared" si="29"/>
        <v>1</v>
      </c>
      <c r="N108" s="707"/>
      <c r="O108" s="24">
        <f t="shared" si="30"/>
        <v>1</v>
      </c>
      <c r="P108" s="707"/>
      <c r="Q108" s="24">
        <f t="shared" si="31"/>
        <v>1</v>
      </c>
      <c r="R108" s="703">
        <f t="shared" si="32"/>
        <v>0</v>
      </c>
      <c r="S108" s="348">
        <f t="shared" si="23"/>
        <v>0</v>
      </c>
    </row>
    <row r="109" spans="1:19">
      <c r="A109" s="146"/>
      <c r="B109" s="59"/>
      <c r="C109" s="24">
        <f t="shared" si="24"/>
        <v>1</v>
      </c>
      <c r="D109" s="707"/>
      <c r="E109" s="24">
        <f t="shared" si="25"/>
        <v>0.2</v>
      </c>
      <c r="F109" s="707"/>
      <c r="G109" s="24">
        <f t="shared" si="26"/>
        <v>1</v>
      </c>
      <c r="H109" s="707"/>
      <c r="I109" s="24">
        <f t="shared" si="27"/>
        <v>1</v>
      </c>
      <c r="J109" s="707"/>
      <c r="K109" s="24">
        <f t="shared" si="28"/>
        <v>1</v>
      </c>
      <c r="L109" s="707"/>
      <c r="M109" s="24">
        <f t="shared" si="29"/>
        <v>1</v>
      </c>
      <c r="N109" s="707"/>
      <c r="O109" s="24">
        <f t="shared" si="30"/>
        <v>1</v>
      </c>
      <c r="P109" s="707"/>
      <c r="Q109" s="24">
        <f t="shared" si="31"/>
        <v>1</v>
      </c>
      <c r="R109" s="703">
        <f t="shared" si="32"/>
        <v>0</v>
      </c>
      <c r="S109" s="348">
        <f t="shared" si="23"/>
        <v>0</v>
      </c>
    </row>
    <row r="110" spans="1:19">
      <c r="A110" s="146"/>
      <c r="B110" s="59"/>
      <c r="C110" s="24">
        <f t="shared" si="24"/>
        <v>1</v>
      </c>
      <c r="D110" s="707"/>
      <c r="E110" s="24">
        <f t="shared" si="25"/>
        <v>0.2</v>
      </c>
      <c r="F110" s="707"/>
      <c r="G110" s="24">
        <f t="shared" si="26"/>
        <v>1</v>
      </c>
      <c r="H110" s="707"/>
      <c r="I110" s="24">
        <f t="shared" si="27"/>
        <v>1</v>
      </c>
      <c r="J110" s="707"/>
      <c r="K110" s="24">
        <f t="shared" si="28"/>
        <v>1</v>
      </c>
      <c r="L110" s="707"/>
      <c r="M110" s="24">
        <f t="shared" si="29"/>
        <v>1</v>
      </c>
      <c r="N110" s="707"/>
      <c r="O110" s="24">
        <f t="shared" si="30"/>
        <v>1</v>
      </c>
      <c r="P110" s="707"/>
      <c r="Q110" s="24">
        <f t="shared" si="31"/>
        <v>1</v>
      </c>
      <c r="R110" s="703">
        <f t="shared" si="32"/>
        <v>0</v>
      </c>
      <c r="S110" s="348">
        <f t="shared" si="23"/>
        <v>0</v>
      </c>
    </row>
    <row r="111" spans="1:19">
      <c r="A111" s="146"/>
      <c r="B111" s="59"/>
      <c r="C111" s="24">
        <f t="shared" si="24"/>
        <v>1</v>
      </c>
      <c r="D111" s="707"/>
      <c r="E111" s="24">
        <f t="shared" si="25"/>
        <v>0.2</v>
      </c>
      <c r="F111" s="707"/>
      <c r="G111" s="24">
        <f t="shared" si="26"/>
        <v>1</v>
      </c>
      <c r="H111" s="707"/>
      <c r="I111" s="24">
        <f t="shared" si="27"/>
        <v>1</v>
      </c>
      <c r="J111" s="707"/>
      <c r="K111" s="24">
        <f t="shared" si="28"/>
        <v>1</v>
      </c>
      <c r="L111" s="707"/>
      <c r="M111" s="24">
        <f t="shared" si="29"/>
        <v>1</v>
      </c>
      <c r="N111" s="707"/>
      <c r="O111" s="24">
        <f t="shared" si="30"/>
        <v>1</v>
      </c>
      <c r="P111" s="707"/>
      <c r="Q111" s="24">
        <f t="shared" si="31"/>
        <v>1</v>
      </c>
      <c r="R111" s="703">
        <f t="shared" si="32"/>
        <v>0</v>
      </c>
      <c r="S111" s="348">
        <f t="shared" si="23"/>
        <v>0</v>
      </c>
    </row>
    <row r="112" spans="1:19">
      <c r="A112" s="146"/>
      <c r="B112" s="59"/>
      <c r="C112" s="24">
        <f t="shared" si="24"/>
        <v>1</v>
      </c>
      <c r="D112" s="707"/>
      <c r="E112" s="24">
        <f t="shared" si="25"/>
        <v>0.2</v>
      </c>
      <c r="F112" s="707"/>
      <c r="G112" s="24">
        <f t="shared" si="26"/>
        <v>1</v>
      </c>
      <c r="H112" s="707"/>
      <c r="I112" s="24">
        <f t="shared" si="27"/>
        <v>1</v>
      </c>
      <c r="J112" s="707"/>
      <c r="K112" s="24">
        <f t="shared" si="28"/>
        <v>1</v>
      </c>
      <c r="L112" s="707"/>
      <c r="M112" s="24">
        <f t="shared" si="29"/>
        <v>1</v>
      </c>
      <c r="N112" s="707"/>
      <c r="O112" s="24">
        <f t="shared" si="30"/>
        <v>1</v>
      </c>
      <c r="P112" s="707"/>
      <c r="Q112" s="24">
        <f t="shared" si="31"/>
        <v>1</v>
      </c>
      <c r="R112" s="703">
        <f t="shared" si="32"/>
        <v>0</v>
      </c>
      <c r="S112" s="348">
        <f t="shared" si="23"/>
        <v>0</v>
      </c>
    </row>
    <row r="113" spans="1:19">
      <c r="A113" s="146"/>
      <c r="B113" s="59"/>
      <c r="C113" s="24">
        <f t="shared" si="24"/>
        <v>1</v>
      </c>
      <c r="D113" s="707"/>
      <c r="E113" s="24">
        <f t="shared" si="25"/>
        <v>0.2</v>
      </c>
      <c r="F113" s="707"/>
      <c r="G113" s="24">
        <f t="shared" si="26"/>
        <v>1</v>
      </c>
      <c r="H113" s="707"/>
      <c r="I113" s="24">
        <f t="shared" si="27"/>
        <v>1</v>
      </c>
      <c r="J113" s="707"/>
      <c r="K113" s="24">
        <f t="shared" si="28"/>
        <v>1</v>
      </c>
      <c r="L113" s="707"/>
      <c r="M113" s="24">
        <f t="shared" si="29"/>
        <v>1</v>
      </c>
      <c r="N113" s="707"/>
      <c r="O113" s="24">
        <f t="shared" si="30"/>
        <v>1</v>
      </c>
      <c r="P113" s="707"/>
      <c r="Q113" s="24">
        <f t="shared" si="31"/>
        <v>1</v>
      </c>
      <c r="R113" s="703">
        <f t="shared" si="32"/>
        <v>0</v>
      </c>
      <c r="S113" s="348">
        <f t="shared" si="23"/>
        <v>0</v>
      </c>
    </row>
    <row r="114" spans="1:19">
      <c r="A114" s="146"/>
      <c r="B114" s="59"/>
      <c r="C114" s="24">
        <f t="shared" si="24"/>
        <v>1</v>
      </c>
      <c r="D114" s="707"/>
      <c r="E114" s="24">
        <f t="shared" si="25"/>
        <v>0.2</v>
      </c>
      <c r="F114" s="707"/>
      <c r="G114" s="24">
        <f t="shared" si="26"/>
        <v>1</v>
      </c>
      <c r="H114" s="707"/>
      <c r="I114" s="24">
        <f t="shared" si="27"/>
        <v>1</v>
      </c>
      <c r="J114" s="707"/>
      <c r="K114" s="24">
        <f t="shared" si="28"/>
        <v>1</v>
      </c>
      <c r="L114" s="707"/>
      <c r="M114" s="24">
        <f t="shared" si="29"/>
        <v>1</v>
      </c>
      <c r="N114" s="707"/>
      <c r="O114" s="24">
        <f t="shared" si="30"/>
        <v>1</v>
      </c>
      <c r="P114" s="707"/>
      <c r="Q114" s="24">
        <f t="shared" si="31"/>
        <v>1</v>
      </c>
      <c r="R114" s="703">
        <f t="shared" si="32"/>
        <v>0</v>
      </c>
      <c r="S114" s="348">
        <f t="shared" si="23"/>
        <v>0</v>
      </c>
    </row>
    <row r="115" spans="1:19">
      <c r="A115" s="146"/>
      <c r="B115" s="59"/>
      <c r="C115" s="24">
        <f t="shared" si="24"/>
        <v>1</v>
      </c>
      <c r="D115" s="707"/>
      <c r="E115" s="24">
        <f t="shared" si="25"/>
        <v>0.2</v>
      </c>
      <c r="F115" s="707"/>
      <c r="G115" s="24">
        <f t="shared" si="26"/>
        <v>1</v>
      </c>
      <c r="H115" s="707"/>
      <c r="I115" s="24">
        <f t="shared" si="27"/>
        <v>1</v>
      </c>
      <c r="J115" s="707"/>
      <c r="K115" s="24">
        <f t="shared" si="28"/>
        <v>1</v>
      </c>
      <c r="L115" s="707"/>
      <c r="M115" s="24">
        <f t="shared" si="29"/>
        <v>1</v>
      </c>
      <c r="N115" s="707"/>
      <c r="O115" s="24">
        <f t="shared" si="30"/>
        <v>1</v>
      </c>
      <c r="P115" s="707"/>
      <c r="Q115" s="24">
        <f t="shared" si="31"/>
        <v>1</v>
      </c>
      <c r="R115" s="703">
        <f t="shared" si="32"/>
        <v>0</v>
      </c>
      <c r="S115" s="348">
        <f t="shared" si="23"/>
        <v>0</v>
      </c>
    </row>
    <row r="116" spans="1:19">
      <c r="A116" s="146"/>
      <c r="B116" s="59"/>
      <c r="C116" s="24">
        <f t="shared" si="24"/>
        <v>1</v>
      </c>
      <c r="D116" s="707"/>
      <c r="E116" s="24">
        <f t="shared" si="25"/>
        <v>0.2</v>
      </c>
      <c r="F116" s="707"/>
      <c r="G116" s="24">
        <f t="shared" si="26"/>
        <v>1</v>
      </c>
      <c r="H116" s="707"/>
      <c r="I116" s="24">
        <f t="shared" si="27"/>
        <v>1</v>
      </c>
      <c r="J116" s="707"/>
      <c r="K116" s="24">
        <f t="shared" si="28"/>
        <v>1</v>
      </c>
      <c r="L116" s="707"/>
      <c r="M116" s="24">
        <f t="shared" si="29"/>
        <v>1</v>
      </c>
      <c r="N116" s="707"/>
      <c r="O116" s="24">
        <f t="shared" si="30"/>
        <v>1</v>
      </c>
      <c r="P116" s="707"/>
      <c r="Q116" s="24">
        <f t="shared" si="31"/>
        <v>1</v>
      </c>
      <c r="R116" s="703">
        <f t="shared" si="32"/>
        <v>0</v>
      </c>
      <c r="S116" s="348">
        <f t="shared" si="23"/>
        <v>0</v>
      </c>
    </row>
    <row r="117" spans="1:19">
      <c r="A117" s="146"/>
      <c r="B117" s="59"/>
      <c r="C117" s="24">
        <f t="shared" si="24"/>
        <v>1</v>
      </c>
      <c r="D117" s="707"/>
      <c r="E117" s="24">
        <f t="shared" si="25"/>
        <v>0.2</v>
      </c>
      <c r="F117" s="707"/>
      <c r="G117" s="24">
        <f t="shared" si="26"/>
        <v>1</v>
      </c>
      <c r="H117" s="707"/>
      <c r="I117" s="24">
        <f t="shared" si="27"/>
        <v>1</v>
      </c>
      <c r="J117" s="707"/>
      <c r="K117" s="24">
        <f t="shared" si="28"/>
        <v>1</v>
      </c>
      <c r="L117" s="707"/>
      <c r="M117" s="24">
        <f t="shared" si="29"/>
        <v>1</v>
      </c>
      <c r="N117" s="707"/>
      <c r="O117" s="24">
        <f t="shared" si="30"/>
        <v>1</v>
      </c>
      <c r="P117" s="707"/>
      <c r="Q117" s="24">
        <f t="shared" si="31"/>
        <v>1</v>
      </c>
      <c r="R117" s="703">
        <f t="shared" si="32"/>
        <v>0</v>
      </c>
      <c r="S117" s="348">
        <f t="shared" si="23"/>
        <v>0</v>
      </c>
    </row>
    <row r="118" spans="1:19">
      <c r="A118" s="146"/>
      <c r="B118" s="59"/>
      <c r="C118" s="24">
        <f t="shared" si="24"/>
        <v>1</v>
      </c>
      <c r="D118" s="707"/>
      <c r="E118" s="24">
        <f t="shared" si="25"/>
        <v>0.2</v>
      </c>
      <c r="F118" s="707"/>
      <c r="G118" s="24">
        <f t="shared" si="26"/>
        <v>1</v>
      </c>
      <c r="H118" s="707"/>
      <c r="I118" s="24">
        <f t="shared" si="27"/>
        <v>1</v>
      </c>
      <c r="J118" s="707"/>
      <c r="K118" s="24">
        <f t="shared" si="28"/>
        <v>1</v>
      </c>
      <c r="L118" s="707"/>
      <c r="M118" s="24">
        <f t="shared" si="29"/>
        <v>1</v>
      </c>
      <c r="N118" s="707"/>
      <c r="O118" s="24">
        <f t="shared" si="30"/>
        <v>1</v>
      </c>
      <c r="P118" s="707"/>
      <c r="Q118" s="24">
        <f t="shared" si="31"/>
        <v>1</v>
      </c>
      <c r="R118" s="703">
        <f t="shared" si="32"/>
        <v>0</v>
      </c>
      <c r="S118" s="348">
        <f t="shared" si="23"/>
        <v>0</v>
      </c>
    </row>
    <row r="119" spans="1:19">
      <c r="A119" s="146"/>
      <c r="B119" s="59"/>
      <c r="C119" s="24">
        <f t="shared" si="24"/>
        <v>1</v>
      </c>
      <c r="D119" s="707"/>
      <c r="E119" s="24">
        <f t="shared" si="25"/>
        <v>0.2</v>
      </c>
      <c r="F119" s="707"/>
      <c r="G119" s="24">
        <f t="shared" si="26"/>
        <v>1</v>
      </c>
      <c r="H119" s="707"/>
      <c r="I119" s="24">
        <f t="shared" si="27"/>
        <v>1</v>
      </c>
      <c r="J119" s="707"/>
      <c r="K119" s="24">
        <f t="shared" si="28"/>
        <v>1</v>
      </c>
      <c r="L119" s="707"/>
      <c r="M119" s="24">
        <f t="shared" si="29"/>
        <v>1</v>
      </c>
      <c r="N119" s="707"/>
      <c r="O119" s="24">
        <f t="shared" si="30"/>
        <v>1</v>
      </c>
      <c r="P119" s="707"/>
      <c r="Q119" s="24">
        <f t="shared" si="31"/>
        <v>1</v>
      </c>
      <c r="R119" s="703">
        <f t="shared" si="32"/>
        <v>0</v>
      </c>
      <c r="S119" s="348">
        <f t="shared" si="23"/>
        <v>0</v>
      </c>
    </row>
    <row r="120" spans="1:19">
      <c r="A120" s="146"/>
      <c r="B120" s="59"/>
      <c r="C120" s="24">
        <f t="shared" si="24"/>
        <v>1</v>
      </c>
      <c r="D120" s="707"/>
      <c r="E120" s="24">
        <f t="shared" si="25"/>
        <v>0.2</v>
      </c>
      <c r="F120" s="707"/>
      <c r="G120" s="24">
        <f t="shared" si="26"/>
        <v>1</v>
      </c>
      <c r="H120" s="707"/>
      <c r="I120" s="24">
        <f t="shared" si="27"/>
        <v>1</v>
      </c>
      <c r="J120" s="707"/>
      <c r="K120" s="24">
        <f t="shared" si="28"/>
        <v>1</v>
      </c>
      <c r="L120" s="707"/>
      <c r="M120" s="24">
        <f t="shared" si="29"/>
        <v>1</v>
      </c>
      <c r="N120" s="707"/>
      <c r="O120" s="24">
        <f t="shared" si="30"/>
        <v>1</v>
      </c>
      <c r="P120" s="707"/>
      <c r="Q120" s="24">
        <f t="shared" si="31"/>
        <v>1</v>
      </c>
      <c r="R120" s="703">
        <f t="shared" si="32"/>
        <v>0</v>
      </c>
      <c r="S120" s="348">
        <f t="shared" si="23"/>
        <v>0</v>
      </c>
    </row>
    <row r="121" spans="1:19">
      <c r="A121" s="146"/>
      <c r="B121" s="59"/>
      <c r="C121" s="24">
        <f t="shared" si="24"/>
        <v>1</v>
      </c>
      <c r="D121" s="707"/>
      <c r="E121" s="24">
        <f t="shared" si="25"/>
        <v>0.2</v>
      </c>
      <c r="F121" s="707"/>
      <c r="G121" s="24">
        <f t="shared" si="26"/>
        <v>1</v>
      </c>
      <c r="H121" s="707"/>
      <c r="I121" s="24">
        <f t="shared" si="27"/>
        <v>1</v>
      </c>
      <c r="J121" s="707"/>
      <c r="K121" s="24">
        <f t="shared" si="28"/>
        <v>1</v>
      </c>
      <c r="L121" s="707"/>
      <c r="M121" s="24">
        <f t="shared" si="29"/>
        <v>1</v>
      </c>
      <c r="N121" s="707"/>
      <c r="O121" s="24">
        <f t="shared" si="30"/>
        <v>1</v>
      </c>
      <c r="P121" s="707"/>
      <c r="Q121" s="24">
        <f t="shared" si="31"/>
        <v>1</v>
      </c>
      <c r="R121" s="703">
        <f t="shared" si="32"/>
        <v>0</v>
      </c>
      <c r="S121" s="348">
        <f t="shared" si="23"/>
        <v>0</v>
      </c>
    </row>
    <row r="122" spans="1:19">
      <c r="A122" s="146"/>
      <c r="B122" s="59"/>
      <c r="C122" s="24">
        <f t="shared" si="24"/>
        <v>1</v>
      </c>
      <c r="D122" s="707"/>
      <c r="E122" s="24">
        <f t="shared" si="25"/>
        <v>0.2</v>
      </c>
      <c r="F122" s="707"/>
      <c r="G122" s="24">
        <f t="shared" si="26"/>
        <v>1</v>
      </c>
      <c r="H122" s="707"/>
      <c r="I122" s="24">
        <f t="shared" si="27"/>
        <v>1</v>
      </c>
      <c r="J122" s="707"/>
      <c r="K122" s="24">
        <f t="shared" si="28"/>
        <v>1</v>
      </c>
      <c r="L122" s="707"/>
      <c r="M122" s="24">
        <f t="shared" si="29"/>
        <v>1</v>
      </c>
      <c r="N122" s="707"/>
      <c r="O122" s="24">
        <f t="shared" si="30"/>
        <v>1</v>
      </c>
      <c r="P122" s="707"/>
      <c r="Q122" s="24">
        <f t="shared" si="31"/>
        <v>1</v>
      </c>
      <c r="R122" s="703">
        <f t="shared" si="32"/>
        <v>0</v>
      </c>
      <c r="S122" s="348">
        <f t="shared" si="23"/>
        <v>0</v>
      </c>
    </row>
    <row r="123" spans="1:19">
      <c r="A123" s="146"/>
      <c r="B123" s="59"/>
      <c r="C123" s="24">
        <f t="shared" si="24"/>
        <v>1</v>
      </c>
      <c r="D123" s="707"/>
      <c r="E123" s="24">
        <f t="shared" si="25"/>
        <v>0.2</v>
      </c>
      <c r="F123" s="707"/>
      <c r="G123" s="24">
        <f t="shared" si="26"/>
        <v>1</v>
      </c>
      <c r="H123" s="707"/>
      <c r="I123" s="24">
        <f t="shared" si="27"/>
        <v>1</v>
      </c>
      <c r="J123" s="707"/>
      <c r="K123" s="24">
        <f t="shared" si="28"/>
        <v>1</v>
      </c>
      <c r="L123" s="707"/>
      <c r="M123" s="24">
        <f t="shared" si="29"/>
        <v>1</v>
      </c>
      <c r="N123" s="707"/>
      <c r="O123" s="24">
        <f t="shared" si="30"/>
        <v>1</v>
      </c>
      <c r="P123" s="707"/>
      <c r="Q123" s="24">
        <f t="shared" si="31"/>
        <v>1</v>
      </c>
      <c r="R123" s="703">
        <f t="shared" si="32"/>
        <v>0</v>
      </c>
      <c r="S123" s="348">
        <f t="shared" ref="S123:S186" si="33">ROUND(R123*B123/10000,0)</f>
        <v>0</v>
      </c>
    </row>
    <row r="124" spans="1:19">
      <c r="A124" s="146"/>
      <c r="B124" s="59"/>
      <c r="C124" s="24">
        <f t="shared" si="24"/>
        <v>1</v>
      </c>
      <c r="D124" s="707"/>
      <c r="E124" s="24">
        <f t="shared" si="25"/>
        <v>0.2</v>
      </c>
      <c r="F124" s="707"/>
      <c r="G124" s="24">
        <f t="shared" si="26"/>
        <v>1</v>
      </c>
      <c r="H124" s="707"/>
      <c r="I124" s="24">
        <f t="shared" si="27"/>
        <v>1</v>
      </c>
      <c r="J124" s="707"/>
      <c r="K124" s="24">
        <f t="shared" si="28"/>
        <v>1</v>
      </c>
      <c r="L124" s="707"/>
      <c r="M124" s="24">
        <f t="shared" si="29"/>
        <v>1</v>
      </c>
      <c r="N124" s="707"/>
      <c r="O124" s="24">
        <f t="shared" si="30"/>
        <v>1</v>
      </c>
      <c r="P124" s="707"/>
      <c r="Q124" s="24">
        <f t="shared" si="31"/>
        <v>1</v>
      </c>
      <c r="R124" s="703">
        <f t="shared" si="32"/>
        <v>0</v>
      </c>
      <c r="S124" s="348">
        <f t="shared" si="33"/>
        <v>0</v>
      </c>
    </row>
    <row r="125" spans="1:19">
      <c r="A125" s="146"/>
      <c r="B125" s="59"/>
      <c r="C125" s="24">
        <f t="shared" si="24"/>
        <v>1</v>
      </c>
      <c r="D125" s="707"/>
      <c r="E125" s="24">
        <f t="shared" si="25"/>
        <v>0.2</v>
      </c>
      <c r="F125" s="707"/>
      <c r="G125" s="24">
        <f t="shared" si="26"/>
        <v>1</v>
      </c>
      <c r="H125" s="707"/>
      <c r="I125" s="24">
        <f t="shared" si="27"/>
        <v>1</v>
      </c>
      <c r="J125" s="707"/>
      <c r="K125" s="24">
        <f t="shared" si="28"/>
        <v>1</v>
      </c>
      <c r="L125" s="707"/>
      <c r="M125" s="24">
        <f t="shared" si="29"/>
        <v>1</v>
      </c>
      <c r="N125" s="707"/>
      <c r="O125" s="24">
        <f t="shared" si="30"/>
        <v>1</v>
      </c>
      <c r="P125" s="707"/>
      <c r="Q125" s="24">
        <f t="shared" si="31"/>
        <v>1</v>
      </c>
      <c r="R125" s="703">
        <f t="shared" si="32"/>
        <v>0</v>
      </c>
      <c r="S125" s="348">
        <f t="shared" si="33"/>
        <v>0</v>
      </c>
    </row>
    <row r="126" spans="1:19">
      <c r="A126" s="146"/>
      <c r="B126" s="59"/>
      <c r="C126" s="24">
        <f t="shared" si="24"/>
        <v>1</v>
      </c>
      <c r="D126" s="707"/>
      <c r="E126" s="24">
        <f t="shared" si="25"/>
        <v>0.2</v>
      </c>
      <c r="F126" s="707"/>
      <c r="G126" s="24">
        <f t="shared" si="26"/>
        <v>1</v>
      </c>
      <c r="H126" s="707"/>
      <c r="I126" s="24">
        <f t="shared" si="27"/>
        <v>1</v>
      </c>
      <c r="J126" s="707"/>
      <c r="K126" s="24">
        <f t="shared" si="28"/>
        <v>1</v>
      </c>
      <c r="L126" s="707"/>
      <c r="M126" s="24">
        <f t="shared" si="29"/>
        <v>1</v>
      </c>
      <c r="N126" s="707"/>
      <c r="O126" s="24">
        <f t="shared" si="30"/>
        <v>1</v>
      </c>
      <c r="P126" s="707"/>
      <c r="Q126" s="24">
        <f t="shared" si="31"/>
        <v>1</v>
      </c>
      <c r="R126" s="703">
        <f t="shared" si="32"/>
        <v>0</v>
      </c>
      <c r="S126" s="348">
        <f t="shared" si="33"/>
        <v>0</v>
      </c>
    </row>
    <row r="127" spans="1:19">
      <c r="A127" s="146"/>
      <c r="B127" s="59"/>
      <c r="C127" s="24">
        <f t="shared" si="24"/>
        <v>1</v>
      </c>
      <c r="D127" s="707"/>
      <c r="E127" s="24">
        <f t="shared" si="25"/>
        <v>0.2</v>
      </c>
      <c r="F127" s="707"/>
      <c r="G127" s="24">
        <f t="shared" si="26"/>
        <v>1</v>
      </c>
      <c r="H127" s="707"/>
      <c r="I127" s="24">
        <f t="shared" si="27"/>
        <v>1</v>
      </c>
      <c r="J127" s="707"/>
      <c r="K127" s="24">
        <f t="shared" si="28"/>
        <v>1</v>
      </c>
      <c r="L127" s="707"/>
      <c r="M127" s="24">
        <f t="shared" si="29"/>
        <v>1</v>
      </c>
      <c r="N127" s="707"/>
      <c r="O127" s="24">
        <f t="shared" si="30"/>
        <v>1</v>
      </c>
      <c r="P127" s="707"/>
      <c r="Q127" s="24">
        <f t="shared" si="31"/>
        <v>1</v>
      </c>
      <c r="R127" s="703">
        <f t="shared" si="32"/>
        <v>0</v>
      </c>
      <c r="S127" s="348">
        <f t="shared" si="33"/>
        <v>0</v>
      </c>
    </row>
    <row r="128" spans="1:19">
      <c r="A128" s="146"/>
      <c r="B128" s="59"/>
      <c r="C128" s="24">
        <f t="shared" si="24"/>
        <v>1</v>
      </c>
      <c r="D128" s="707"/>
      <c r="E128" s="24">
        <f t="shared" si="25"/>
        <v>0.2</v>
      </c>
      <c r="F128" s="707"/>
      <c r="G128" s="24">
        <f t="shared" si="26"/>
        <v>1</v>
      </c>
      <c r="H128" s="707"/>
      <c r="I128" s="24">
        <f t="shared" si="27"/>
        <v>1</v>
      </c>
      <c r="J128" s="707"/>
      <c r="K128" s="24">
        <f t="shared" si="28"/>
        <v>1</v>
      </c>
      <c r="L128" s="707"/>
      <c r="M128" s="24">
        <f t="shared" si="29"/>
        <v>1</v>
      </c>
      <c r="N128" s="707"/>
      <c r="O128" s="24">
        <f t="shared" si="30"/>
        <v>1</v>
      </c>
      <c r="P128" s="707"/>
      <c r="Q128" s="24">
        <f t="shared" si="31"/>
        <v>1</v>
      </c>
      <c r="R128" s="703">
        <f t="shared" si="32"/>
        <v>0</v>
      </c>
      <c r="S128" s="348">
        <f t="shared" si="33"/>
        <v>0</v>
      </c>
    </row>
    <row r="129" spans="1:19">
      <c r="A129" s="146"/>
      <c r="B129" s="59"/>
      <c r="C129" s="24">
        <f t="shared" si="24"/>
        <v>1</v>
      </c>
      <c r="D129" s="707"/>
      <c r="E129" s="24">
        <f t="shared" si="25"/>
        <v>0.2</v>
      </c>
      <c r="F129" s="707"/>
      <c r="G129" s="24">
        <f t="shared" si="26"/>
        <v>1</v>
      </c>
      <c r="H129" s="707"/>
      <c r="I129" s="24">
        <f t="shared" si="27"/>
        <v>1</v>
      </c>
      <c r="J129" s="707"/>
      <c r="K129" s="24">
        <f t="shared" si="28"/>
        <v>1</v>
      </c>
      <c r="L129" s="707"/>
      <c r="M129" s="24">
        <f t="shared" si="29"/>
        <v>1</v>
      </c>
      <c r="N129" s="707"/>
      <c r="O129" s="24">
        <f t="shared" si="30"/>
        <v>1</v>
      </c>
      <c r="P129" s="707"/>
      <c r="Q129" s="24">
        <f t="shared" si="31"/>
        <v>1</v>
      </c>
      <c r="R129" s="703">
        <f t="shared" si="32"/>
        <v>0</v>
      </c>
      <c r="S129" s="348">
        <f t="shared" si="33"/>
        <v>0</v>
      </c>
    </row>
    <row r="130" spans="1:19">
      <c r="A130" s="146"/>
      <c r="B130" s="59"/>
      <c r="C130" s="24">
        <f t="shared" si="24"/>
        <v>1</v>
      </c>
      <c r="D130" s="707"/>
      <c r="E130" s="24">
        <f t="shared" si="25"/>
        <v>0.2</v>
      </c>
      <c r="F130" s="707"/>
      <c r="G130" s="24">
        <f t="shared" si="26"/>
        <v>1</v>
      </c>
      <c r="H130" s="707"/>
      <c r="I130" s="24">
        <f t="shared" si="27"/>
        <v>1</v>
      </c>
      <c r="J130" s="707"/>
      <c r="K130" s="24">
        <f t="shared" si="28"/>
        <v>1</v>
      </c>
      <c r="L130" s="707"/>
      <c r="M130" s="24">
        <f t="shared" si="29"/>
        <v>1</v>
      </c>
      <c r="N130" s="707"/>
      <c r="O130" s="24">
        <f t="shared" si="30"/>
        <v>1</v>
      </c>
      <c r="P130" s="707"/>
      <c r="Q130" s="24">
        <f t="shared" si="31"/>
        <v>1</v>
      </c>
      <c r="R130" s="703">
        <f t="shared" si="32"/>
        <v>0</v>
      </c>
      <c r="S130" s="348">
        <f t="shared" si="33"/>
        <v>0</v>
      </c>
    </row>
    <row r="131" spans="1:19">
      <c r="A131" s="146"/>
      <c r="B131" s="59"/>
      <c r="C131" s="24">
        <f t="shared" si="24"/>
        <v>1</v>
      </c>
      <c r="D131" s="707"/>
      <c r="E131" s="24">
        <f t="shared" si="25"/>
        <v>0.2</v>
      </c>
      <c r="F131" s="707"/>
      <c r="G131" s="24">
        <f t="shared" si="26"/>
        <v>1</v>
      </c>
      <c r="H131" s="707"/>
      <c r="I131" s="24">
        <f t="shared" si="27"/>
        <v>1</v>
      </c>
      <c r="J131" s="707"/>
      <c r="K131" s="24">
        <f t="shared" si="28"/>
        <v>1</v>
      </c>
      <c r="L131" s="707"/>
      <c r="M131" s="24">
        <f t="shared" si="29"/>
        <v>1</v>
      </c>
      <c r="N131" s="707"/>
      <c r="O131" s="24">
        <f t="shared" si="30"/>
        <v>1</v>
      </c>
      <c r="P131" s="707"/>
      <c r="Q131" s="24">
        <f t="shared" si="31"/>
        <v>1</v>
      </c>
      <c r="R131" s="703">
        <f t="shared" si="32"/>
        <v>0</v>
      </c>
      <c r="S131" s="348">
        <f t="shared" si="33"/>
        <v>0</v>
      </c>
    </row>
    <row r="132" spans="1:19">
      <c r="A132" s="146"/>
      <c r="B132" s="59"/>
      <c r="C132" s="24">
        <f t="shared" si="24"/>
        <v>1</v>
      </c>
      <c r="D132" s="707"/>
      <c r="E132" s="24">
        <f t="shared" si="25"/>
        <v>0.2</v>
      </c>
      <c r="F132" s="707"/>
      <c r="G132" s="24">
        <f t="shared" si="26"/>
        <v>1</v>
      </c>
      <c r="H132" s="707"/>
      <c r="I132" s="24">
        <f t="shared" si="27"/>
        <v>1</v>
      </c>
      <c r="J132" s="707"/>
      <c r="K132" s="24">
        <f t="shared" si="28"/>
        <v>1</v>
      </c>
      <c r="L132" s="707"/>
      <c r="M132" s="24">
        <f t="shared" si="29"/>
        <v>1</v>
      </c>
      <c r="N132" s="707"/>
      <c r="O132" s="24">
        <f t="shared" si="30"/>
        <v>1</v>
      </c>
      <c r="P132" s="707"/>
      <c r="Q132" s="24">
        <f t="shared" si="31"/>
        <v>1</v>
      </c>
      <c r="R132" s="703">
        <f t="shared" si="32"/>
        <v>0</v>
      </c>
      <c r="S132" s="348">
        <f t="shared" si="33"/>
        <v>0</v>
      </c>
    </row>
    <row r="133" spans="1:19">
      <c r="A133" s="146"/>
      <c r="B133" s="59"/>
      <c r="C133" s="24">
        <f t="shared" si="24"/>
        <v>1</v>
      </c>
      <c r="D133" s="707"/>
      <c r="E133" s="24">
        <f t="shared" si="25"/>
        <v>0.2</v>
      </c>
      <c r="F133" s="707"/>
      <c r="G133" s="24">
        <f t="shared" si="26"/>
        <v>1</v>
      </c>
      <c r="H133" s="707"/>
      <c r="I133" s="24">
        <f t="shared" si="27"/>
        <v>1</v>
      </c>
      <c r="J133" s="707"/>
      <c r="K133" s="24">
        <f t="shared" si="28"/>
        <v>1</v>
      </c>
      <c r="L133" s="707"/>
      <c r="M133" s="24">
        <f t="shared" si="29"/>
        <v>1</v>
      </c>
      <c r="N133" s="707"/>
      <c r="O133" s="24">
        <f t="shared" si="30"/>
        <v>1</v>
      </c>
      <c r="P133" s="707"/>
      <c r="Q133" s="24">
        <f t="shared" si="31"/>
        <v>1</v>
      </c>
      <c r="R133" s="703">
        <f t="shared" si="32"/>
        <v>0</v>
      </c>
      <c r="S133" s="348">
        <f t="shared" si="33"/>
        <v>0</v>
      </c>
    </row>
    <row r="134" spans="1:19">
      <c r="A134" s="146"/>
      <c r="B134" s="59"/>
      <c r="C134" s="24">
        <f t="shared" si="24"/>
        <v>1</v>
      </c>
      <c r="D134" s="707"/>
      <c r="E134" s="24">
        <f t="shared" si="25"/>
        <v>0.2</v>
      </c>
      <c r="F134" s="707"/>
      <c r="G134" s="24">
        <f t="shared" si="26"/>
        <v>1</v>
      </c>
      <c r="H134" s="707"/>
      <c r="I134" s="24">
        <f t="shared" si="27"/>
        <v>1</v>
      </c>
      <c r="J134" s="707"/>
      <c r="K134" s="24">
        <f t="shared" si="28"/>
        <v>1</v>
      </c>
      <c r="L134" s="707"/>
      <c r="M134" s="24">
        <f t="shared" si="29"/>
        <v>1</v>
      </c>
      <c r="N134" s="707"/>
      <c r="O134" s="24">
        <f t="shared" si="30"/>
        <v>1</v>
      </c>
      <c r="P134" s="707"/>
      <c r="Q134" s="24">
        <f t="shared" si="31"/>
        <v>1</v>
      </c>
      <c r="R134" s="703">
        <f t="shared" si="32"/>
        <v>0</v>
      </c>
      <c r="S134" s="348">
        <f t="shared" si="33"/>
        <v>0</v>
      </c>
    </row>
    <row r="135" spans="1:19">
      <c r="A135" s="146"/>
      <c r="B135" s="59"/>
      <c r="C135" s="24">
        <f t="shared" si="24"/>
        <v>1</v>
      </c>
      <c r="D135" s="707"/>
      <c r="E135" s="24">
        <f t="shared" si="25"/>
        <v>0.2</v>
      </c>
      <c r="F135" s="707"/>
      <c r="G135" s="24">
        <f t="shared" si="26"/>
        <v>1</v>
      </c>
      <c r="H135" s="707"/>
      <c r="I135" s="24">
        <f t="shared" si="27"/>
        <v>1</v>
      </c>
      <c r="J135" s="707"/>
      <c r="K135" s="24">
        <f t="shared" si="28"/>
        <v>1</v>
      </c>
      <c r="L135" s="707"/>
      <c r="M135" s="24">
        <f t="shared" si="29"/>
        <v>1</v>
      </c>
      <c r="N135" s="707"/>
      <c r="O135" s="24">
        <f t="shared" si="30"/>
        <v>1</v>
      </c>
      <c r="P135" s="707"/>
      <c r="Q135" s="24">
        <f t="shared" si="31"/>
        <v>1</v>
      </c>
      <c r="R135" s="703">
        <f t="shared" si="32"/>
        <v>0</v>
      </c>
      <c r="S135" s="348">
        <f t="shared" si="33"/>
        <v>0</v>
      </c>
    </row>
    <row r="136" spans="1:19">
      <c r="A136" s="146"/>
      <c r="B136" s="59"/>
      <c r="C136" s="24">
        <f t="shared" si="24"/>
        <v>1</v>
      </c>
      <c r="D136" s="707"/>
      <c r="E136" s="24">
        <f t="shared" si="25"/>
        <v>0.2</v>
      </c>
      <c r="F136" s="707"/>
      <c r="G136" s="24">
        <f t="shared" si="26"/>
        <v>1</v>
      </c>
      <c r="H136" s="707"/>
      <c r="I136" s="24">
        <f t="shared" si="27"/>
        <v>1</v>
      </c>
      <c r="J136" s="707"/>
      <c r="K136" s="24">
        <f t="shared" si="28"/>
        <v>1</v>
      </c>
      <c r="L136" s="707"/>
      <c r="M136" s="24">
        <f t="shared" si="29"/>
        <v>1</v>
      </c>
      <c r="N136" s="707"/>
      <c r="O136" s="24">
        <f t="shared" si="30"/>
        <v>1</v>
      </c>
      <c r="P136" s="707"/>
      <c r="Q136" s="24">
        <f t="shared" si="31"/>
        <v>1</v>
      </c>
      <c r="R136" s="703">
        <f t="shared" si="32"/>
        <v>0</v>
      </c>
      <c r="S136" s="348">
        <f t="shared" si="33"/>
        <v>0</v>
      </c>
    </row>
    <row r="137" spans="1:19">
      <c r="A137" s="146"/>
      <c r="B137" s="59"/>
      <c r="C137" s="24">
        <f t="shared" si="24"/>
        <v>1</v>
      </c>
      <c r="D137" s="707"/>
      <c r="E137" s="24">
        <f t="shared" si="25"/>
        <v>0.2</v>
      </c>
      <c r="F137" s="707"/>
      <c r="G137" s="24">
        <f t="shared" si="26"/>
        <v>1</v>
      </c>
      <c r="H137" s="707"/>
      <c r="I137" s="24">
        <f t="shared" si="27"/>
        <v>1</v>
      </c>
      <c r="J137" s="707"/>
      <c r="K137" s="24">
        <f t="shared" si="28"/>
        <v>1</v>
      </c>
      <c r="L137" s="707"/>
      <c r="M137" s="24">
        <f t="shared" si="29"/>
        <v>1</v>
      </c>
      <c r="N137" s="707"/>
      <c r="O137" s="24">
        <f t="shared" si="30"/>
        <v>1</v>
      </c>
      <c r="P137" s="707"/>
      <c r="Q137" s="24">
        <f t="shared" si="31"/>
        <v>1</v>
      </c>
      <c r="R137" s="703">
        <f t="shared" si="32"/>
        <v>0</v>
      </c>
      <c r="S137" s="348">
        <f t="shared" si="33"/>
        <v>0</v>
      </c>
    </row>
    <row r="138" spans="1:19">
      <c r="A138" s="146"/>
      <c r="B138" s="59"/>
      <c r="C138" s="24">
        <f t="shared" si="24"/>
        <v>1</v>
      </c>
      <c r="D138" s="707"/>
      <c r="E138" s="24">
        <f t="shared" si="25"/>
        <v>0.2</v>
      </c>
      <c r="F138" s="707"/>
      <c r="G138" s="24">
        <f t="shared" si="26"/>
        <v>1</v>
      </c>
      <c r="H138" s="707"/>
      <c r="I138" s="24">
        <f t="shared" si="27"/>
        <v>1</v>
      </c>
      <c r="J138" s="707"/>
      <c r="K138" s="24">
        <f t="shared" si="28"/>
        <v>1</v>
      </c>
      <c r="L138" s="707"/>
      <c r="M138" s="24">
        <f t="shared" si="29"/>
        <v>1</v>
      </c>
      <c r="N138" s="707"/>
      <c r="O138" s="24">
        <f t="shared" si="30"/>
        <v>1</v>
      </c>
      <c r="P138" s="707"/>
      <c r="Q138" s="24">
        <f t="shared" si="31"/>
        <v>1</v>
      </c>
      <c r="R138" s="703">
        <f t="shared" si="32"/>
        <v>0</v>
      </c>
      <c r="S138" s="348">
        <f t="shared" si="33"/>
        <v>0</v>
      </c>
    </row>
    <row r="139" spans="1:19">
      <c r="A139" s="146"/>
      <c r="B139" s="59"/>
      <c r="C139" s="24">
        <f t="shared" si="24"/>
        <v>1</v>
      </c>
      <c r="D139" s="707"/>
      <c r="E139" s="24">
        <f t="shared" si="25"/>
        <v>0.2</v>
      </c>
      <c r="F139" s="707"/>
      <c r="G139" s="24">
        <f t="shared" si="26"/>
        <v>1</v>
      </c>
      <c r="H139" s="707"/>
      <c r="I139" s="24">
        <f t="shared" si="27"/>
        <v>1</v>
      </c>
      <c r="J139" s="707"/>
      <c r="K139" s="24">
        <f t="shared" si="28"/>
        <v>1</v>
      </c>
      <c r="L139" s="707"/>
      <c r="M139" s="24">
        <f t="shared" si="29"/>
        <v>1</v>
      </c>
      <c r="N139" s="707"/>
      <c r="O139" s="24">
        <f t="shared" si="30"/>
        <v>1</v>
      </c>
      <c r="P139" s="707"/>
      <c r="Q139" s="24">
        <f t="shared" si="31"/>
        <v>1</v>
      </c>
      <c r="R139" s="703">
        <f t="shared" si="32"/>
        <v>0</v>
      </c>
      <c r="S139" s="348">
        <f t="shared" si="33"/>
        <v>0</v>
      </c>
    </row>
    <row r="140" spans="1:19">
      <c r="A140" s="146"/>
      <c r="B140" s="59"/>
      <c r="C140" s="24">
        <f t="shared" si="24"/>
        <v>1</v>
      </c>
      <c r="D140" s="707"/>
      <c r="E140" s="24">
        <f t="shared" si="25"/>
        <v>0.2</v>
      </c>
      <c r="F140" s="707"/>
      <c r="G140" s="24">
        <f t="shared" si="26"/>
        <v>1</v>
      </c>
      <c r="H140" s="707"/>
      <c r="I140" s="24">
        <f t="shared" si="27"/>
        <v>1</v>
      </c>
      <c r="J140" s="707"/>
      <c r="K140" s="24">
        <f t="shared" si="28"/>
        <v>1</v>
      </c>
      <c r="L140" s="707"/>
      <c r="M140" s="24">
        <f t="shared" si="29"/>
        <v>1</v>
      </c>
      <c r="N140" s="707"/>
      <c r="O140" s="24">
        <f t="shared" si="30"/>
        <v>1</v>
      </c>
      <c r="P140" s="707"/>
      <c r="Q140" s="24">
        <f t="shared" si="31"/>
        <v>1</v>
      </c>
      <c r="R140" s="703">
        <f t="shared" si="32"/>
        <v>0</v>
      </c>
      <c r="S140" s="348">
        <f t="shared" si="33"/>
        <v>0</v>
      </c>
    </row>
    <row r="141" spans="1:19">
      <c r="A141" s="146"/>
      <c r="B141" s="59"/>
      <c r="C141" s="24">
        <f t="shared" si="24"/>
        <v>1</v>
      </c>
      <c r="D141" s="707"/>
      <c r="E141" s="24">
        <f t="shared" si="25"/>
        <v>0.2</v>
      </c>
      <c r="F141" s="707"/>
      <c r="G141" s="24">
        <f t="shared" si="26"/>
        <v>1</v>
      </c>
      <c r="H141" s="707"/>
      <c r="I141" s="24">
        <f t="shared" si="27"/>
        <v>1</v>
      </c>
      <c r="J141" s="707"/>
      <c r="K141" s="24">
        <f t="shared" si="28"/>
        <v>1</v>
      </c>
      <c r="L141" s="707"/>
      <c r="M141" s="24">
        <f t="shared" si="29"/>
        <v>1</v>
      </c>
      <c r="N141" s="707"/>
      <c r="O141" s="24">
        <f t="shared" si="30"/>
        <v>1</v>
      </c>
      <c r="P141" s="707"/>
      <c r="Q141" s="24">
        <f t="shared" si="31"/>
        <v>1</v>
      </c>
      <c r="R141" s="703">
        <f t="shared" si="32"/>
        <v>0</v>
      </c>
      <c r="S141" s="348">
        <f t="shared" si="33"/>
        <v>0</v>
      </c>
    </row>
    <row r="142" spans="1:19">
      <c r="A142" s="146"/>
      <c r="B142" s="59"/>
      <c r="C142" s="24">
        <f t="shared" si="24"/>
        <v>1</v>
      </c>
      <c r="D142" s="707"/>
      <c r="E142" s="24">
        <f t="shared" si="25"/>
        <v>0.2</v>
      </c>
      <c r="F142" s="707"/>
      <c r="G142" s="24">
        <f t="shared" si="26"/>
        <v>1</v>
      </c>
      <c r="H142" s="707"/>
      <c r="I142" s="24">
        <f t="shared" si="27"/>
        <v>1</v>
      </c>
      <c r="J142" s="707"/>
      <c r="K142" s="24">
        <f t="shared" si="28"/>
        <v>1</v>
      </c>
      <c r="L142" s="707"/>
      <c r="M142" s="24">
        <f t="shared" si="29"/>
        <v>1</v>
      </c>
      <c r="N142" s="707"/>
      <c r="O142" s="24">
        <f t="shared" si="30"/>
        <v>1</v>
      </c>
      <c r="P142" s="707"/>
      <c r="Q142" s="24">
        <f t="shared" si="31"/>
        <v>1</v>
      </c>
      <c r="R142" s="703">
        <f t="shared" si="32"/>
        <v>0</v>
      </c>
      <c r="S142" s="348">
        <f t="shared" si="33"/>
        <v>0</v>
      </c>
    </row>
    <row r="143" spans="1:19">
      <c r="A143" s="146"/>
      <c r="B143" s="59"/>
      <c r="C143" s="24">
        <f t="shared" si="24"/>
        <v>1</v>
      </c>
      <c r="D143" s="707"/>
      <c r="E143" s="24">
        <f t="shared" si="25"/>
        <v>0.2</v>
      </c>
      <c r="F143" s="707"/>
      <c r="G143" s="24">
        <f t="shared" si="26"/>
        <v>1</v>
      </c>
      <c r="H143" s="707"/>
      <c r="I143" s="24">
        <f t="shared" si="27"/>
        <v>1</v>
      </c>
      <c r="J143" s="707"/>
      <c r="K143" s="24">
        <f t="shared" si="28"/>
        <v>1</v>
      </c>
      <c r="L143" s="707"/>
      <c r="M143" s="24">
        <f t="shared" si="29"/>
        <v>1</v>
      </c>
      <c r="N143" s="707"/>
      <c r="O143" s="24">
        <f t="shared" si="30"/>
        <v>1</v>
      </c>
      <c r="P143" s="707"/>
      <c r="Q143" s="24">
        <f t="shared" si="31"/>
        <v>1</v>
      </c>
      <c r="R143" s="703">
        <f t="shared" si="32"/>
        <v>0</v>
      </c>
      <c r="S143" s="348">
        <f t="shared" si="33"/>
        <v>0</v>
      </c>
    </row>
    <row r="144" spans="1:19">
      <c r="A144" s="146"/>
      <c r="B144" s="59"/>
      <c r="C144" s="24">
        <f t="shared" si="24"/>
        <v>1</v>
      </c>
      <c r="D144" s="707"/>
      <c r="E144" s="24">
        <f t="shared" si="25"/>
        <v>0.2</v>
      </c>
      <c r="F144" s="707"/>
      <c r="G144" s="24">
        <f t="shared" si="26"/>
        <v>1</v>
      </c>
      <c r="H144" s="707"/>
      <c r="I144" s="24">
        <f t="shared" si="27"/>
        <v>1</v>
      </c>
      <c r="J144" s="707"/>
      <c r="K144" s="24">
        <f t="shared" si="28"/>
        <v>1</v>
      </c>
      <c r="L144" s="707"/>
      <c r="M144" s="24">
        <f t="shared" si="29"/>
        <v>1</v>
      </c>
      <c r="N144" s="707"/>
      <c r="O144" s="24">
        <f t="shared" si="30"/>
        <v>1</v>
      </c>
      <c r="P144" s="707"/>
      <c r="Q144" s="24">
        <f t="shared" si="31"/>
        <v>1</v>
      </c>
      <c r="R144" s="703">
        <f t="shared" si="32"/>
        <v>0</v>
      </c>
      <c r="S144" s="348">
        <f t="shared" si="33"/>
        <v>0</v>
      </c>
    </row>
    <row r="145" spans="1:19">
      <c r="A145" s="146"/>
      <c r="B145" s="59"/>
      <c r="C145" s="24">
        <f t="shared" si="24"/>
        <v>1</v>
      </c>
      <c r="D145" s="707"/>
      <c r="E145" s="24">
        <f t="shared" si="25"/>
        <v>0.2</v>
      </c>
      <c r="F145" s="707"/>
      <c r="G145" s="24">
        <f t="shared" si="26"/>
        <v>1</v>
      </c>
      <c r="H145" s="707"/>
      <c r="I145" s="24">
        <f t="shared" si="27"/>
        <v>1</v>
      </c>
      <c r="J145" s="707"/>
      <c r="K145" s="24">
        <f t="shared" si="28"/>
        <v>1</v>
      </c>
      <c r="L145" s="707"/>
      <c r="M145" s="24">
        <f t="shared" si="29"/>
        <v>1</v>
      </c>
      <c r="N145" s="707"/>
      <c r="O145" s="24">
        <f t="shared" si="30"/>
        <v>1</v>
      </c>
      <c r="P145" s="707"/>
      <c r="Q145" s="24">
        <f t="shared" si="31"/>
        <v>1</v>
      </c>
      <c r="R145" s="703">
        <f t="shared" si="32"/>
        <v>0</v>
      </c>
      <c r="S145" s="348">
        <f t="shared" si="33"/>
        <v>0</v>
      </c>
    </row>
    <row r="146" spans="1:19">
      <c r="A146" s="146"/>
      <c r="B146" s="59"/>
      <c r="C146" s="24">
        <f t="shared" si="24"/>
        <v>1</v>
      </c>
      <c r="D146" s="707"/>
      <c r="E146" s="24">
        <f t="shared" si="25"/>
        <v>0.2</v>
      </c>
      <c r="F146" s="707"/>
      <c r="G146" s="24">
        <f t="shared" si="26"/>
        <v>1</v>
      </c>
      <c r="H146" s="707"/>
      <c r="I146" s="24">
        <f t="shared" si="27"/>
        <v>1</v>
      </c>
      <c r="J146" s="707"/>
      <c r="K146" s="24">
        <f t="shared" si="28"/>
        <v>1</v>
      </c>
      <c r="L146" s="707"/>
      <c r="M146" s="24">
        <f t="shared" si="29"/>
        <v>1</v>
      </c>
      <c r="N146" s="707"/>
      <c r="O146" s="24">
        <f t="shared" si="30"/>
        <v>1</v>
      </c>
      <c r="P146" s="707"/>
      <c r="Q146" s="24">
        <f t="shared" si="31"/>
        <v>1</v>
      </c>
      <c r="R146" s="703">
        <f t="shared" si="32"/>
        <v>0</v>
      </c>
      <c r="S146" s="348">
        <f t="shared" si="33"/>
        <v>0</v>
      </c>
    </row>
    <row r="147" spans="1:19">
      <c r="A147" s="146"/>
      <c r="B147" s="59"/>
      <c r="C147" s="24">
        <f t="shared" si="24"/>
        <v>1</v>
      </c>
      <c r="D147" s="707"/>
      <c r="E147" s="24">
        <f t="shared" si="25"/>
        <v>0.2</v>
      </c>
      <c r="F147" s="707"/>
      <c r="G147" s="24">
        <f t="shared" si="26"/>
        <v>1</v>
      </c>
      <c r="H147" s="707"/>
      <c r="I147" s="24">
        <f t="shared" si="27"/>
        <v>1</v>
      </c>
      <c r="J147" s="707"/>
      <c r="K147" s="24">
        <f t="shared" si="28"/>
        <v>1</v>
      </c>
      <c r="L147" s="707"/>
      <c r="M147" s="24">
        <f t="shared" si="29"/>
        <v>1</v>
      </c>
      <c r="N147" s="707"/>
      <c r="O147" s="24">
        <f t="shared" si="30"/>
        <v>1</v>
      </c>
      <c r="P147" s="707"/>
      <c r="Q147" s="24">
        <f t="shared" si="31"/>
        <v>1</v>
      </c>
      <c r="R147" s="703">
        <f t="shared" si="32"/>
        <v>0</v>
      </c>
      <c r="S147" s="348">
        <f t="shared" si="33"/>
        <v>0</v>
      </c>
    </row>
    <row r="148" spans="1:19">
      <c r="A148" s="146"/>
      <c r="B148" s="59"/>
      <c r="C148" s="24">
        <f t="shared" si="24"/>
        <v>1</v>
      </c>
      <c r="D148" s="707"/>
      <c r="E148" s="24">
        <f t="shared" si="25"/>
        <v>0.2</v>
      </c>
      <c r="F148" s="707"/>
      <c r="G148" s="24">
        <f t="shared" si="26"/>
        <v>1</v>
      </c>
      <c r="H148" s="707"/>
      <c r="I148" s="24">
        <f t="shared" si="27"/>
        <v>1</v>
      </c>
      <c r="J148" s="707"/>
      <c r="K148" s="24">
        <f t="shared" si="28"/>
        <v>1</v>
      </c>
      <c r="L148" s="707"/>
      <c r="M148" s="24">
        <f t="shared" si="29"/>
        <v>1</v>
      </c>
      <c r="N148" s="707"/>
      <c r="O148" s="24">
        <f t="shared" si="30"/>
        <v>1</v>
      </c>
      <c r="P148" s="707"/>
      <c r="Q148" s="24">
        <f t="shared" si="31"/>
        <v>1</v>
      </c>
      <c r="R148" s="703">
        <f t="shared" si="32"/>
        <v>0</v>
      </c>
      <c r="S148" s="348">
        <f t="shared" si="33"/>
        <v>0</v>
      </c>
    </row>
    <row r="149" spans="1:19">
      <c r="A149" s="146"/>
      <c r="B149" s="59"/>
      <c r="C149" s="24">
        <f t="shared" si="24"/>
        <v>1</v>
      </c>
      <c r="D149" s="707"/>
      <c r="E149" s="24">
        <f t="shared" si="25"/>
        <v>0.2</v>
      </c>
      <c r="F149" s="707"/>
      <c r="G149" s="24">
        <f t="shared" si="26"/>
        <v>1</v>
      </c>
      <c r="H149" s="707"/>
      <c r="I149" s="24">
        <f t="shared" si="27"/>
        <v>1</v>
      </c>
      <c r="J149" s="707"/>
      <c r="K149" s="24">
        <f t="shared" si="28"/>
        <v>1</v>
      </c>
      <c r="L149" s="707"/>
      <c r="M149" s="24">
        <f t="shared" si="29"/>
        <v>1</v>
      </c>
      <c r="N149" s="707"/>
      <c r="O149" s="24">
        <f t="shared" si="30"/>
        <v>1</v>
      </c>
      <c r="P149" s="707"/>
      <c r="Q149" s="24">
        <f t="shared" si="31"/>
        <v>1</v>
      </c>
      <c r="R149" s="703">
        <f t="shared" si="32"/>
        <v>0</v>
      </c>
      <c r="S149" s="348">
        <f t="shared" si="33"/>
        <v>0</v>
      </c>
    </row>
    <row r="150" spans="1:19">
      <c r="A150" s="146"/>
      <c r="B150" s="59"/>
      <c r="C150" s="24">
        <f t="shared" si="24"/>
        <v>1</v>
      </c>
      <c r="D150" s="707"/>
      <c r="E150" s="24">
        <f t="shared" si="25"/>
        <v>0.2</v>
      </c>
      <c r="F150" s="707"/>
      <c r="G150" s="24">
        <f t="shared" si="26"/>
        <v>1</v>
      </c>
      <c r="H150" s="707"/>
      <c r="I150" s="24">
        <f t="shared" si="27"/>
        <v>1</v>
      </c>
      <c r="J150" s="707"/>
      <c r="K150" s="24">
        <f t="shared" si="28"/>
        <v>1</v>
      </c>
      <c r="L150" s="707"/>
      <c r="M150" s="24">
        <f t="shared" si="29"/>
        <v>1</v>
      </c>
      <c r="N150" s="707"/>
      <c r="O150" s="24">
        <f t="shared" si="30"/>
        <v>1</v>
      </c>
      <c r="P150" s="707"/>
      <c r="Q150" s="24">
        <f t="shared" si="31"/>
        <v>1</v>
      </c>
      <c r="R150" s="703">
        <f t="shared" si="32"/>
        <v>0</v>
      </c>
      <c r="S150" s="348">
        <f t="shared" si="33"/>
        <v>0</v>
      </c>
    </row>
    <row r="151" spans="1:19">
      <c r="A151" s="146"/>
      <c r="B151" s="59"/>
      <c r="C151" s="24">
        <f t="shared" si="24"/>
        <v>1</v>
      </c>
      <c r="D151" s="707"/>
      <c r="E151" s="24">
        <f t="shared" si="25"/>
        <v>0.2</v>
      </c>
      <c r="F151" s="707"/>
      <c r="G151" s="24">
        <f t="shared" si="26"/>
        <v>1</v>
      </c>
      <c r="H151" s="707"/>
      <c r="I151" s="24">
        <f t="shared" si="27"/>
        <v>1</v>
      </c>
      <c r="J151" s="707"/>
      <c r="K151" s="24">
        <f t="shared" si="28"/>
        <v>1</v>
      </c>
      <c r="L151" s="707"/>
      <c r="M151" s="24">
        <f t="shared" si="29"/>
        <v>1</v>
      </c>
      <c r="N151" s="707"/>
      <c r="O151" s="24">
        <f t="shared" si="30"/>
        <v>1</v>
      </c>
      <c r="P151" s="707"/>
      <c r="Q151" s="24">
        <f t="shared" si="31"/>
        <v>1</v>
      </c>
      <c r="R151" s="703">
        <f t="shared" si="32"/>
        <v>0</v>
      </c>
      <c r="S151" s="348">
        <f t="shared" si="33"/>
        <v>0</v>
      </c>
    </row>
    <row r="152" spans="1:19">
      <c r="A152" s="146"/>
      <c r="B152" s="59"/>
      <c r="C152" s="24">
        <f t="shared" si="24"/>
        <v>1</v>
      </c>
      <c r="D152" s="707"/>
      <c r="E152" s="24">
        <f t="shared" si="25"/>
        <v>0.2</v>
      </c>
      <c r="F152" s="707"/>
      <c r="G152" s="24">
        <f t="shared" si="26"/>
        <v>1</v>
      </c>
      <c r="H152" s="707"/>
      <c r="I152" s="24">
        <f t="shared" si="27"/>
        <v>1</v>
      </c>
      <c r="J152" s="707"/>
      <c r="K152" s="24">
        <f t="shared" si="28"/>
        <v>1</v>
      </c>
      <c r="L152" s="707"/>
      <c r="M152" s="24">
        <f t="shared" si="29"/>
        <v>1</v>
      </c>
      <c r="N152" s="707"/>
      <c r="O152" s="24">
        <f t="shared" si="30"/>
        <v>1</v>
      </c>
      <c r="P152" s="707"/>
      <c r="Q152" s="24">
        <f t="shared" si="31"/>
        <v>1</v>
      </c>
      <c r="R152" s="703">
        <f t="shared" si="32"/>
        <v>0</v>
      </c>
      <c r="S152" s="348">
        <f t="shared" si="33"/>
        <v>0</v>
      </c>
    </row>
    <row r="153" spans="1:19">
      <c r="A153" s="146"/>
      <c r="B153" s="59"/>
      <c r="C153" s="24">
        <f t="shared" si="24"/>
        <v>1</v>
      </c>
      <c r="D153" s="707"/>
      <c r="E153" s="24">
        <f t="shared" si="25"/>
        <v>0.2</v>
      </c>
      <c r="F153" s="707"/>
      <c r="G153" s="24">
        <f t="shared" si="26"/>
        <v>1</v>
      </c>
      <c r="H153" s="707"/>
      <c r="I153" s="24">
        <f t="shared" si="27"/>
        <v>1</v>
      </c>
      <c r="J153" s="707"/>
      <c r="K153" s="24">
        <f t="shared" si="28"/>
        <v>1</v>
      </c>
      <c r="L153" s="707"/>
      <c r="M153" s="24">
        <f t="shared" si="29"/>
        <v>1</v>
      </c>
      <c r="N153" s="707"/>
      <c r="O153" s="24">
        <f t="shared" si="30"/>
        <v>1</v>
      </c>
      <c r="P153" s="707"/>
      <c r="Q153" s="24">
        <f t="shared" si="31"/>
        <v>1</v>
      </c>
      <c r="R153" s="703">
        <f t="shared" si="32"/>
        <v>0</v>
      </c>
      <c r="S153" s="348">
        <f t="shared" si="33"/>
        <v>0</v>
      </c>
    </row>
    <row r="154" spans="1:19">
      <c r="A154" s="146"/>
      <c r="B154" s="59"/>
      <c r="C154" s="24">
        <f t="shared" ref="C154:C217" si="34">IF(B154="",1,(LOOKUP(B154,$3:$3,$4:$4)-LOOKUP($B$24,$3:$3,$4:$4)+100)/100)</f>
        <v>1</v>
      </c>
      <c r="D154" s="707"/>
      <c r="E154" s="24">
        <f t="shared" ref="E154:E217" si="35">(SUMIF($5:$5,D154,$6:$6)-SUMIF($5:$5,$D$24,$6:$6)+100)/100</f>
        <v>0.2</v>
      </c>
      <c r="F154" s="707"/>
      <c r="G154" s="24">
        <f t="shared" ref="G154:G217" si="36">(SUMIF($7:$7,F154,$8:$8)-SUMIF($7:$7,$F$24,$8:$8)+100)/100</f>
        <v>1</v>
      </c>
      <c r="H154" s="707"/>
      <c r="I154" s="24">
        <f t="shared" ref="I154:I217" si="37">(SUMIF($9:$9,H154,$10:$10)-SUMIF($9:$9,$H$24,$10:$10)+100)/100</f>
        <v>1</v>
      </c>
      <c r="J154" s="707"/>
      <c r="K154" s="24">
        <f t="shared" ref="K154:K217" si="38">(SUMIF($11:$11,J154,$12:$12)-SUMIF($11:$11,$J$24,$12:$12)+100)/100</f>
        <v>1</v>
      </c>
      <c r="L154" s="707"/>
      <c r="M154" s="24">
        <f t="shared" ref="M154:M217" si="39">(SUMIF($13:$13,L154,$14:$14)-SUMIF($13:$13,$L$24,$14:$14)+100)/100</f>
        <v>1</v>
      </c>
      <c r="N154" s="707"/>
      <c r="O154" s="24">
        <f t="shared" ref="O154:O217" si="40">(SUMIF($15:$15,N154,$16:$16)-SUMIF($15:$15,$N$24,$16:$16)+100)/100</f>
        <v>1</v>
      </c>
      <c r="P154" s="707"/>
      <c r="Q154" s="24">
        <f t="shared" ref="Q154:Q217" si="41">(SUMIF($17:$17,P154,$18:$18)-SUMIF($17:$17,$P$24,$18:$18)+100)/100</f>
        <v>1</v>
      </c>
      <c r="R154" s="703">
        <f t="shared" ref="R154:R217" si="42">IF(B154="",0,ROUND($R$24*C154*E154*G154*I154*K154*M154*O154*Q154,0))</f>
        <v>0</v>
      </c>
      <c r="S154" s="348">
        <f t="shared" si="33"/>
        <v>0</v>
      </c>
    </row>
    <row r="155" spans="1:19">
      <c r="A155" s="146"/>
      <c r="B155" s="59"/>
      <c r="C155" s="24">
        <f t="shared" si="34"/>
        <v>1</v>
      </c>
      <c r="D155" s="707"/>
      <c r="E155" s="24">
        <f t="shared" si="35"/>
        <v>0.2</v>
      </c>
      <c r="F155" s="707"/>
      <c r="G155" s="24">
        <f t="shared" si="36"/>
        <v>1</v>
      </c>
      <c r="H155" s="707"/>
      <c r="I155" s="24">
        <f t="shared" si="37"/>
        <v>1</v>
      </c>
      <c r="J155" s="707"/>
      <c r="K155" s="24">
        <f t="shared" si="38"/>
        <v>1</v>
      </c>
      <c r="L155" s="707"/>
      <c r="M155" s="24">
        <f t="shared" si="39"/>
        <v>1</v>
      </c>
      <c r="N155" s="707"/>
      <c r="O155" s="24">
        <f t="shared" si="40"/>
        <v>1</v>
      </c>
      <c r="P155" s="707"/>
      <c r="Q155" s="24">
        <f t="shared" si="41"/>
        <v>1</v>
      </c>
      <c r="R155" s="703">
        <f t="shared" si="42"/>
        <v>0</v>
      </c>
      <c r="S155" s="348">
        <f t="shared" si="33"/>
        <v>0</v>
      </c>
    </row>
    <row r="156" spans="1:19">
      <c r="A156" s="146"/>
      <c r="B156" s="59"/>
      <c r="C156" s="24">
        <f t="shared" si="34"/>
        <v>1</v>
      </c>
      <c r="D156" s="707"/>
      <c r="E156" s="24">
        <f t="shared" si="35"/>
        <v>0.2</v>
      </c>
      <c r="F156" s="707"/>
      <c r="G156" s="24">
        <f t="shared" si="36"/>
        <v>1</v>
      </c>
      <c r="H156" s="707"/>
      <c r="I156" s="24">
        <f t="shared" si="37"/>
        <v>1</v>
      </c>
      <c r="J156" s="707"/>
      <c r="K156" s="24">
        <f t="shared" si="38"/>
        <v>1</v>
      </c>
      <c r="L156" s="707"/>
      <c r="M156" s="24">
        <f t="shared" si="39"/>
        <v>1</v>
      </c>
      <c r="N156" s="707"/>
      <c r="O156" s="24">
        <f t="shared" si="40"/>
        <v>1</v>
      </c>
      <c r="P156" s="707"/>
      <c r="Q156" s="24">
        <f t="shared" si="41"/>
        <v>1</v>
      </c>
      <c r="R156" s="703">
        <f t="shared" si="42"/>
        <v>0</v>
      </c>
      <c r="S156" s="348">
        <f t="shared" si="33"/>
        <v>0</v>
      </c>
    </row>
    <row r="157" spans="1:19">
      <c r="A157" s="146"/>
      <c r="B157" s="59"/>
      <c r="C157" s="24">
        <f t="shared" si="34"/>
        <v>1</v>
      </c>
      <c r="D157" s="707"/>
      <c r="E157" s="24">
        <f t="shared" si="35"/>
        <v>0.2</v>
      </c>
      <c r="F157" s="707"/>
      <c r="G157" s="24">
        <f t="shared" si="36"/>
        <v>1</v>
      </c>
      <c r="H157" s="707"/>
      <c r="I157" s="24">
        <f t="shared" si="37"/>
        <v>1</v>
      </c>
      <c r="J157" s="707"/>
      <c r="K157" s="24">
        <f t="shared" si="38"/>
        <v>1</v>
      </c>
      <c r="L157" s="707"/>
      <c r="M157" s="24">
        <f t="shared" si="39"/>
        <v>1</v>
      </c>
      <c r="N157" s="707"/>
      <c r="O157" s="24">
        <f t="shared" si="40"/>
        <v>1</v>
      </c>
      <c r="P157" s="707"/>
      <c r="Q157" s="24">
        <f t="shared" si="41"/>
        <v>1</v>
      </c>
      <c r="R157" s="703">
        <f t="shared" si="42"/>
        <v>0</v>
      </c>
      <c r="S157" s="348">
        <f t="shared" si="33"/>
        <v>0</v>
      </c>
    </row>
    <row r="158" spans="1:19">
      <c r="A158" s="146"/>
      <c r="B158" s="59"/>
      <c r="C158" s="24">
        <f t="shared" si="34"/>
        <v>1</v>
      </c>
      <c r="D158" s="707"/>
      <c r="E158" s="24">
        <f t="shared" si="35"/>
        <v>0.2</v>
      </c>
      <c r="F158" s="707"/>
      <c r="G158" s="24">
        <f t="shared" si="36"/>
        <v>1</v>
      </c>
      <c r="H158" s="707"/>
      <c r="I158" s="24">
        <f t="shared" si="37"/>
        <v>1</v>
      </c>
      <c r="J158" s="707"/>
      <c r="K158" s="24">
        <f t="shared" si="38"/>
        <v>1</v>
      </c>
      <c r="L158" s="707"/>
      <c r="M158" s="24">
        <f t="shared" si="39"/>
        <v>1</v>
      </c>
      <c r="N158" s="707"/>
      <c r="O158" s="24">
        <f t="shared" si="40"/>
        <v>1</v>
      </c>
      <c r="P158" s="707"/>
      <c r="Q158" s="24">
        <f t="shared" si="41"/>
        <v>1</v>
      </c>
      <c r="R158" s="703">
        <f t="shared" si="42"/>
        <v>0</v>
      </c>
      <c r="S158" s="348">
        <f t="shared" si="33"/>
        <v>0</v>
      </c>
    </row>
    <row r="159" spans="1:19">
      <c r="A159" s="146"/>
      <c r="B159" s="59"/>
      <c r="C159" s="24">
        <f t="shared" si="34"/>
        <v>1</v>
      </c>
      <c r="D159" s="707"/>
      <c r="E159" s="24">
        <f t="shared" si="35"/>
        <v>0.2</v>
      </c>
      <c r="F159" s="707"/>
      <c r="G159" s="24">
        <f t="shared" si="36"/>
        <v>1</v>
      </c>
      <c r="H159" s="707"/>
      <c r="I159" s="24">
        <f t="shared" si="37"/>
        <v>1</v>
      </c>
      <c r="J159" s="707"/>
      <c r="K159" s="24">
        <f t="shared" si="38"/>
        <v>1</v>
      </c>
      <c r="L159" s="707"/>
      <c r="M159" s="24">
        <f t="shared" si="39"/>
        <v>1</v>
      </c>
      <c r="N159" s="707"/>
      <c r="O159" s="24">
        <f t="shared" si="40"/>
        <v>1</v>
      </c>
      <c r="P159" s="707"/>
      <c r="Q159" s="24">
        <f t="shared" si="41"/>
        <v>1</v>
      </c>
      <c r="R159" s="703">
        <f t="shared" si="42"/>
        <v>0</v>
      </c>
      <c r="S159" s="348">
        <f t="shared" si="33"/>
        <v>0</v>
      </c>
    </row>
    <row r="160" spans="1:19">
      <c r="A160" s="146"/>
      <c r="B160" s="59"/>
      <c r="C160" s="24">
        <f t="shared" si="34"/>
        <v>1</v>
      </c>
      <c r="D160" s="707"/>
      <c r="E160" s="24">
        <f t="shared" si="35"/>
        <v>0.2</v>
      </c>
      <c r="F160" s="707"/>
      <c r="G160" s="24">
        <f t="shared" si="36"/>
        <v>1</v>
      </c>
      <c r="H160" s="707"/>
      <c r="I160" s="24">
        <f t="shared" si="37"/>
        <v>1</v>
      </c>
      <c r="J160" s="707"/>
      <c r="K160" s="24">
        <f t="shared" si="38"/>
        <v>1</v>
      </c>
      <c r="L160" s="707"/>
      <c r="M160" s="24">
        <f t="shared" si="39"/>
        <v>1</v>
      </c>
      <c r="N160" s="707"/>
      <c r="O160" s="24">
        <f t="shared" si="40"/>
        <v>1</v>
      </c>
      <c r="P160" s="707"/>
      <c r="Q160" s="24">
        <f t="shared" si="41"/>
        <v>1</v>
      </c>
      <c r="R160" s="703">
        <f t="shared" si="42"/>
        <v>0</v>
      </c>
      <c r="S160" s="348">
        <f t="shared" si="33"/>
        <v>0</v>
      </c>
    </row>
    <row r="161" spans="1:19">
      <c r="A161" s="146"/>
      <c r="B161" s="59"/>
      <c r="C161" s="24">
        <f t="shared" si="34"/>
        <v>1</v>
      </c>
      <c r="D161" s="707"/>
      <c r="E161" s="24">
        <f t="shared" si="35"/>
        <v>0.2</v>
      </c>
      <c r="F161" s="707"/>
      <c r="G161" s="24">
        <f t="shared" si="36"/>
        <v>1</v>
      </c>
      <c r="H161" s="707"/>
      <c r="I161" s="24">
        <f t="shared" si="37"/>
        <v>1</v>
      </c>
      <c r="J161" s="707"/>
      <c r="K161" s="24">
        <f t="shared" si="38"/>
        <v>1</v>
      </c>
      <c r="L161" s="707"/>
      <c r="M161" s="24">
        <f t="shared" si="39"/>
        <v>1</v>
      </c>
      <c r="N161" s="707"/>
      <c r="O161" s="24">
        <f t="shared" si="40"/>
        <v>1</v>
      </c>
      <c r="P161" s="707"/>
      <c r="Q161" s="24">
        <f t="shared" si="41"/>
        <v>1</v>
      </c>
      <c r="R161" s="703">
        <f t="shared" si="42"/>
        <v>0</v>
      </c>
      <c r="S161" s="348">
        <f t="shared" si="33"/>
        <v>0</v>
      </c>
    </row>
    <row r="162" spans="1:19">
      <c r="A162" s="146"/>
      <c r="B162" s="59"/>
      <c r="C162" s="24">
        <f t="shared" si="34"/>
        <v>1</v>
      </c>
      <c r="D162" s="707"/>
      <c r="E162" s="24">
        <f t="shared" si="35"/>
        <v>0.2</v>
      </c>
      <c r="F162" s="707"/>
      <c r="G162" s="24">
        <f t="shared" si="36"/>
        <v>1</v>
      </c>
      <c r="H162" s="707"/>
      <c r="I162" s="24">
        <f t="shared" si="37"/>
        <v>1</v>
      </c>
      <c r="J162" s="707"/>
      <c r="K162" s="24">
        <f t="shared" si="38"/>
        <v>1</v>
      </c>
      <c r="L162" s="707"/>
      <c r="M162" s="24">
        <f t="shared" si="39"/>
        <v>1</v>
      </c>
      <c r="N162" s="707"/>
      <c r="O162" s="24">
        <f t="shared" si="40"/>
        <v>1</v>
      </c>
      <c r="P162" s="707"/>
      <c r="Q162" s="24">
        <f t="shared" si="41"/>
        <v>1</v>
      </c>
      <c r="R162" s="703">
        <f t="shared" si="42"/>
        <v>0</v>
      </c>
      <c r="S162" s="348">
        <f t="shared" si="33"/>
        <v>0</v>
      </c>
    </row>
    <row r="163" spans="1:19">
      <c r="A163" s="146"/>
      <c r="B163" s="59"/>
      <c r="C163" s="24">
        <f t="shared" si="34"/>
        <v>1</v>
      </c>
      <c r="D163" s="707"/>
      <c r="E163" s="24">
        <f t="shared" si="35"/>
        <v>0.2</v>
      </c>
      <c r="F163" s="707"/>
      <c r="G163" s="24">
        <f t="shared" si="36"/>
        <v>1</v>
      </c>
      <c r="H163" s="707"/>
      <c r="I163" s="24">
        <f t="shared" si="37"/>
        <v>1</v>
      </c>
      <c r="J163" s="707"/>
      <c r="K163" s="24">
        <f t="shared" si="38"/>
        <v>1</v>
      </c>
      <c r="L163" s="707"/>
      <c r="M163" s="24">
        <f t="shared" si="39"/>
        <v>1</v>
      </c>
      <c r="N163" s="707"/>
      <c r="O163" s="24">
        <f t="shared" si="40"/>
        <v>1</v>
      </c>
      <c r="P163" s="707"/>
      <c r="Q163" s="24">
        <f t="shared" si="41"/>
        <v>1</v>
      </c>
      <c r="R163" s="703">
        <f t="shared" si="42"/>
        <v>0</v>
      </c>
      <c r="S163" s="348">
        <f t="shared" si="33"/>
        <v>0</v>
      </c>
    </row>
    <row r="164" spans="1:19">
      <c r="A164" s="146"/>
      <c r="B164" s="59"/>
      <c r="C164" s="24">
        <f t="shared" si="34"/>
        <v>1</v>
      </c>
      <c r="D164" s="707"/>
      <c r="E164" s="24">
        <f t="shared" si="35"/>
        <v>0.2</v>
      </c>
      <c r="F164" s="707"/>
      <c r="G164" s="24">
        <f t="shared" si="36"/>
        <v>1</v>
      </c>
      <c r="H164" s="707"/>
      <c r="I164" s="24">
        <f t="shared" si="37"/>
        <v>1</v>
      </c>
      <c r="J164" s="707"/>
      <c r="K164" s="24">
        <f t="shared" si="38"/>
        <v>1</v>
      </c>
      <c r="L164" s="707"/>
      <c r="M164" s="24">
        <f t="shared" si="39"/>
        <v>1</v>
      </c>
      <c r="N164" s="707"/>
      <c r="O164" s="24">
        <f t="shared" si="40"/>
        <v>1</v>
      </c>
      <c r="P164" s="707"/>
      <c r="Q164" s="24">
        <f t="shared" si="41"/>
        <v>1</v>
      </c>
      <c r="R164" s="703">
        <f t="shared" si="42"/>
        <v>0</v>
      </c>
      <c r="S164" s="348">
        <f t="shared" si="33"/>
        <v>0</v>
      </c>
    </row>
    <row r="165" spans="1:19">
      <c r="A165" s="146"/>
      <c r="B165" s="59"/>
      <c r="C165" s="24">
        <f t="shared" si="34"/>
        <v>1</v>
      </c>
      <c r="D165" s="707"/>
      <c r="E165" s="24">
        <f t="shared" si="35"/>
        <v>0.2</v>
      </c>
      <c r="F165" s="707"/>
      <c r="G165" s="24">
        <f t="shared" si="36"/>
        <v>1</v>
      </c>
      <c r="H165" s="707"/>
      <c r="I165" s="24">
        <f t="shared" si="37"/>
        <v>1</v>
      </c>
      <c r="J165" s="707"/>
      <c r="K165" s="24">
        <f t="shared" si="38"/>
        <v>1</v>
      </c>
      <c r="L165" s="707"/>
      <c r="M165" s="24">
        <f t="shared" si="39"/>
        <v>1</v>
      </c>
      <c r="N165" s="707"/>
      <c r="O165" s="24">
        <f t="shared" si="40"/>
        <v>1</v>
      </c>
      <c r="P165" s="707"/>
      <c r="Q165" s="24">
        <f t="shared" si="41"/>
        <v>1</v>
      </c>
      <c r="R165" s="703">
        <f t="shared" si="42"/>
        <v>0</v>
      </c>
      <c r="S165" s="348">
        <f t="shared" si="33"/>
        <v>0</v>
      </c>
    </row>
    <row r="166" spans="1:19">
      <c r="A166" s="146"/>
      <c r="B166" s="59"/>
      <c r="C166" s="24">
        <f t="shared" si="34"/>
        <v>1</v>
      </c>
      <c r="D166" s="707"/>
      <c r="E166" s="24">
        <f t="shared" si="35"/>
        <v>0.2</v>
      </c>
      <c r="F166" s="707"/>
      <c r="G166" s="24">
        <f t="shared" si="36"/>
        <v>1</v>
      </c>
      <c r="H166" s="707"/>
      <c r="I166" s="24">
        <f t="shared" si="37"/>
        <v>1</v>
      </c>
      <c r="J166" s="707"/>
      <c r="K166" s="24">
        <f t="shared" si="38"/>
        <v>1</v>
      </c>
      <c r="L166" s="707"/>
      <c r="M166" s="24">
        <f t="shared" si="39"/>
        <v>1</v>
      </c>
      <c r="N166" s="707"/>
      <c r="O166" s="24">
        <f t="shared" si="40"/>
        <v>1</v>
      </c>
      <c r="P166" s="707"/>
      <c r="Q166" s="24">
        <f t="shared" si="41"/>
        <v>1</v>
      </c>
      <c r="R166" s="703">
        <f t="shared" si="42"/>
        <v>0</v>
      </c>
      <c r="S166" s="348">
        <f t="shared" si="33"/>
        <v>0</v>
      </c>
    </row>
    <row r="167" spans="1:19">
      <c r="A167" s="146"/>
      <c r="B167" s="59"/>
      <c r="C167" s="24">
        <f t="shared" si="34"/>
        <v>1</v>
      </c>
      <c r="D167" s="707"/>
      <c r="E167" s="24">
        <f t="shared" si="35"/>
        <v>0.2</v>
      </c>
      <c r="F167" s="707"/>
      <c r="G167" s="24">
        <f t="shared" si="36"/>
        <v>1</v>
      </c>
      <c r="H167" s="707"/>
      <c r="I167" s="24">
        <f t="shared" si="37"/>
        <v>1</v>
      </c>
      <c r="J167" s="707"/>
      <c r="K167" s="24">
        <f t="shared" si="38"/>
        <v>1</v>
      </c>
      <c r="L167" s="707"/>
      <c r="M167" s="24">
        <f t="shared" si="39"/>
        <v>1</v>
      </c>
      <c r="N167" s="707"/>
      <c r="O167" s="24">
        <f t="shared" si="40"/>
        <v>1</v>
      </c>
      <c r="P167" s="707"/>
      <c r="Q167" s="24">
        <f t="shared" si="41"/>
        <v>1</v>
      </c>
      <c r="R167" s="703">
        <f t="shared" si="42"/>
        <v>0</v>
      </c>
      <c r="S167" s="348">
        <f t="shared" si="33"/>
        <v>0</v>
      </c>
    </row>
    <row r="168" spans="1:19">
      <c r="A168" s="146"/>
      <c r="B168" s="59"/>
      <c r="C168" s="24">
        <f t="shared" si="34"/>
        <v>1</v>
      </c>
      <c r="D168" s="707"/>
      <c r="E168" s="24">
        <f t="shared" si="35"/>
        <v>0.2</v>
      </c>
      <c r="F168" s="707"/>
      <c r="G168" s="24">
        <f t="shared" si="36"/>
        <v>1</v>
      </c>
      <c r="H168" s="707"/>
      <c r="I168" s="24">
        <f t="shared" si="37"/>
        <v>1</v>
      </c>
      <c r="J168" s="707"/>
      <c r="K168" s="24">
        <f t="shared" si="38"/>
        <v>1</v>
      </c>
      <c r="L168" s="707"/>
      <c r="M168" s="24">
        <f t="shared" si="39"/>
        <v>1</v>
      </c>
      <c r="N168" s="707"/>
      <c r="O168" s="24">
        <f t="shared" si="40"/>
        <v>1</v>
      </c>
      <c r="P168" s="707"/>
      <c r="Q168" s="24">
        <f t="shared" si="41"/>
        <v>1</v>
      </c>
      <c r="R168" s="703">
        <f t="shared" si="42"/>
        <v>0</v>
      </c>
      <c r="S168" s="348">
        <f t="shared" si="33"/>
        <v>0</v>
      </c>
    </row>
    <row r="169" spans="1:19">
      <c r="A169" s="146"/>
      <c r="B169" s="59"/>
      <c r="C169" s="24">
        <f t="shared" si="34"/>
        <v>1</v>
      </c>
      <c r="D169" s="707"/>
      <c r="E169" s="24">
        <f t="shared" si="35"/>
        <v>0.2</v>
      </c>
      <c r="F169" s="707"/>
      <c r="G169" s="24">
        <f t="shared" si="36"/>
        <v>1</v>
      </c>
      <c r="H169" s="707"/>
      <c r="I169" s="24">
        <f t="shared" si="37"/>
        <v>1</v>
      </c>
      <c r="J169" s="707"/>
      <c r="K169" s="24">
        <f t="shared" si="38"/>
        <v>1</v>
      </c>
      <c r="L169" s="707"/>
      <c r="M169" s="24">
        <f t="shared" si="39"/>
        <v>1</v>
      </c>
      <c r="N169" s="707"/>
      <c r="O169" s="24">
        <f t="shared" si="40"/>
        <v>1</v>
      </c>
      <c r="P169" s="707"/>
      <c r="Q169" s="24">
        <f t="shared" si="41"/>
        <v>1</v>
      </c>
      <c r="R169" s="703">
        <f t="shared" si="42"/>
        <v>0</v>
      </c>
      <c r="S169" s="348">
        <f t="shared" si="33"/>
        <v>0</v>
      </c>
    </row>
    <row r="170" spans="1:19">
      <c r="A170" s="146"/>
      <c r="B170" s="59"/>
      <c r="C170" s="24">
        <f t="shared" si="34"/>
        <v>1</v>
      </c>
      <c r="D170" s="707"/>
      <c r="E170" s="24">
        <f t="shared" si="35"/>
        <v>0.2</v>
      </c>
      <c r="F170" s="707"/>
      <c r="G170" s="24">
        <f t="shared" si="36"/>
        <v>1</v>
      </c>
      <c r="H170" s="707"/>
      <c r="I170" s="24">
        <f t="shared" si="37"/>
        <v>1</v>
      </c>
      <c r="J170" s="707"/>
      <c r="K170" s="24">
        <f t="shared" si="38"/>
        <v>1</v>
      </c>
      <c r="L170" s="707"/>
      <c r="M170" s="24">
        <f t="shared" si="39"/>
        <v>1</v>
      </c>
      <c r="N170" s="707"/>
      <c r="O170" s="24">
        <f t="shared" si="40"/>
        <v>1</v>
      </c>
      <c r="P170" s="707"/>
      <c r="Q170" s="24">
        <f t="shared" si="41"/>
        <v>1</v>
      </c>
      <c r="R170" s="703">
        <f t="shared" si="42"/>
        <v>0</v>
      </c>
      <c r="S170" s="348">
        <f t="shared" si="33"/>
        <v>0</v>
      </c>
    </row>
    <row r="171" spans="1:19">
      <c r="A171" s="146"/>
      <c r="B171" s="59"/>
      <c r="C171" s="24">
        <f t="shared" si="34"/>
        <v>1</v>
      </c>
      <c r="D171" s="707"/>
      <c r="E171" s="24">
        <f t="shared" si="35"/>
        <v>0.2</v>
      </c>
      <c r="F171" s="707"/>
      <c r="G171" s="24">
        <f t="shared" si="36"/>
        <v>1</v>
      </c>
      <c r="H171" s="707"/>
      <c r="I171" s="24">
        <f t="shared" si="37"/>
        <v>1</v>
      </c>
      <c r="J171" s="707"/>
      <c r="K171" s="24">
        <f t="shared" si="38"/>
        <v>1</v>
      </c>
      <c r="L171" s="707"/>
      <c r="M171" s="24">
        <f t="shared" si="39"/>
        <v>1</v>
      </c>
      <c r="N171" s="707"/>
      <c r="O171" s="24">
        <f t="shared" si="40"/>
        <v>1</v>
      </c>
      <c r="P171" s="707"/>
      <c r="Q171" s="24">
        <f t="shared" si="41"/>
        <v>1</v>
      </c>
      <c r="R171" s="703">
        <f t="shared" si="42"/>
        <v>0</v>
      </c>
      <c r="S171" s="348">
        <f t="shared" si="33"/>
        <v>0</v>
      </c>
    </row>
    <row r="172" spans="1:19">
      <c r="A172" s="146"/>
      <c r="B172" s="59"/>
      <c r="C172" s="24">
        <f t="shared" si="34"/>
        <v>1</v>
      </c>
      <c r="D172" s="707"/>
      <c r="E172" s="24">
        <f t="shared" si="35"/>
        <v>0.2</v>
      </c>
      <c r="F172" s="707"/>
      <c r="G172" s="24">
        <f t="shared" si="36"/>
        <v>1</v>
      </c>
      <c r="H172" s="707"/>
      <c r="I172" s="24">
        <f t="shared" si="37"/>
        <v>1</v>
      </c>
      <c r="J172" s="707"/>
      <c r="K172" s="24">
        <f t="shared" si="38"/>
        <v>1</v>
      </c>
      <c r="L172" s="707"/>
      <c r="M172" s="24">
        <f t="shared" si="39"/>
        <v>1</v>
      </c>
      <c r="N172" s="707"/>
      <c r="O172" s="24">
        <f t="shared" si="40"/>
        <v>1</v>
      </c>
      <c r="P172" s="707"/>
      <c r="Q172" s="24">
        <f t="shared" si="41"/>
        <v>1</v>
      </c>
      <c r="R172" s="703">
        <f t="shared" si="42"/>
        <v>0</v>
      </c>
      <c r="S172" s="348">
        <f t="shared" si="33"/>
        <v>0</v>
      </c>
    </row>
    <row r="173" spans="1:19">
      <c r="A173" s="146"/>
      <c r="B173" s="59"/>
      <c r="C173" s="24">
        <f t="shared" si="34"/>
        <v>1</v>
      </c>
      <c r="D173" s="707"/>
      <c r="E173" s="24">
        <f t="shared" si="35"/>
        <v>0.2</v>
      </c>
      <c r="F173" s="707"/>
      <c r="G173" s="24">
        <f t="shared" si="36"/>
        <v>1</v>
      </c>
      <c r="H173" s="707"/>
      <c r="I173" s="24">
        <f t="shared" si="37"/>
        <v>1</v>
      </c>
      <c r="J173" s="707"/>
      <c r="K173" s="24">
        <f t="shared" si="38"/>
        <v>1</v>
      </c>
      <c r="L173" s="707"/>
      <c r="M173" s="24">
        <f t="shared" si="39"/>
        <v>1</v>
      </c>
      <c r="N173" s="707"/>
      <c r="O173" s="24">
        <f t="shared" si="40"/>
        <v>1</v>
      </c>
      <c r="P173" s="707"/>
      <c r="Q173" s="24">
        <f t="shared" si="41"/>
        <v>1</v>
      </c>
      <c r="R173" s="703">
        <f t="shared" si="42"/>
        <v>0</v>
      </c>
      <c r="S173" s="348">
        <f t="shared" si="33"/>
        <v>0</v>
      </c>
    </row>
    <row r="174" spans="1:19">
      <c r="A174" s="146"/>
      <c r="B174" s="59"/>
      <c r="C174" s="24">
        <f t="shared" si="34"/>
        <v>1</v>
      </c>
      <c r="D174" s="707"/>
      <c r="E174" s="24">
        <f t="shared" si="35"/>
        <v>0.2</v>
      </c>
      <c r="F174" s="707"/>
      <c r="G174" s="24">
        <f t="shared" si="36"/>
        <v>1</v>
      </c>
      <c r="H174" s="707"/>
      <c r="I174" s="24">
        <f t="shared" si="37"/>
        <v>1</v>
      </c>
      <c r="J174" s="707"/>
      <c r="K174" s="24">
        <f t="shared" si="38"/>
        <v>1</v>
      </c>
      <c r="L174" s="707"/>
      <c r="M174" s="24">
        <f t="shared" si="39"/>
        <v>1</v>
      </c>
      <c r="N174" s="707"/>
      <c r="O174" s="24">
        <f t="shared" si="40"/>
        <v>1</v>
      </c>
      <c r="P174" s="707"/>
      <c r="Q174" s="24">
        <f t="shared" si="41"/>
        <v>1</v>
      </c>
      <c r="R174" s="703">
        <f t="shared" si="42"/>
        <v>0</v>
      </c>
      <c r="S174" s="348">
        <f t="shared" si="33"/>
        <v>0</v>
      </c>
    </row>
    <row r="175" spans="1:19">
      <c r="A175" s="146"/>
      <c r="B175" s="59"/>
      <c r="C175" s="24">
        <f t="shared" si="34"/>
        <v>1</v>
      </c>
      <c r="D175" s="707"/>
      <c r="E175" s="24">
        <f t="shared" si="35"/>
        <v>0.2</v>
      </c>
      <c r="F175" s="707"/>
      <c r="G175" s="24">
        <f t="shared" si="36"/>
        <v>1</v>
      </c>
      <c r="H175" s="707"/>
      <c r="I175" s="24">
        <f t="shared" si="37"/>
        <v>1</v>
      </c>
      <c r="J175" s="707"/>
      <c r="K175" s="24">
        <f t="shared" si="38"/>
        <v>1</v>
      </c>
      <c r="L175" s="707"/>
      <c r="M175" s="24">
        <f t="shared" si="39"/>
        <v>1</v>
      </c>
      <c r="N175" s="707"/>
      <c r="O175" s="24">
        <f t="shared" si="40"/>
        <v>1</v>
      </c>
      <c r="P175" s="707"/>
      <c r="Q175" s="24">
        <f t="shared" si="41"/>
        <v>1</v>
      </c>
      <c r="R175" s="703">
        <f t="shared" si="42"/>
        <v>0</v>
      </c>
      <c r="S175" s="348">
        <f t="shared" si="33"/>
        <v>0</v>
      </c>
    </row>
    <row r="176" spans="1:19">
      <c r="A176" s="146"/>
      <c r="B176" s="59"/>
      <c r="C176" s="24">
        <f t="shared" si="34"/>
        <v>1</v>
      </c>
      <c r="D176" s="707"/>
      <c r="E176" s="24">
        <f t="shared" si="35"/>
        <v>0.2</v>
      </c>
      <c r="F176" s="707"/>
      <c r="G176" s="24">
        <f t="shared" si="36"/>
        <v>1</v>
      </c>
      <c r="H176" s="707"/>
      <c r="I176" s="24">
        <f t="shared" si="37"/>
        <v>1</v>
      </c>
      <c r="J176" s="707"/>
      <c r="K176" s="24">
        <f t="shared" si="38"/>
        <v>1</v>
      </c>
      <c r="L176" s="707"/>
      <c r="M176" s="24">
        <f t="shared" si="39"/>
        <v>1</v>
      </c>
      <c r="N176" s="707"/>
      <c r="O176" s="24">
        <f t="shared" si="40"/>
        <v>1</v>
      </c>
      <c r="P176" s="707"/>
      <c r="Q176" s="24">
        <f t="shared" si="41"/>
        <v>1</v>
      </c>
      <c r="R176" s="703">
        <f t="shared" si="42"/>
        <v>0</v>
      </c>
      <c r="S176" s="348">
        <f t="shared" si="33"/>
        <v>0</v>
      </c>
    </row>
    <row r="177" spans="1:19">
      <c r="A177" s="146"/>
      <c r="B177" s="59"/>
      <c r="C177" s="24">
        <f t="shared" si="34"/>
        <v>1</v>
      </c>
      <c r="D177" s="707"/>
      <c r="E177" s="24">
        <f t="shared" si="35"/>
        <v>0.2</v>
      </c>
      <c r="F177" s="707"/>
      <c r="G177" s="24">
        <f t="shared" si="36"/>
        <v>1</v>
      </c>
      <c r="H177" s="707"/>
      <c r="I177" s="24">
        <f t="shared" si="37"/>
        <v>1</v>
      </c>
      <c r="J177" s="707"/>
      <c r="K177" s="24">
        <f t="shared" si="38"/>
        <v>1</v>
      </c>
      <c r="L177" s="707"/>
      <c r="M177" s="24">
        <f t="shared" si="39"/>
        <v>1</v>
      </c>
      <c r="N177" s="707"/>
      <c r="O177" s="24">
        <f t="shared" si="40"/>
        <v>1</v>
      </c>
      <c r="P177" s="707"/>
      <c r="Q177" s="24">
        <f t="shared" si="41"/>
        <v>1</v>
      </c>
      <c r="R177" s="703">
        <f t="shared" si="42"/>
        <v>0</v>
      </c>
      <c r="S177" s="348">
        <f t="shared" si="33"/>
        <v>0</v>
      </c>
    </row>
    <row r="178" spans="1:19">
      <c r="A178" s="146"/>
      <c r="B178" s="59"/>
      <c r="C178" s="24">
        <f t="shared" si="34"/>
        <v>1</v>
      </c>
      <c r="D178" s="707"/>
      <c r="E178" s="24">
        <f t="shared" si="35"/>
        <v>0.2</v>
      </c>
      <c r="F178" s="707"/>
      <c r="G178" s="24">
        <f t="shared" si="36"/>
        <v>1</v>
      </c>
      <c r="H178" s="707"/>
      <c r="I178" s="24">
        <f t="shared" si="37"/>
        <v>1</v>
      </c>
      <c r="J178" s="707"/>
      <c r="K178" s="24">
        <f t="shared" si="38"/>
        <v>1</v>
      </c>
      <c r="L178" s="707"/>
      <c r="M178" s="24">
        <f t="shared" si="39"/>
        <v>1</v>
      </c>
      <c r="N178" s="707"/>
      <c r="O178" s="24">
        <f t="shared" si="40"/>
        <v>1</v>
      </c>
      <c r="P178" s="707"/>
      <c r="Q178" s="24">
        <f t="shared" si="41"/>
        <v>1</v>
      </c>
      <c r="R178" s="703">
        <f t="shared" si="42"/>
        <v>0</v>
      </c>
      <c r="S178" s="348">
        <f t="shared" si="33"/>
        <v>0</v>
      </c>
    </row>
    <row r="179" spans="1:19">
      <c r="A179" s="146"/>
      <c r="B179" s="59"/>
      <c r="C179" s="24">
        <f t="shared" si="34"/>
        <v>1</v>
      </c>
      <c r="D179" s="707"/>
      <c r="E179" s="24">
        <f t="shared" si="35"/>
        <v>0.2</v>
      </c>
      <c r="F179" s="707"/>
      <c r="G179" s="24">
        <f t="shared" si="36"/>
        <v>1</v>
      </c>
      <c r="H179" s="707"/>
      <c r="I179" s="24">
        <f t="shared" si="37"/>
        <v>1</v>
      </c>
      <c r="J179" s="707"/>
      <c r="K179" s="24">
        <f t="shared" si="38"/>
        <v>1</v>
      </c>
      <c r="L179" s="707"/>
      <c r="M179" s="24">
        <f t="shared" si="39"/>
        <v>1</v>
      </c>
      <c r="N179" s="707"/>
      <c r="O179" s="24">
        <f t="shared" si="40"/>
        <v>1</v>
      </c>
      <c r="P179" s="707"/>
      <c r="Q179" s="24">
        <f t="shared" si="41"/>
        <v>1</v>
      </c>
      <c r="R179" s="703">
        <f t="shared" si="42"/>
        <v>0</v>
      </c>
      <c r="S179" s="348">
        <f t="shared" si="33"/>
        <v>0</v>
      </c>
    </row>
    <row r="180" spans="1:19">
      <c r="A180" s="146"/>
      <c r="B180" s="59"/>
      <c r="C180" s="24">
        <f t="shared" si="34"/>
        <v>1</v>
      </c>
      <c r="D180" s="707"/>
      <c r="E180" s="24">
        <f t="shared" si="35"/>
        <v>0.2</v>
      </c>
      <c r="F180" s="707"/>
      <c r="G180" s="24">
        <f t="shared" si="36"/>
        <v>1</v>
      </c>
      <c r="H180" s="707"/>
      <c r="I180" s="24">
        <f t="shared" si="37"/>
        <v>1</v>
      </c>
      <c r="J180" s="707"/>
      <c r="K180" s="24">
        <f t="shared" si="38"/>
        <v>1</v>
      </c>
      <c r="L180" s="707"/>
      <c r="M180" s="24">
        <f t="shared" si="39"/>
        <v>1</v>
      </c>
      <c r="N180" s="707"/>
      <c r="O180" s="24">
        <f t="shared" si="40"/>
        <v>1</v>
      </c>
      <c r="P180" s="707"/>
      <c r="Q180" s="24">
        <f t="shared" si="41"/>
        <v>1</v>
      </c>
      <c r="R180" s="703">
        <f t="shared" si="42"/>
        <v>0</v>
      </c>
      <c r="S180" s="348">
        <f t="shared" si="33"/>
        <v>0</v>
      </c>
    </row>
    <row r="181" spans="1:19">
      <c r="A181" s="146"/>
      <c r="B181" s="59"/>
      <c r="C181" s="24">
        <f t="shared" si="34"/>
        <v>1</v>
      </c>
      <c r="D181" s="707"/>
      <c r="E181" s="24">
        <f t="shared" si="35"/>
        <v>0.2</v>
      </c>
      <c r="F181" s="707"/>
      <c r="G181" s="24">
        <f t="shared" si="36"/>
        <v>1</v>
      </c>
      <c r="H181" s="707"/>
      <c r="I181" s="24">
        <f t="shared" si="37"/>
        <v>1</v>
      </c>
      <c r="J181" s="707"/>
      <c r="K181" s="24">
        <f t="shared" si="38"/>
        <v>1</v>
      </c>
      <c r="L181" s="707"/>
      <c r="M181" s="24">
        <f t="shared" si="39"/>
        <v>1</v>
      </c>
      <c r="N181" s="707"/>
      <c r="O181" s="24">
        <f t="shared" si="40"/>
        <v>1</v>
      </c>
      <c r="P181" s="707"/>
      <c r="Q181" s="24">
        <f t="shared" si="41"/>
        <v>1</v>
      </c>
      <c r="R181" s="703">
        <f t="shared" si="42"/>
        <v>0</v>
      </c>
      <c r="S181" s="348">
        <f t="shared" si="33"/>
        <v>0</v>
      </c>
    </row>
    <row r="182" spans="1:19">
      <c r="A182" s="146"/>
      <c r="B182" s="59"/>
      <c r="C182" s="24">
        <f t="shared" si="34"/>
        <v>1</v>
      </c>
      <c r="D182" s="707"/>
      <c r="E182" s="24">
        <f t="shared" si="35"/>
        <v>0.2</v>
      </c>
      <c r="F182" s="707"/>
      <c r="G182" s="24">
        <f t="shared" si="36"/>
        <v>1</v>
      </c>
      <c r="H182" s="707"/>
      <c r="I182" s="24">
        <f t="shared" si="37"/>
        <v>1</v>
      </c>
      <c r="J182" s="707"/>
      <c r="K182" s="24">
        <f t="shared" si="38"/>
        <v>1</v>
      </c>
      <c r="L182" s="707"/>
      <c r="M182" s="24">
        <f t="shared" si="39"/>
        <v>1</v>
      </c>
      <c r="N182" s="707"/>
      <c r="O182" s="24">
        <f t="shared" si="40"/>
        <v>1</v>
      </c>
      <c r="P182" s="707"/>
      <c r="Q182" s="24">
        <f t="shared" si="41"/>
        <v>1</v>
      </c>
      <c r="R182" s="703">
        <f t="shared" si="42"/>
        <v>0</v>
      </c>
      <c r="S182" s="348">
        <f t="shared" si="33"/>
        <v>0</v>
      </c>
    </row>
    <row r="183" spans="1:19">
      <c r="A183" s="146"/>
      <c r="B183" s="59"/>
      <c r="C183" s="24">
        <f t="shared" si="34"/>
        <v>1</v>
      </c>
      <c r="D183" s="707"/>
      <c r="E183" s="24">
        <f t="shared" si="35"/>
        <v>0.2</v>
      </c>
      <c r="F183" s="707"/>
      <c r="G183" s="24">
        <f t="shared" si="36"/>
        <v>1</v>
      </c>
      <c r="H183" s="707"/>
      <c r="I183" s="24">
        <f t="shared" si="37"/>
        <v>1</v>
      </c>
      <c r="J183" s="707"/>
      <c r="K183" s="24">
        <f t="shared" si="38"/>
        <v>1</v>
      </c>
      <c r="L183" s="707"/>
      <c r="M183" s="24">
        <f t="shared" si="39"/>
        <v>1</v>
      </c>
      <c r="N183" s="707"/>
      <c r="O183" s="24">
        <f t="shared" si="40"/>
        <v>1</v>
      </c>
      <c r="P183" s="707"/>
      <c r="Q183" s="24">
        <f t="shared" si="41"/>
        <v>1</v>
      </c>
      <c r="R183" s="703">
        <f t="shared" si="42"/>
        <v>0</v>
      </c>
      <c r="S183" s="348">
        <f t="shared" si="33"/>
        <v>0</v>
      </c>
    </row>
    <row r="184" spans="1:19">
      <c r="A184" s="146"/>
      <c r="B184" s="59"/>
      <c r="C184" s="24">
        <f t="shared" si="34"/>
        <v>1</v>
      </c>
      <c r="D184" s="707"/>
      <c r="E184" s="24">
        <f t="shared" si="35"/>
        <v>0.2</v>
      </c>
      <c r="F184" s="707"/>
      <c r="G184" s="24">
        <f t="shared" si="36"/>
        <v>1</v>
      </c>
      <c r="H184" s="707"/>
      <c r="I184" s="24">
        <f t="shared" si="37"/>
        <v>1</v>
      </c>
      <c r="J184" s="707"/>
      <c r="K184" s="24">
        <f t="shared" si="38"/>
        <v>1</v>
      </c>
      <c r="L184" s="707"/>
      <c r="M184" s="24">
        <f t="shared" si="39"/>
        <v>1</v>
      </c>
      <c r="N184" s="707"/>
      <c r="O184" s="24">
        <f t="shared" si="40"/>
        <v>1</v>
      </c>
      <c r="P184" s="707"/>
      <c r="Q184" s="24">
        <f t="shared" si="41"/>
        <v>1</v>
      </c>
      <c r="R184" s="703">
        <f t="shared" si="42"/>
        <v>0</v>
      </c>
      <c r="S184" s="348">
        <f t="shared" si="33"/>
        <v>0</v>
      </c>
    </row>
    <row r="185" spans="1:19">
      <c r="A185" s="146"/>
      <c r="B185" s="59"/>
      <c r="C185" s="24">
        <f t="shared" si="34"/>
        <v>1</v>
      </c>
      <c r="D185" s="707"/>
      <c r="E185" s="24">
        <f t="shared" si="35"/>
        <v>0.2</v>
      </c>
      <c r="F185" s="707"/>
      <c r="G185" s="24">
        <f t="shared" si="36"/>
        <v>1</v>
      </c>
      <c r="H185" s="707"/>
      <c r="I185" s="24">
        <f t="shared" si="37"/>
        <v>1</v>
      </c>
      <c r="J185" s="707"/>
      <c r="K185" s="24">
        <f t="shared" si="38"/>
        <v>1</v>
      </c>
      <c r="L185" s="707"/>
      <c r="M185" s="24">
        <f t="shared" si="39"/>
        <v>1</v>
      </c>
      <c r="N185" s="707"/>
      <c r="O185" s="24">
        <f t="shared" si="40"/>
        <v>1</v>
      </c>
      <c r="P185" s="707"/>
      <c r="Q185" s="24">
        <f t="shared" si="41"/>
        <v>1</v>
      </c>
      <c r="R185" s="703">
        <f t="shared" si="42"/>
        <v>0</v>
      </c>
      <c r="S185" s="348">
        <f t="shared" si="33"/>
        <v>0</v>
      </c>
    </row>
    <row r="186" spans="1:19">
      <c r="A186" s="146"/>
      <c r="B186" s="59"/>
      <c r="C186" s="24">
        <f t="shared" si="34"/>
        <v>1</v>
      </c>
      <c r="D186" s="707"/>
      <c r="E186" s="24">
        <f t="shared" si="35"/>
        <v>0.2</v>
      </c>
      <c r="F186" s="707"/>
      <c r="G186" s="24">
        <f t="shared" si="36"/>
        <v>1</v>
      </c>
      <c r="H186" s="707"/>
      <c r="I186" s="24">
        <f t="shared" si="37"/>
        <v>1</v>
      </c>
      <c r="J186" s="707"/>
      <c r="K186" s="24">
        <f t="shared" si="38"/>
        <v>1</v>
      </c>
      <c r="L186" s="707"/>
      <c r="M186" s="24">
        <f t="shared" si="39"/>
        <v>1</v>
      </c>
      <c r="N186" s="707"/>
      <c r="O186" s="24">
        <f t="shared" si="40"/>
        <v>1</v>
      </c>
      <c r="P186" s="707"/>
      <c r="Q186" s="24">
        <f t="shared" si="41"/>
        <v>1</v>
      </c>
      <c r="R186" s="703">
        <f t="shared" si="42"/>
        <v>0</v>
      </c>
      <c r="S186" s="348">
        <f t="shared" si="33"/>
        <v>0</v>
      </c>
    </row>
    <row r="187" spans="1:19">
      <c r="A187" s="146"/>
      <c r="B187" s="59"/>
      <c r="C187" s="24">
        <f t="shared" si="34"/>
        <v>1</v>
      </c>
      <c r="D187" s="707"/>
      <c r="E187" s="24">
        <f t="shared" si="35"/>
        <v>0.2</v>
      </c>
      <c r="F187" s="707"/>
      <c r="G187" s="24">
        <f t="shared" si="36"/>
        <v>1</v>
      </c>
      <c r="H187" s="707"/>
      <c r="I187" s="24">
        <f t="shared" si="37"/>
        <v>1</v>
      </c>
      <c r="J187" s="707"/>
      <c r="K187" s="24">
        <f t="shared" si="38"/>
        <v>1</v>
      </c>
      <c r="L187" s="707"/>
      <c r="M187" s="24">
        <f t="shared" si="39"/>
        <v>1</v>
      </c>
      <c r="N187" s="707"/>
      <c r="O187" s="24">
        <f t="shared" si="40"/>
        <v>1</v>
      </c>
      <c r="P187" s="707"/>
      <c r="Q187" s="24">
        <f t="shared" si="41"/>
        <v>1</v>
      </c>
      <c r="R187" s="703">
        <f t="shared" si="42"/>
        <v>0</v>
      </c>
      <c r="S187" s="348">
        <f t="shared" ref="S187:S222" si="43">ROUND(R187*B187/10000,0)</f>
        <v>0</v>
      </c>
    </row>
    <row r="188" spans="1:19">
      <c r="A188" s="146"/>
      <c r="B188" s="59"/>
      <c r="C188" s="24">
        <f t="shared" si="34"/>
        <v>1</v>
      </c>
      <c r="D188" s="707"/>
      <c r="E188" s="24">
        <f t="shared" si="35"/>
        <v>0.2</v>
      </c>
      <c r="F188" s="707"/>
      <c r="G188" s="24">
        <f t="shared" si="36"/>
        <v>1</v>
      </c>
      <c r="H188" s="707"/>
      <c r="I188" s="24">
        <f t="shared" si="37"/>
        <v>1</v>
      </c>
      <c r="J188" s="707"/>
      <c r="K188" s="24">
        <f t="shared" si="38"/>
        <v>1</v>
      </c>
      <c r="L188" s="707"/>
      <c r="M188" s="24">
        <f t="shared" si="39"/>
        <v>1</v>
      </c>
      <c r="N188" s="707"/>
      <c r="O188" s="24">
        <f t="shared" si="40"/>
        <v>1</v>
      </c>
      <c r="P188" s="707"/>
      <c r="Q188" s="24">
        <f t="shared" si="41"/>
        <v>1</v>
      </c>
      <c r="R188" s="703">
        <f t="shared" si="42"/>
        <v>0</v>
      </c>
      <c r="S188" s="348">
        <f t="shared" si="43"/>
        <v>0</v>
      </c>
    </row>
    <row r="189" spans="1:19">
      <c r="A189" s="146"/>
      <c r="B189" s="59"/>
      <c r="C189" s="24">
        <f t="shared" si="34"/>
        <v>1</v>
      </c>
      <c r="D189" s="707"/>
      <c r="E189" s="24">
        <f t="shared" si="35"/>
        <v>0.2</v>
      </c>
      <c r="F189" s="707"/>
      <c r="G189" s="24">
        <f t="shared" si="36"/>
        <v>1</v>
      </c>
      <c r="H189" s="707"/>
      <c r="I189" s="24">
        <f t="shared" si="37"/>
        <v>1</v>
      </c>
      <c r="J189" s="707"/>
      <c r="K189" s="24">
        <f t="shared" si="38"/>
        <v>1</v>
      </c>
      <c r="L189" s="707"/>
      <c r="M189" s="24">
        <f t="shared" si="39"/>
        <v>1</v>
      </c>
      <c r="N189" s="707"/>
      <c r="O189" s="24">
        <f t="shared" si="40"/>
        <v>1</v>
      </c>
      <c r="P189" s="707"/>
      <c r="Q189" s="24">
        <f t="shared" si="41"/>
        <v>1</v>
      </c>
      <c r="R189" s="703">
        <f t="shared" si="42"/>
        <v>0</v>
      </c>
      <c r="S189" s="348">
        <f t="shared" si="43"/>
        <v>0</v>
      </c>
    </row>
    <row r="190" spans="1:19">
      <c r="A190" s="146"/>
      <c r="B190" s="59"/>
      <c r="C190" s="24">
        <f t="shared" si="34"/>
        <v>1</v>
      </c>
      <c r="D190" s="707"/>
      <c r="E190" s="24">
        <f t="shared" si="35"/>
        <v>0.2</v>
      </c>
      <c r="F190" s="707"/>
      <c r="G190" s="24">
        <f t="shared" si="36"/>
        <v>1</v>
      </c>
      <c r="H190" s="707"/>
      <c r="I190" s="24">
        <f t="shared" si="37"/>
        <v>1</v>
      </c>
      <c r="J190" s="707"/>
      <c r="K190" s="24">
        <f t="shared" si="38"/>
        <v>1</v>
      </c>
      <c r="L190" s="707"/>
      <c r="M190" s="24">
        <f t="shared" si="39"/>
        <v>1</v>
      </c>
      <c r="N190" s="707"/>
      <c r="O190" s="24">
        <f t="shared" si="40"/>
        <v>1</v>
      </c>
      <c r="P190" s="707"/>
      <c r="Q190" s="24">
        <f t="shared" si="41"/>
        <v>1</v>
      </c>
      <c r="R190" s="703">
        <f t="shared" si="42"/>
        <v>0</v>
      </c>
      <c r="S190" s="348">
        <f t="shared" si="43"/>
        <v>0</v>
      </c>
    </row>
    <row r="191" spans="1:19">
      <c r="A191" s="146"/>
      <c r="B191" s="59"/>
      <c r="C191" s="24">
        <f t="shared" si="34"/>
        <v>1</v>
      </c>
      <c r="D191" s="707"/>
      <c r="E191" s="24">
        <f t="shared" si="35"/>
        <v>0.2</v>
      </c>
      <c r="F191" s="707"/>
      <c r="G191" s="24">
        <f t="shared" si="36"/>
        <v>1</v>
      </c>
      <c r="H191" s="707"/>
      <c r="I191" s="24">
        <f t="shared" si="37"/>
        <v>1</v>
      </c>
      <c r="J191" s="707"/>
      <c r="K191" s="24">
        <f t="shared" si="38"/>
        <v>1</v>
      </c>
      <c r="L191" s="707"/>
      <c r="M191" s="24">
        <f t="shared" si="39"/>
        <v>1</v>
      </c>
      <c r="N191" s="707"/>
      <c r="O191" s="24">
        <f t="shared" si="40"/>
        <v>1</v>
      </c>
      <c r="P191" s="707"/>
      <c r="Q191" s="24">
        <f t="shared" si="41"/>
        <v>1</v>
      </c>
      <c r="R191" s="703">
        <f t="shared" si="42"/>
        <v>0</v>
      </c>
      <c r="S191" s="348">
        <f t="shared" si="43"/>
        <v>0</v>
      </c>
    </row>
    <row r="192" spans="1:19">
      <c r="A192" s="146"/>
      <c r="B192" s="59"/>
      <c r="C192" s="24">
        <f t="shared" si="34"/>
        <v>1</v>
      </c>
      <c r="D192" s="707"/>
      <c r="E192" s="24">
        <f t="shared" si="35"/>
        <v>0.2</v>
      </c>
      <c r="F192" s="707"/>
      <c r="G192" s="24">
        <f t="shared" si="36"/>
        <v>1</v>
      </c>
      <c r="H192" s="707"/>
      <c r="I192" s="24">
        <f t="shared" si="37"/>
        <v>1</v>
      </c>
      <c r="J192" s="707"/>
      <c r="K192" s="24">
        <f t="shared" si="38"/>
        <v>1</v>
      </c>
      <c r="L192" s="707"/>
      <c r="M192" s="24">
        <f t="shared" si="39"/>
        <v>1</v>
      </c>
      <c r="N192" s="707"/>
      <c r="O192" s="24">
        <f t="shared" si="40"/>
        <v>1</v>
      </c>
      <c r="P192" s="707"/>
      <c r="Q192" s="24">
        <f t="shared" si="41"/>
        <v>1</v>
      </c>
      <c r="R192" s="703">
        <f t="shared" si="42"/>
        <v>0</v>
      </c>
      <c r="S192" s="348">
        <f t="shared" si="43"/>
        <v>0</v>
      </c>
    </row>
    <row r="193" spans="1:19">
      <c r="A193" s="146"/>
      <c r="B193" s="59"/>
      <c r="C193" s="24">
        <f t="shared" si="34"/>
        <v>1</v>
      </c>
      <c r="D193" s="707"/>
      <c r="E193" s="24">
        <f t="shared" si="35"/>
        <v>0.2</v>
      </c>
      <c r="F193" s="707"/>
      <c r="G193" s="24">
        <f t="shared" si="36"/>
        <v>1</v>
      </c>
      <c r="H193" s="707"/>
      <c r="I193" s="24">
        <f t="shared" si="37"/>
        <v>1</v>
      </c>
      <c r="J193" s="707"/>
      <c r="K193" s="24">
        <f t="shared" si="38"/>
        <v>1</v>
      </c>
      <c r="L193" s="707"/>
      <c r="M193" s="24">
        <f t="shared" si="39"/>
        <v>1</v>
      </c>
      <c r="N193" s="707"/>
      <c r="O193" s="24">
        <f t="shared" si="40"/>
        <v>1</v>
      </c>
      <c r="P193" s="707"/>
      <c r="Q193" s="24">
        <f t="shared" si="41"/>
        <v>1</v>
      </c>
      <c r="R193" s="703">
        <f t="shared" si="42"/>
        <v>0</v>
      </c>
      <c r="S193" s="348">
        <f t="shared" si="43"/>
        <v>0</v>
      </c>
    </row>
    <row r="194" spans="1:19">
      <c r="A194" s="146"/>
      <c r="B194" s="59"/>
      <c r="C194" s="24">
        <f t="shared" si="34"/>
        <v>1</v>
      </c>
      <c r="D194" s="707"/>
      <c r="E194" s="24">
        <f t="shared" si="35"/>
        <v>0.2</v>
      </c>
      <c r="F194" s="707"/>
      <c r="G194" s="24">
        <f t="shared" si="36"/>
        <v>1</v>
      </c>
      <c r="H194" s="707"/>
      <c r="I194" s="24">
        <f t="shared" si="37"/>
        <v>1</v>
      </c>
      <c r="J194" s="707"/>
      <c r="K194" s="24">
        <f t="shared" si="38"/>
        <v>1</v>
      </c>
      <c r="L194" s="707"/>
      <c r="M194" s="24">
        <f t="shared" si="39"/>
        <v>1</v>
      </c>
      <c r="N194" s="707"/>
      <c r="O194" s="24">
        <f t="shared" si="40"/>
        <v>1</v>
      </c>
      <c r="P194" s="707"/>
      <c r="Q194" s="24">
        <f t="shared" si="41"/>
        <v>1</v>
      </c>
      <c r="R194" s="703">
        <f t="shared" si="42"/>
        <v>0</v>
      </c>
      <c r="S194" s="348">
        <f t="shared" si="43"/>
        <v>0</v>
      </c>
    </row>
    <row r="195" spans="1:19">
      <c r="A195" s="146"/>
      <c r="B195" s="59"/>
      <c r="C195" s="24">
        <f t="shared" si="34"/>
        <v>1</v>
      </c>
      <c r="D195" s="707"/>
      <c r="E195" s="24">
        <f t="shared" si="35"/>
        <v>0.2</v>
      </c>
      <c r="F195" s="707"/>
      <c r="G195" s="24">
        <f t="shared" si="36"/>
        <v>1</v>
      </c>
      <c r="H195" s="707"/>
      <c r="I195" s="24">
        <f t="shared" si="37"/>
        <v>1</v>
      </c>
      <c r="J195" s="707"/>
      <c r="K195" s="24">
        <f t="shared" si="38"/>
        <v>1</v>
      </c>
      <c r="L195" s="707"/>
      <c r="M195" s="24">
        <f t="shared" si="39"/>
        <v>1</v>
      </c>
      <c r="N195" s="707"/>
      <c r="O195" s="24">
        <f t="shared" si="40"/>
        <v>1</v>
      </c>
      <c r="P195" s="707"/>
      <c r="Q195" s="24">
        <f t="shared" si="41"/>
        <v>1</v>
      </c>
      <c r="R195" s="703">
        <f t="shared" si="42"/>
        <v>0</v>
      </c>
      <c r="S195" s="348">
        <f t="shared" si="43"/>
        <v>0</v>
      </c>
    </row>
    <row r="196" spans="1:19">
      <c r="A196" s="146"/>
      <c r="B196" s="59"/>
      <c r="C196" s="24">
        <f t="shared" si="34"/>
        <v>1</v>
      </c>
      <c r="D196" s="707"/>
      <c r="E196" s="24">
        <f t="shared" si="35"/>
        <v>0.2</v>
      </c>
      <c r="F196" s="707"/>
      <c r="G196" s="24">
        <f t="shared" si="36"/>
        <v>1</v>
      </c>
      <c r="H196" s="707"/>
      <c r="I196" s="24">
        <f t="shared" si="37"/>
        <v>1</v>
      </c>
      <c r="J196" s="707"/>
      <c r="K196" s="24">
        <f t="shared" si="38"/>
        <v>1</v>
      </c>
      <c r="L196" s="707"/>
      <c r="M196" s="24">
        <f t="shared" si="39"/>
        <v>1</v>
      </c>
      <c r="N196" s="707"/>
      <c r="O196" s="24">
        <f t="shared" si="40"/>
        <v>1</v>
      </c>
      <c r="P196" s="707"/>
      <c r="Q196" s="24">
        <f t="shared" si="41"/>
        <v>1</v>
      </c>
      <c r="R196" s="703">
        <f t="shared" si="42"/>
        <v>0</v>
      </c>
      <c r="S196" s="348">
        <f t="shared" si="43"/>
        <v>0</v>
      </c>
    </row>
    <row r="197" spans="1:19">
      <c r="A197" s="146"/>
      <c r="B197" s="59"/>
      <c r="C197" s="24">
        <f t="shared" si="34"/>
        <v>1</v>
      </c>
      <c r="D197" s="707"/>
      <c r="E197" s="24">
        <f t="shared" si="35"/>
        <v>0.2</v>
      </c>
      <c r="F197" s="707"/>
      <c r="G197" s="24">
        <f t="shared" si="36"/>
        <v>1</v>
      </c>
      <c r="H197" s="707"/>
      <c r="I197" s="24">
        <f t="shared" si="37"/>
        <v>1</v>
      </c>
      <c r="J197" s="707"/>
      <c r="K197" s="24">
        <f t="shared" si="38"/>
        <v>1</v>
      </c>
      <c r="L197" s="707"/>
      <c r="M197" s="24">
        <f t="shared" si="39"/>
        <v>1</v>
      </c>
      <c r="N197" s="707"/>
      <c r="O197" s="24">
        <f t="shared" si="40"/>
        <v>1</v>
      </c>
      <c r="P197" s="707"/>
      <c r="Q197" s="24">
        <f t="shared" si="41"/>
        <v>1</v>
      </c>
      <c r="R197" s="703">
        <f t="shared" si="42"/>
        <v>0</v>
      </c>
      <c r="S197" s="348">
        <f t="shared" si="43"/>
        <v>0</v>
      </c>
    </row>
    <row r="198" spans="1:19">
      <c r="A198" s="146"/>
      <c r="B198" s="59"/>
      <c r="C198" s="24">
        <f t="shared" si="34"/>
        <v>1</v>
      </c>
      <c r="D198" s="707"/>
      <c r="E198" s="24">
        <f t="shared" si="35"/>
        <v>0.2</v>
      </c>
      <c r="F198" s="707"/>
      <c r="G198" s="24">
        <f t="shared" si="36"/>
        <v>1</v>
      </c>
      <c r="H198" s="707"/>
      <c r="I198" s="24">
        <f t="shared" si="37"/>
        <v>1</v>
      </c>
      <c r="J198" s="707"/>
      <c r="K198" s="24">
        <f t="shared" si="38"/>
        <v>1</v>
      </c>
      <c r="L198" s="707"/>
      <c r="M198" s="24">
        <f t="shared" si="39"/>
        <v>1</v>
      </c>
      <c r="N198" s="707"/>
      <c r="O198" s="24">
        <f t="shared" si="40"/>
        <v>1</v>
      </c>
      <c r="P198" s="707"/>
      <c r="Q198" s="24">
        <f t="shared" si="41"/>
        <v>1</v>
      </c>
      <c r="R198" s="703">
        <f t="shared" si="42"/>
        <v>0</v>
      </c>
      <c r="S198" s="348">
        <f t="shared" si="43"/>
        <v>0</v>
      </c>
    </row>
    <row r="199" spans="1:19">
      <c r="A199" s="146"/>
      <c r="B199" s="59"/>
      <c r="C199" s="24">
        <f t="shared" si="34"/>
        <v>1</v>
      </c>
      <c r="D199" s="707"/>
      <c r="E199" s="24">
        <f t="shared" si="35"/>
        <v>0.2</v>
      </c>
      <c r="F199" s="707"/>
      <c r="G199" s="24">
        <f t="shared" si="36"/>
        <v>1</v>
      </c>
      <c r="H199" s="707"/>
      <c r="I199" s="24">
        <f t="shared" si="37"/>
        <v>1</v>
      </c>
      <c r="J199" s="707"/>
      <c r="K199" s="24">
        <f t="shared" si="38"/>
        <v>1</v>
      </c>
      <c r="L199" s="707"/>
      <c r="M199" s="24">
        <f t="shared" si="39"/>
        <v>1</v>
      </c>
      <c r="N199" s="707"/>
      <c r="O199" s="24">
        <f t="shared" si="40"/>
        <v>1</v>
      </c>
      <c r="P199" s="707"/>
      <c r="Q199" s="24">
        <f t="shared" si="41"/>
        <v>1</v>
      </c>
      <c r="R199" s="703">
        <f t="shared" si="42"/>
        <v>0</v>
      </c>
      <c r="S199" s="348">
        <f t="shared" si="43"/>
        <v>0</v>
      </c>
    </row>
    <row r="200" spans="1:19">
      <c r="A200" s="146"/>
      <c r="B200" s="59"/>
      <c r="C200" s="24">
        <f t="shared" si="34"/>
        <v>1</v>
      </c>
      <c r="D200" s="707"/>
      <c r="E200" s="24">
        <f t="shared" si="35"/>
        <v>0.2</v>
      </c>
      <c r="F200" s="707"/>
      <c r="G200" s="24">
        <f t="shared" si="36"/>
        <v>1</v>
      </c>
      <c r="H200" s="707"/>
      <c r="I200" s="24">
        <f t="shared" si="37"/>
        <v>1</v>
      </c>
      <c r="J200" s="707"/>
      <c r="K200" s="24">
        <f t="shared" si="38"/>
        <v>1</v>
      </c>
      <c r="L200" s="707"/>
      <c r="M200" s="24">
        <f t="shared" si="39"/>
        <v>1</v>
      </c>
      <c r="N200" s="707"/>
      <c r="O200" s="24">
        <f t="shared" si="40"/>
        <v>1</v>
      </c>
      <c r="P200" s="707"/>
      <c r="Q200" s="24">
        <f t="shared" si="41"/>
        <v>1</v>
      </c>
      <c r="R200" s="703">
        <f t="shared" si="42"/>
        <v>0</v>
      </c>
      <c r="S200" s="348">
        <f t="shared" si="43"/>
        <v>0</v>
      </c>
    </row>
    <row r="201" spans="1:19">
      <c r="A201" s="146"/>
      <c r="B201" s="59"/>
      <c r="C201" s="24">
        <f t="shared" si="34"/>
        <v>1</v>
      </c>
      <c r="D201" s="707"/>
      <c r="E201" s="24">
        <f t="shared" si="35"/>
        <v>0.2</v>
      </c>
      <c r="F201" s="707"/>
      <c r="G201" s="24">
        <f t="shared" si="36"/>
        <v>1</v>
      </c>
      <c r="H201" s="707"/>
      <c r="I201" s="24">
        <f t="shared" si="37"/>
        <v>1</v>
      </c>
      <c r="J201" s="707"/>
      <c r="K201" s="24">
        <f t="shared" si="38"/>
        <v>1</v>
      </c>
      <c r="L201" s="707"/>
      <c r="M201" s="24">
        <f t="shared" si="39"/>
        <v>1</v>
      </c>
      <c r="N201" s="707"/>
      <c r="O201" s="24">
        <f t="shared" si="40"/>
        <v>1</v>
      </c>
      <c r="P201" s="707"/>
      <c r="Q201" s="24">
        <f t="shared" si="41"/>
        <v>1</v>
      </c>
      <c r="R201" s="703">
        <f t="shared" si="42"/>
        <v>0</v>
      </c>
      <c r="S201" s="348">
        <f t="shared" si="43"/>
        <v>0</v>
      </c>
    </row>
    <row r="202" spans="1:19">
      <c r="A202" s="146"/>
      <c r="B202" s="59"/>
      <c r="C202" s="24">
        <f t="shared" si="34"/>
        <v>1</v>
      </c>
      <c r="D202" s="707"/>
      <c r="E202" s="24">
        <f t="shared" si="35"/>
        <v>0.2</v>
      </c>
      <c r="F202" s="707"/>
      <c r="G202" s="24">
        <f t="shared" si="36"/>
        <v>1</v>
      </c>
      <c r="H202" s="707"/>
      <c r="I202" s="24">
        <f t="shared" si="37"/>
        <v>1</v>
      </c>
      <c r="J202" s="707"/>
      <c r="K202" s="24">
        <f t="shared" si="38"/>
        <v>1</v>
      </c>
      <c r="L202" s="707"/>
      <c r="M202" s="24">
        <f t="shared" si="39"/>
        <v>1</v>
      </c>
      <c r="N202" s="707"/>
      <c r="O202" s="24">
        <f t="shared" si="40"/>
        <v>1</v>
      </c>
      <c r="P202" s="707"/>
      <c r="Q202" s="24">
        <f t="shared" si="41"/>
        <v>1</v>
      </c>
      <c r="R202" s="703">
        <f t="shared" si="42"/>
        <v>0</v>
      </c>
      <c r="S202" s="348">
        <f t="shared" si="43"/>
        <v>0</v>
      </c>
    </row>
    <row r="203" spans="1:19">
      <c r="A203" s="146"/>
      <c r="B203" s="59"/>
      <c r="C203" s="24">
        <f t="shared" si="34"/>
        <v>1</v>
      </c>
      <c r="D203" s="707"/>
      <c r="E203" s="24">
        <f t="shared" si="35"/>
        <v>0.2</v>
      </c>
      <c r="F203" s="707"/>
      <c r="G203" s="24">
        <f t="shared" si="36"/>
        <v>1</v>
      </c>
      <c r="H203" s="707"/>
      <c r="I203" s="24">
        <f t="shared" si="37"/>
        <v>1</v>
      </c>
      <c r="J203" s="707"/>
      <c r="K203" s="24">
        <f t="shared" si="38"/>
        <v>1</v>
      </c>
      <c r="L203" s="707"/>
      <c r="M203" s="24">
        <f t="shared" si="39"/>
        <v>1</v>
      </c>
      <c r="N203" s="707"/>
      <c r="O203" s="24">
        <f t="shared" si="40"/>
        <v>1</v>
      </c>
      <c r="P203" s="707"/>
      <c r="Q203" s="24">
        <f t="shared" si="41"/>
        <v>1</v>
      </c>
      <c r="R203" s="703">
        <f t="shared" si="42"/>
        <v>0</v>
      </c>
      <c r="S203" s="348">
        <f t="shared" si="43"/>
        <v>0</v>
      </c>
    </row>
    <row r="204" spans="1:19">
      <c r="A204" s="146"/>
      <c r="B204" s="59"/>
      <c r="C204" s="24">
        <f t="shared" si="34"/>
        <v>1</v>
      </c>
      <c r="D204" s="707"/>
      <c r="E204" s="24">
        <f t="shared" si="35"/>
        <v>0.2</v>
      </c>
      <c r="F204" s="707"/>
      <c r="G204" s="24">
        <f t="shared" si="36"/>
        <v>1</v>
      </c>
      <c r="H204" s="707"/>
      <c r="I204" s="24">
        <f t="shared" si="37"/>
        <v>1</v>
      </c>
      <c r="J204" s="707"/>
      <c r="K204" s="24">
        <f t="shared" si="38"/>
        <v>1</v>
      </c>
      <c r="L204" s="707"/>
      <c r="M204" s="24">
        <f t="shared" si="39"/>
        <v>1</v>
      </c>
      <c r="N204" s="707"/>
      <c r="O204" s="24">
        <f t="shared" si="40"/>
        <v>1</v>
      </c>
      <c r="P204" s="707"/>
      <c r="Q204" s="24">
        <f t="shared" si="41"/>
        <v>1</v>
      </c>
      <c r="R204" s="703">
        <f t="shared" si="42"/>
        <v>0</v>
      </c>
      <c r="S204" s="348">
        <f t="shared" si="43"/>
        <v>0</v>
      </c>
    </row>
    <row r="205" spans="1:19">
      <c r="A205" s="146"/>
      <c r="B205" s="59"/>
      <c r="C205" s="24">
        <f t="shared" si="34"/>
        <v>1</v>
      </c>
      <c r="D205" s="707"/>
      <c r="E205" s="24">
        <f t="shared" si="35"/>
        <v>0.2</v>
      </c>
      <c r="F205" s="707"/>
      <c r="G205" s="24">
        <f t="shared" si="36"/>
        <v>1</v>
      </c>
      <c r="H205" s="707"/>
      <c r="I205" s="24">
        <f t="shared" si="37"/>
        <v>1</v>
      </c>
      <c r="J205" s="707"/>
      <c r="K205" s="24">
        <f t="shared" si="38"/>
        <v>1</v>
      </c>
      <c r="L205" s="707"/>
      <c r="M205" s="24">
        <f t="shared" si="39"/>
        <v>1</v>
      </c>
      <c r="N205" s="707"/>
      <c r="O205" s="24">
        <f t="shared" si="40"/>
        <v>1</v>
      </c>
      <c r="P205" s="707"/>
      <c r="Q205" s="24">
        <f t="shared" si="41"/>
        <v>1</v>
      </c>
      <c r="R205" s="703">
        <f t="shared" si="42"/>
        <v>0</v>
      </c>
      <c r="S205" s="348">
        <f t="shared" si="43"/>
        <v>0</v>
      </c>
    </row>
    <row r="206" spans="1:19">
      <c r="A206" s="146"/>
      <c r="B206" s="59"/>
      <c r="C206" s="24">
        <f t="shared" si="34"/>
        <v>1</v>
      </c>
      <c r="D206" s="707"/>
      <c r="E206" s="24">
        <f t="shared" si="35"/>
        <v>0.2</v>
      </c>
      <c r="F206" s="707"/>
      <c r="G206" s="24">
        <f t="shared" si="36"/>
        <v>1</v>
      </c>
      <c r="H206" s="707"/>
      <c r="I206" s="24">
        <f t="shared" si="37"/>
        <v>1</v>
      </c>
      <c r="J206" s="707"/>
      <c r="K206" s="24">
        <f t="shared" si="38"/>
        <v>1</v>
      </c>
      <c r="L206" s="707"/>
      <c r="M206" s="24">
        <f t="shared" si="39"/>
        <v>1</v>
      </c>
      <c r="N206" s="707"/>
      <c r="O206" s="24">
        <f t="shared" si="40"/>
        <v>1</v>
      </c>
      <c r="P206" s="707"/>
      <c r="Q206" s="24">
        <f t="shared" si="41"/>
        <v>1</v>
      </c>
      <c r="R206" s="703">
        <f t="shared" si="42"/>
        <v>0</v>
      </c>
      <c r="S206" s="348">
        <f t="shared" si="43"/>
        <v>0</v>
      </c>
    </row>
    <row r="207" spans="1:19">
      <c r="A207" s="146"/>
      <c r="B207" s="59"/>
      <c r="C207" s="24">
        <f t="shared" si="34"/>
        <v>1</v>
      </c>
      <c r="D207" s="707"/>
      <c r="E207" s="24">
        <f t="shared" si="35"/>
        <v>0.2</v>
      </c>
      <c r="F207" s="707"/>
      <c r="G207" s="24">
        <f t="shared" si="36"/>
        <v>1</v>
      </c>
      <c r="H207" s="707"/>
      <c r="I207" s="24">
        <f t="shared" si="37"/>
        <v>1</v>
      </c>
      <c r="J207" s="707"/>
      <c r="K207" s="24">
        <f t="shared" si="38"/>
        <v>1</v>
      </c>
      <c r="L207" s="707"/>
      <c r="M207" s="24">
        <f t="shared" si="39"/>
        <v>1</v>
      </c>
      <c r="N207" s="707"/>
      <c r="O207" s="24">
        <f t="shared" si="40"/>
        <v>1</v>
      </c>
      <c r="P207" s="707"/>
      <c r="Q207" s="24">
        <f t="shared" si="41"/>
        <v>1</v>
      </c>
      <c r="R207" s="703">
        <f t="shared" si="42"/>
        <v>0</v>
      </c>
      <c r="S207" s="348">
        <f t="shared" si="43"/>
        <v>0</v>
      </c>
    </row>
    <row r="208" spans="1:19">
      <c r="A208" s="146"/>
      <c r="B208" s="59"/>
      <c r="C208" s="24">
        <f t="shared" si="34"/>
        <v>1</v>
      </c>
      <c r="D208" s="707"/>
      <c r="E208" s="24">
        <f t="shared" si="35"/>
        <v>0.2</v>
      </c>
      <c r="F208" s="707"/>
      <c r="G208" s="24">
        <f t="shared" si="36"/>
        <v>1</v>
      </c>
      <c r="H208" s="707"/>
      <c r="I208" s="24">
        <f t="shared" si="37"/>
        <v>1</v>
      </c>
      <c r="J208" s="707"/>
      <c r="K208" s="24">
        <f t="shared" si="38"/>
        <v>1</v>
      </c>
      <c r="L208" s="707"/>
      <c r="M208" s="24">
        <f t="shared" si="39"/>
        <v>1</v>
      </c>
      <c r="N208" s="707"/>
      <c r="O208" s="24">
        <f t="shared" si="40"/>
        <v>1</v>
      </c>
      <c r="P208" s="707"/>
      <c r="Q208" s="24">
        <f t="shared" si="41"/>
        <v>1</v>
      </c>
      <c r="R208" s="703">
        <f t="shared" si="42"/>
        <v>0</v>
      </c>
      <c r="S208" s="348">
        <f t="shared" si="43"/>
        <v>0</v>
      </c>
    </row>
    <row r="209" spans="1:19">
      <c r="A209" s="146"/>
      <c r="B209" s="59"/>
      <c r="C209" s="24">
        <f t="shared" si="34"/>
        <v>1</v>
      </c>
      <c r="D209" s="707"/>
      <c r="E209" s="24">
        <f t="shared" si="35"/>
        <v>0.2</v>
      </c>
      <c r="F209" s="707"/>
      <c r="G209" s="24">
        <f t="shared" si="36"/>
        <v>1</v>
      </c>
      <c r="H209" s="707"/>
      <c r="I209" s="24">
        <f t="shared" si="37"/>
        <v>1</v>
      </c>
      <c r="J209" s="707"/>
      <c r="K209" s="24">
        <f t="shared" si="38"/>
        <v>1</v>
      </c>
      <c r="L209" s="707"/>
      <c r="M209" s="24">
        <f t="shared" si="39"/>
        <v>1</v>
      </c>
      <c r="N209" s="707"/>
      <c r="O209" s="24">
        <f t="shared" si="40"/>
        <v>1</v>
      </c>
      <c r="P209" s="707"/>
      <c r="Q209" s="24">
        <f t="shared" si="41"/>
        <v>1</v>
      </c>
      <c r="R209" s="703">
        <f t="shared" si="42"/>
        <v>0</v>
      </c>
      <c r="S209" s="348">
        <f t="shared" si="43"/>
        <v>0</v>
      </c>
    </row>
    <row r="210" spans="1:19">
      <c r="A210" s="146"/>
      <c r="B210" s="59"/>
      <c r="C210" s="24">
        <f t="shared" si="34"/>
        <v>1</v>
      </c>
      <c r="D210" s="707"/>
      <c r="E210" s="24">
        <f t="shared" si="35"/>
        <v>0.2</v>
      </c>
      <c r="F210" s="707"/>
      <c r="G210" s="24">
        <f t="shared" si="36"/>
        <v>1</v>
      </c>
      <c r="H210" s="707"/>
      <c r="I210" s="24">
        <f t="shared" si="37"/>
        <v>1</v>
      </c>
      <c r="J210" s="707"/>
      <c r="K210" s="24">
        <f t="shared" si="38"/>
        <v>1</v>
      </c>
      <c r="L210" s="707"/>
      <c r="M210" s="24">
        <f t="shared" si="39"/>
        <v>1</v>
      </c>
      <c r="N210" s="707"/>
      <c r="O210" s="24">
        <f t="shared" si="40"/>
        <v>1</v>
      </c>
      <c r="P210" s="707"/>
      <c r="Q210" s="24">
        <f t="shared" si="41"/>
        <v>1</v>
      </c>
      <c r="R210" s="703">
        <f t="shared" si="42"/>
        <v>0</v>
      </c>
      <c r="S210" s="348">
        <f t="shared" si="43"/>
        <v>0</v>
      </c>
    </row>
    <row r="211" spans="1:19">
      <c r="A211" s="146"/>
      <c r="B211" s="59"/>
      <c r="C211" s="24">
        <f t="shared" si="34"/>
        <v>1</v>
      </c>
      <c r="D211" s="707"/>
      <c r="E211" s="24">
        <f t="shared" si="35"/>
        <v>0.2</v>
      </c>
      <c r="F211" s="707"/>
      <c r="G211" s="24">
        <f t="shared" si="36"/>
        <v>1</v>
      </c>
      <c r="H211" s="707"/>
      <c r="I211" s="24">
        <f t="shared" si="37"/>
        <v>1</v>
      </c>
      <c r="J211" s="707"/>
      <c r="K211" s="24">
        <f t="shared" si="38"/>
        <v>1</v>
      </c>
      <c r="L211" s="707"/>
      <c r="M211" s="24">
        <f t="shared" si="39"/>
        <v>1</v>
      </c>
      <c r="N211" s="707"/>
      <c r="O211" s="24">
        <f t="shared" si="40"/>
        <v>1</v>
      </c>
      <c r="P211" s="707"/>
      <c r="Q211" s="24">
        <f t="shared" si="41"/>
        <v>1</v>
      </c>
      <c r="R211" s="703">
        <f t="shared" si="42"/>
        <v>0</v>
      </c>
      <c r="S211" s="348">
        <f t="shared" si="43"/>
        <v>0</v>
      </c>
    </row>
    <row r="212" spans="1:19">
      <c r="A212" s="146"/>
      <c r="B212" s="59"/>
      <c r="C212" s="24">
        <f t="shared" si="34"/>
        <v>1</v>
      </c>
      <c r="D212" s="707"/>
      <c r="E212" s="24">
        <f t="shared" si="35"/>
        <v>0.2</v>
      </c>
      <c r="F212" s="707"/>
      <c r="G212" s="24">
        <f t="shared" si="36"/>
        <v>1</v>
      </c>
      <c r="H212" s="707"/>
      <c r="I212" s="24">
        <f t="shared" si="37"/>
        <v>1</v>
      </c>
      <c r="J212" s="707"/>
      <c r="K212" s="24">
        <f t="shared" si="38"/>
        <v>1</v>
      </c>
      <c r="L212" s="707"/>
      <c r="M212" s="24">
        <f t="shared" si="39"/>
        <v>1</v>
      </c>
      <c r="N212" s="707"/>
      <c r="O212" s="24">
        <f t="shared" si="40"/>
        <v>1</v>
      </c>
      <c r="P212" s="707"/>
      <c r="Q212" s="24">
        <f t="shared" si="41"/>
        <v>1</v>
      </c>
      <c r="R212" s="703">
        <f t="shared" si="42"/>
        <v>0</v>
      </c>
      <c r="S212" s="348">
        <f t="shared" si="43"/>
        <v>0</v>
      </c>
    </row>
    <row r="213" spans="1:19">
      <c r="A213" s="146"/>
      <c r="B213" s="59"/>
      <c r="C213" s="24">
        <f t="shared" si="34"/>
        <v>1</v>
      </c>
      <c r="D213" s="707"/>
      <c r="E213" s="24">
        <f t="shared" si="35"/>
        <v>0.2</v>
      </c>
      <c r="F213" s="707"/>
      <c r="G213" s="24">
        <f t="shared" si="36"/>
        <v>1</v>
      </c>
      <c r="H213" s="707"/>
      <c r="I213" s="24">
        <f t="shared" si="37"/>
        <v>1</v>
      </c>
      <c r="J213" s="707"/>
      <c r="K213" s="24">
        <f t="shared" si="38"/>
        <v>1</v>
      </c>
      <c r="L213" s="707"/>
      <c r="M213" s="24">
        <f t="shared" si="39"/>
        <v>1</v>
      </c>
      <c r="N213" s="707"/>
      <c r="O213" s="24">
        <f t="shared" si="40"/>
        <v>1</v>
      </c>
      <c r="P213" s="707"/>
      <c r="Q213" s="24">
        <f t="shared" si="41"/>
        <v>1</v>
      </c>
      <c r="R213" s="703">
        <f t="shared" si="42"/>
        <v>0</v>
      </c>
      <c r="S213" s="348">
        <f t="shared" si="43"/>
        <v>0</v>
      </c>
    </row>
    <row r="214" spans="1:19">
      <c r="A214" s="146"/>
      <c r="B214" s="59"/>
      <c r="C214" s="24">
        <f t="shared" si="34"/>
        <v>1</v>
      </c>
      <c r="D214" s="707"/>
      <c r="E214" s="24">
        <f t="shared" si="35"/>
        <v>0.2</v>
      </c>
      <c r="F214" s="707"/>
      <c r="G214" s="24">
        <f t="shared" si="36"/>
        <v>1</v>
      </c>
      <c r="H214" s="707"/>
      <c r="I214" s="24">
        <f t="shared" si="37"/>
        <v>1</v>
      </c>
      <c r="J214" s="707"/>
      <c r="K214" s="24">
        <f t="shared" si="38"/>
        <v>1</v>
      </c>
      <c r="L214" s="707"/>
      <c r="M214" s="24">
        <f t="shared" si="39"/>
        <v>1</v>
      </c>
      <c r="N214" s="707"/>
      <c r="O214" s="24">
        <f t="shared" si="40"/>
        <v>1</v>
      </c>
      <c r="P214" s="707"/>
      <c r="Q214" s="24">
        <f t="shared" si="41"/>
        <v>1</v>
      </c>
      <c r="R214" s="703">
        <f t="shared" si="42"/>
        <v>0</v>
      </c>
      <c r="S214" s="348">
        <f t="shared" si="43"/>
        <v>0</v>
      </c>
    </row>
    <row r="215" spans="1:19">
      <c r="A215" s="146"/>
      <c r="B215" s="59"/>
      <c r="C215" s="24">
        <f t="shared" si="34"/>
        <v>1</v>
      </c>
      <c r="D215" s="707"/>
      <c r="E215" s="24">
        <f t="shared" si="35"/>
        <v>0.2</v>
      </c>
      <c r="F215" s="707"/>
      <c r="G215" s="24">
        <f t="shared" si="36"/>
        <v>1</v>
      </c>
      <c r="H215" s="707"/>
      <c r="I215" s="24">
        <f t="shared" si="37"/>
        <v>1</v>
      </c>
      <c r="J215" s="707"/>
      <c r="K215" s="24">
        <f t="shared" si="38"/>
        <v>1</v>
      </c>
      <c r="L215" s="707"/>
      <c r="M215" s="24">
        <f t="shared" si="39"/>
        <v>1</v>
      </c>
      <c r="N215" s="707"/>
      <c r="O215" s="24">
        <f t="shared" si="40"/>
        <v>1</v>
      </c>
      <c r="P215" s="707"/>
      <c r="Q215" s="24">
        <f t="shared" si="41"/>
        <v>1</v>
      </c>
      <c r="R215" s="703">
        <f t="shared" si="42"/>
        <v>0</v>
      </c>
      <c r="S215" s="348">
        <f t="shared" si="43"/>
        <v>0</v>
      </c>
    </row>
    <row r="216" spans="1:19">
      <c r="A216" s="146"/>
      <c r="B216" s="59"/>
      <c r="C216" s="24">
        <f t="shared" si="34"/>
        <v>1</v>
      </c>
      <c r="D216" s="707"/>
      <c r="E216" s="24">
        <f t="shared" si="35"/>
        <v>0.2</v>
      </c>
      <c r="F216" s="707"/>
      <c r="G216" s="24">
        <f t="shared" si="36"/>
        <v>1</v>
      </c>
      <c r="H216" s="707"/>
      <c r="I216" s="24">
        <f t="shared" si="37"/>
        <v>1</v>
      </c>
      <c r="J216" s="707"/>
      <c r="K216" s="24">
        <f t="shared" si="38"/>
        <v>1</v>
      </c>
      <c r="L216" s="707"/>
      <c r="M216" s="24">
        <f t="shared" si="39"/>
        <v>1</v>
      </c>
      <c r="N216" s="707"/>
      <c r="O216" s="24">
        <f t="shared" si="40"/>
        <v>1</v>
      </c>
      <c r="P216" s="707"/>
      <c r="Q216" s="24">
        <f t="shared" si="41"/>
        <v>1</v>
      </c>
      <c r="R216" s="703">
        <f t="shared" si="42"/>
        <v>0</v>
      </c>
      <c r="S216" s="348">
        <f t="shared" si="43"/>
        <v>0</v>
      </c>
    </row>
    <row r="217" spans="1:19">
      <c r="A217" s="146"/>
      <c r="B217" s="59"/>
      <c r="C217" s="24">
        <f t="shared" si="34"/>
        <v>1</v>
      </c>
      <c r="D217" s="707"/>
      <c r="E217" s="24">
        <f t="shared" si="35"/>
        <v>0.2</v>
      </c>
      <c r="F217" s="707"/>
      <c r="G217" s="24">
        <f t="shared" si="36"/>
        <v>1</v>
      </c>
      <c r="H217" s="707"/>
      <c r="I217" s="24">
        <f t="shared" si="37"/>
        <v>1</v>
      </c>
      <c r="J217" s="707"/>
      <c r="K217" s="24">
        <f t="shared" si="38"/>
        <v>1</v>
      </c>
      <c r="L217" s="707"/>
      <c r="M217" s="24">
        <f t="shared" si="39"/>
        <v>1</v>
      </c>
      <c r="N217" s="707"/>
      <c r="O217" s="24">
        <f t="shared" si="40"/>
        <v>1</v>
      </c>
      <c r="P217" s="707"/>
      <c r="Q217" s="24">
        <f t="shared" si="41"/>
        <v>1</v>
      </c>
      <c r="R217" s="703">
        <f t="shared" si="42"/>
        <v>0</v>
      </c>
      <c r="S217" s="348">
        <f t="shared" si="43"/>
        <v>0</v>
      </c>
    </row>
    <row r="218" spans="1:19">
      <c r="A218" s="146"/>
      <c r="B218" s="59"/>
      <c r="C218" s="24">
        <f t="shared" ref="C218:C281" si="44">IF(B218="",1,(LOOKUP(B218,$3:$3,$4:$4)-LOOKUP($B$24,$3:$3,$4:$4)+100)/100)</f>
        <v>1</v>
      </c>
      <c r="D218" s="707"/>
      <c r="E218" s="24">
        <f t="shared" ref="E218:E281" si="45">(SUMIF($5:$5,D218,$6:$6)-SUMIF($5:$5,$D$24,$6:$6)+100)/100</f>
        <v>0.2</v>
      </c>
      <c r="F218" s="707"/>
      <c r="G218" s="24">
        <f t="shared" ref="G218:G281" si="46">(SUMIF($7:$7,F218,$8:$8)-SUMIF($7:$7,$F$24,$8:$8)+100)/100</f>
        <v>1</v>
      </c>
      <c r="H218" s="707"/>
      <c r="I218" s="24">
        <f t="shared" ref="I218:I281" si="47">(SUMIF($9:$9,H218,$10:$10)-SUMIF($9:$9,$H$24,$10:$10)+100)/100</f>
        <v>1</v>
      </c>
      <c r="J218" s="707"/>
      <c r="K218" s="24">
        <f t="shared" ref="K218:K281" si="48">(SUMIF($11:$11,J218,$12:$12)-SUMIF($11:$11,$J$24,$12:$12)+100)/100</f>
        <v>1</v>
      </c>
      <c r="L218" s="707"/>
      <c r="M218" s="24">
        <f t="shared" ref="M218:M281" si="49">(SUMIF($13:$13,L218,$14:$14)-SUMIF($13:$13,$L$24,$14:$14)+100)/100</f>
        <v>1</v>
      </c>
      <c r="N218" s="707"/>
      <c r="O218" s="24">
        <f t="shared" ref="O218:O281" si="50">(SUMIF($15:$15,N218,$16:$16)-SUMIF($15:$15,$N$24,$16:$16)+100)/100</f>
        <v>1</v>
      </c>
      <c r="P218" s="707"/>
      <c r="Q218" s="24">
        <f t="shared" ref="Q218:Q281" si="51">(SUMIF($17:$17,P218,$18:$18)-SUMIF($17:$17,$P$24,$18:$18)+100)/100</f>
        <v>1</v>
      </c>
      <c r="R218" s="703">
        <f t="shared" ref="R218:R281" si="52">IF(B218="",0,ROUND($R$24*C218*E218*G218*I218*K218*M218*O218*Q218,0))</f>
        <v>0</v>
      </c>
      <c r="S218" s="348">
        <f t="shared" si="43"/>
        <v>0</v>
      </c>
    </row>
    <row r="219" spans="1:19">
      <c r="A219" s="146"/>
      <c r="B219" s="59"/>
      <c r="C219" s="24">
        <f t="shared" si="44"/>
        <v>1</v>
      </c>
      <c r="D219" s="707"/>
      <c r="E219" s="24">
        <f t="shared" si="45"/>
        <v>0.2</v>
      </c>
      <c r="F219" s="707"/>
      <c r="G219" s="24">
        <f t="shared" si="46"/>
        <v>1</v>
      </c>
      <c r="H219" s="707"/>
      <c r="I219" s="24">
        <f t="shared" si="47"/>
        <v>1</v>
      </c>
      <c r="J219" s="707"/>
      <c r="K219" s="24">
        <f t="shared" si="48"/>
        <v>1</v>
      </c>
      <c r="L219" s="707"/>
      <c r="M219" s="24">
        <f t="shared" si="49"/>
        <v>1</v>
      </c>
      <c r="N219" s="707"/>
      <c r="O219" s="24">
        <f t="shared" si="50"/>
        <v>1</v>
      </c>
      <c r="P219" s="707"/>
      <c r="Q219" s="24">
        <f t="shared" si="51"/>
        <v>1</v>
      </c>
      <c r="R219" s="703">
        <f t="shared" si="52"/>
        <v>0</v>
      </c>
      <c r="S219" s="348">
        <f t="shared" si="43"/>
        <v>0</v>
      </c>
    </row>
    <row r="220" spans="1:19">
      <c r="A220" s="146"/>
      <c r="B220" s="59"/>
      <c r="C220" s="24">
        <f t="shared" si="44"/>
        <v>1</v>
      </c>
      <c r="D220" s="707"/>
      <c r="E220" s="24">
        <f t="shared" si="45"/>
        <v>0.2</v>
      </c>
      <c r="F220" s="707"/>
      <c r="G220" s="24">
        <f t="shared" si="46"/>
        <v>1</v>
      </c>
      <c r="H220" s="707"/>
      <c r="I220" s="24">
        <f t="shared" si="47"/>
        <v>1</v>
      </c>
      <c r="J220" s="707"/>
      <c r="K220" s="24">
        <f t="shared" si="48"/>
        <v>1</v>
      </c>
      <c r="L220" s="707"/>
      <c r="M220" s="24">
        <f t="shared" si="49"/>
        <v>1</v>
      </c>
      <c r="N220" s="707"/>
      <c r="O220" s="24">
        <f t="shared" si="50"/>
        <v>1</v>
      </c>
      <c r="P220" s="707"/>
      <c r="Q220" s="24">
        <f t="shared" si="51"/>
        <v>1</v>
      </c>
      <c r="R220" s="703">
        <f t="shared" si="52"/>
        <v>0</v>
      </c>
      <c r="S220" s="348">
        <f t="shared" si="43"/>
        <v>0</v>
      </c>
    </row>
    <row r="221" spans="1:19">
      <c r="A221" s="146"/>
      <c r="B221" s="59"/>
      <c r="C221" s="24">
        <f t="shared" si="44"/>
        <v>1</v>
      </c>
      <c r="D221" s="707"/>
      <c r="E221" s="24">
        <f t="shared" si="45"/>
        <v>0.2</v>
      </c>
      <c r="F221" s="707"/>
      <c r="G221" s="24">
        <f t="shared" si="46"/>
        <v>1</v>
      </c>
      <c r="H221" s="707"/>
      <c r="I221" s="24">
        <f t="shared" si="47"/>
        <v>1</v>
      </c>
      <c r="J221" s="707"/>
      <c r="K221" s="24">
        <f t="shared" si="48"/>
        <v>1</v>
      </c>
      <c r="L221" s="707"/>
      <c r="M221" s="24">
        <f t="shared" si="49"/>
        <v>1</v>
      </c>
      <c r="N221" s="707"/>
      <c r="O221" s="24">
        <f t="shared" si="50"/>
        <v>1</v>
      </c>
      <c r="P221" s="707"/>
      <c r="Q221" s="24">
        <f t="shared" si="51"/>
        <v>1</v>
      </c>
      <c r="R221" s="703">
        <f t="shared" si="52"/>
        <v>0</v>
      </c>
      <c r="S221" s="348">
        <f t="shared" si="43"/>
        <v>0</v>
      </c>
    </row>
    <row r="222" spans="1:19">
      <c r="A222" s="146"/>
      <c r="B222" s="59"/>
      <c r="C222" s="24">
        <f t="shared" si="44"/>
        <v>1</v>
      </c>
      <c r="D222" s="707"/>
      <c r="E222" s="24">
        <f t="shared" si="45"/>
        <v>0.2</v>
      </c>
      <c r="F222" s="707"/>
      <c r="G222" s="24">
        <f t="shared" si="46"/>
        <v>1</v>
      </c>
      <c r="H222" s="707"/>
      <c r="I222" s="24">
        <f t="shared" si="47"/>
        <v>1</v>
      </c>
      <c r="J222" s="707"/>
      <c r="K222" s="24">
        <f t="shared" si="48"/>
        <v>1</v>
      </c>
      <c r="L222" s="707"/>
      <c r="M222" s="24">
        <f t="shared" si="49"/>
        <v>1</v>
      </c>
      <c r="N222" s="707"/>
      <c r="O222" s="24">
        <f t="shared" si="50"/>
        <v>1</v>
      </c>
      <c r="P222" s="707"/>
      <c r="Q222" s="24">
        <f t="shared" si="51"/>
        <v>1</v>
      </c>
      <c r="R222" s="703">
        <f t="shared" si="52"/>
        <v>0</v>
      </c>
      <c r="S222" s="348">
        <f t="shared" si="43"/>
        <v>0</v>
      </c>
    </row>
    <row r="223" spans="1:19">
      <c r="A223" s="146"/>
      <c r="B223" s="59"/>
      <c r="C223" s="24">
        <f t="shared" si="44"/>
        <v>1</v>
      </c>
      <c r="D223" s="707"/>
      <c r="E223" s="24">
        <f t="shared" si="45"/>
        <v>0.2</v>
      </c>
      <c r="F223" s="707"/>
      <c r="G223" s="24">
        <f t="shared" si="46"/>
        <v>1</v>
      </c>
      <c r="H223" s="707"/>
      <c r="I223" s="24">
        <f t="shared" si="47"/>
        <v>1</v>
      </c>
      <c r="J223" s="707"/>
      <c r="K223" s="24">
        <f t="shared" si="48"/>
        <v>1</v>
      </c>
      <c r="L223" s="707"/>
      <c r="M223" s="24">
        <f t="shared" si="49"/>
        <v>1</v>
      </c>
      <c r="N223" s="707"/>
      <c r="O223" s="24">
        <f t="shared" si="50"/>
        <v>1</v>
      </c>
      <c r="P223" s="707"/>
      <c r="Q223" s="24">
        <f t="shared" si="51"/>
        <v>1</v>
      </c>
      <c r="R223" s="703">
        <f t="shared" si="52"/>
        <v>0</v>
      </c>
      <c r="S223" s="348">
        <f t="shared" ref="S223:S286" si="53">ROUND(R223*B223/10000,0)</f>
        <v>0</v>
      </c>
    </row>
    <row r="224" spans="1:19">
      <c r="A224" s="146"/>
      <c r="B224" s="59"/>
      <c r="C224" s="24">
        <f t="shared" si="44"/>
        <v>1</v>
      </c>
      <c r="D224" s="707"/>
      <c r="E224" s="24">
        <f t="shared" si="45"/>
        <v>0.2</v>
      </c>
      <c r="F224" s="707"/>
      <c r="G224" s="24">
        <f t="shared" si="46"/>
        <v>1</v>
      </c>
      <c r="H224" s="707"/>
      <c r="I224" s="24">
        <f t="shared" si="47"/>
        <v>1</v>
      </c>
      <c r="J224" s="707"/>
      <c r="K224" s="24">
        <f t="shared" si="48"/>
        <v>1</v>
      </c>
      <c r="L224" s="707"/>
      <c r="M224" s="24">
        <f t="shared" si="49"/>
        <v>1</v>
      </c>
      <c r="N224" s="707"/>
      <c r="O224" s="24">
        <f t="shared" si="50"/>
        <v>1</v>
      </c>
      <c r="P224" s="707"/>
      <c r="Q224" s="24">
        <f t="shared" si="51"/>
        <v>1</v>
      </c>
      <c r="R224" s="703">
        <f t="shared" si="52"/>
        <v>0</v>
      </c>
      <c r="S224" s="348">
        <f t="shared" si="53"/>
        <v>0</v>
      </c>
    </row>
    <row r="225" spans="1:19">
      <c r="A225" s="146"/>
      <c r="B225" s="59"/>
      <c r="C225" s="24">
        <f t="shared" si="44"/>
        <v>1</v>
      </c>
      <c r="D225" s="707"/>
      <c r="E225" s="24">
        <f t="shared" si="45"/>
        <v>0.2</v>
      </c>
      <c r="F225" s="707"/>
      <c r="G225" s="24">
        <f t="shared" si="46"/>
        <v>1</v>
      </c>
      <c r="H225" s="707"/>
      <c r="I225" s="24">
        <f t="shared" si="47"/>
        <v>1</v>
      </c>
      <c r="J225" s="707"/>
      <c r="K225" s="24">
        <f t="shared" si="48"/>
        <v>1</v>
      </c>
      <c r="L225" s="707"/>
      <c r="M225" s="24">
        <f t="shared" si="49"/>
        <v>1</v>
      </c>
      <c r="N225" s="707"/>
      <c r="O225" s="24">
        <f t="shared" si="50"/>
        <v>1</v>
      </c>
      <c r="P225" s="707"/>
      <c r="Q225" s="24">
        <f t="shared" si="51"/>
        <v>1</v>
      </c>
      <c r="R225" s="703">
        <f t="shared" si="52"/>
        <v>0</v>
      </c>
      <c r="S225" s="348">
        <f t="shared" si="53"/>
        <v>0</v>
      </c>
    </row>
    <row r="226" spans="1:19">
      <c r="A226" s="146"/>
      <c r="B226" s="59"/>
      <c r="C226" s="24">
        <f t="shared" si="44"/>
        <v>1</v>
      </c>
      <c r="D226" s="707"/>
      <c r="E226" s="24">
        <f t="shared" si="45"/>
        <v>0.2</v>
      </c>
      <c r="F226" s="707"/>
      <c r="G226" s="24">
        <f t="shared" si="46"/>
        <v>1</v>
      </c>
      <c r="H226" s="707"/>
      <c r="I226" s="24">
        <f t="shared" si="47"/>
        <v>1</v>
      </c>
      <c r="J226" s="707"/>
      <c r="K226" s="24">
        <f t="shared" si="48"/>
        <v>1</v>
      </c>
      <c r="L226" s="707"/>
      <c r="M226" s="24">
        <f t="shared" si="49"/>
        <v>1</v>
      </c>
      <c r="N226" s="707"/>
      <c r="O226" s="24">
        <f t="shared" si="50"/>
        <v>1</v>
      </c>
      <c r="P226" s="707"/>
      <c r="Q226" s="24">
        <f t="shared" si="51"/>
        <v>1</v>
      </c>
      <c r="R226" s="703">
        <f t="shared" si="52"/>
        <v>0</v>
      </c>
      <c r="S226" s="348">
        <f t="shared" si="53"/>
        <v>0</v>
      </c>
    </row>
    <row r="227" spans="1:19">
      <c r="A227" s="146"/>
      <c r="B227" s="59"/>
      <c r="C227" s="24">
        <f t="shared" si="44"/>
        <v>1</v>
      </c>
      <c r="D227" s="707"/>
      <c r="E227" s="24">
        <f t="shared" si="45"/>
        <v>0.2</v>
      </c>
      <c r="F227" s="707"/>
      <c r="G227" s="24">
        <f t="shared" si="46"/>
        <v>1</v>
      </c>
      <c r="H227" s="707"/>
      <c r="I227" s="24">
        <f t="shared" si="47"/>
        <v>1</v>
      </c>
      <c r="J227" s="707"/>
      <c r="K227" s="24">
        <f t="shared" si="48"/>
        <v>1</v>
      </c>
      <c r="L227" s="707"/>
      <c r="M227" s="24">
        <f t="shared" si="49"/>
        <v>1</v>
      </c>
      <c r="N227" s="707"/>
      <c r="O227" s="24">
        <f t="shared" si="50"/>
        <v>1</v>
      </c>
      <c r="P227" s="707"/>
      <c r="Q227" s="24">
        <f t="shared" si="51"/>
        <v>1</v>
      </c>
      <c r="R227" s="703">
        <f t="shared" si="52"/>
        <v>0</v>
      </c>
      <c r="S227" s="348">
        <f t="shared" si="53"/>
        <v>0</v>
      </c>
    </row>
    <row r="228" spans="1:19">
      <c r="A228" s="146"/>
      <c r="B228" s="59"/>
      <c r="C228" s="24">
        <f t="shared" si="44"/>
        <v>1</v>
      </c>
      <c r="D228" s="707"/>
      <c r="E228" s="24">
        <f t="shared" si="45"/>
        <v>0.2</v>
      </c>
      <c r="F228" s="707"/>
      <c r="G228" s="24">
        <f t="shared" si="46"/>
        <v>1</v>
      </c>
      <c r="H228" s="707"/>
      <c r="I228" s="24">
        <f t="shared" si="47"/>
        <v>1</v>
      </c>
      <c r="J228" s="707"/>
      <c r="K228" s="24">
        <f t="shared" si="48"/>
        <v>1</v>
      </c>
      <c r="L228" s="707"/>
      <c r="M228" s="24">
        <f t="shared" si="49"/>
        <v>1</v>
      </c>
      <c r="N228" s="707"/>
      <c r="O228" s="24">
        <f t="shared" si="50"/>
        <v>1</v>
      </c>
      <c r="P228" s="707"/>
      <c r="Q228" s="24">
        <f t="shared" si="51"/>
        <v>1</v>
      </c>
      <c r="R228" s="703">
        <f t="shared" si="52"/>
        <v>0</v>
      </c>
      <c r="S228" s="348">
        <f t="shared" si="53"/>
        <v>0</v>
      </c>
    </row>
    <row r="229" spans="1:19">
      <c r="A229" s="146"/>
      <c r="B229" s="59"/>
      <c r="C229" s="24">
        <f t="shared" si="44"/>
        <v>1</v>
      </c>
      <c r="D229" s="707"/>
      <c r="E229" s="24">
        <f t="shared" si="45"/>
        <v>0.2</v>
      </c>
      <c r="F229" s="707"/>
      <c r="G229" s="24">
        <f t="shared" si="46"/>
        <v>1</v>
      </c>
      <c r="H229" s="707"/>
      <c r="I229" s="24">
        <f t="shared" si="47"/>
        <v>1</v>
      </c>
      <c r="J229" s="707"/>
      <c r="K229" s="24">
        <f t="shared" si="48"/>
        <v>1</v>
      </c>
      <c r="L229" s="707"/>
      <c r="M229" s="24">
        <f t="shared" si="49"/>
        <v>1</v>
      </c>
      <c r="N229" s="707"/>
      <c r="O229" s="24">
        <f t="shared" si="50"/>
        <v>1</v>
      </c>
      <c r="P229" s="707"/>
      <c r="Q229" s="24">
        <f t="shared" si="51"/>
        <v>1</v>
      </c>
      <c r="R229" s="703">
        <f t="shared" si="52"/>
        <v>0</v>
      </c>
      <c r="S229" s="348">
        <f t="shared" si="53"/>
        <v>0</v>
      </c>
    </row>
    <row r="230" spans="1:19">
      <c r="A230" s="146"/>
      <c r="B230" s="59"/>
      <c r="C230" s="24">
        <f t="shared" si="44"/>
        <v>1</v>
      </c>
      <c r="D230" s="707"/>
      <c r="E230" s="24">
        <f t="shared" si="45"/>
        <v>0.2</v>
      </c>
      <c r="F230" s="707"/>
      <c r="G230" s="24">
        <f t="shared" si="46"/>
        <v>1</v>
      </c>
      <c r="H230" s="707"/>
      <c r="I230" s="24">
        <f t="shared" si="47"/>
        <v>1</v>
      </c>
      <c r="J230" s="707"/>
      <c r="K230" s="24">
        <f t="shared" si="48"/>
        <v>1</v>
      </c>
      <c r="L230" s="707"/>
      <c r="M230" s="24">
        <f t="shared" si="49"/>
        <v>1</v>
      </c>
      <c r="N230" s="707"/>
      <c r="O230" s="24">
        <f t="shared" si="50"/>
        <v>1</v>
      </c>
      <c r="P230" s="707"/>
      <c r="Q230" s="24">
        <f t="shared" si="51"/>
        <v>1</v>
      </c>
      <c r="R230" s="703">
        <f t="shared" si="52"/>
        <v>0</v>
      </c>
      <c r="S230" s="348">
        <f t="shared" si="53"/>
        <v>0</v>
      </c>
    </row>
    <row r="231" spans="1:19">
      <c r="A231" s="146"/>
      <c r="B231" s="59"/>
      <c r="C231" s="24">
        <f t="shared" si="44"/>
        <v>1</v>
      </c>
      <c r="D231" s="707"/>
      <c r="E231" s="24">
        <f t="shared" si="45"/>
        <v>0.2</v>
      </c>
      <c r="F231" s="707"/>
      <c r="G231" s="24">
        <f t="shared" si="46"/>
        <v>1</v>
      </c>
      <c r="H231" s="707"/>
      <c r="I231" s="24">
        <f t="shared" si="47"/>
        <v>1</v>
      </c>
      <c r="J231" s="707"/>
      <c r="K231" s="24">
        <f t="shared" si="48"/>
        <v>1</v>
      </c>
      <c r="L231" s="707"/>
      <c r="M231" s="24">
        <f t="shared" si="49"/>
        <v>1</v>
      </c>
      <c r="N231" s="707"/>
      <c r="O231" s="24">
        <f t="shared" si="50"/>
        <v>1</v>
      </c>
      <c r="P231" s="707"/>
      <c r="Q231" s="24">
        <f t="shared" si="51"/>
        <v>1</v>
      </c>
      <c r="R231" s="703">
        <f t="shared" si="52"/>
        <v>0</v>
      </c>
      <c r="S231" s="348">
        <f t="shared" si="53"/>
        <v>0</v>
      </c>
    </row>
    <row r="232" spans="1:19">
      <c r="A232" s="146"/>
      <c r="B232" s="59"/>
      <c r="C232" s="24">
        <f t="shared" si="44"/>
        <v>1</v>
      </c>
      <c r="D232" s="707"/>
      <c r="E232" s="24">
        <f t="shared" si="45"/>
        <v>0.2</v>
      </c>
      <c r="F232" s="707"/>
      <c r="G232" s="24">
        <f t="shared" si="46"/>
        <v>1</v>
      </c>
      <c r="H232" s="707"/>
      <c r="I232" s="24">
        <f t="shared" si="47"/>
        <v>1</v>
      </c>
      <c r="J232" s="707"/>
      <c r="K232" s="24">
        <f t="shared" si="48"/>
        <v>1</v>
      </c>
      <c r="L232" s="707"/>
      <c r="M232" s="24">
        <f t="shared" si="49"/>
        <v>1</v>
      </c>
      <c r="N232" s="707"/>
      <c r="O232" s="24">
        <f t="shared" si="50"/>
        <v>1</v>
      </c>
      <c r="P232" s="707"/>
      <c r="Q232" s="24">
        <f t="shared" si="51"/>
        <v>1</v>
      </c>
      <c r="R232" s="703">
        <f t="shared" si="52"/>
        <v>0</v>
      </c>
      <c r="S232" s="348">
        <f t="shared" si="53"/>
        <v>0</v>
      </c>
    </row>
    <row r="233" spans="1:19">
      <c r="A233" s="146"/>
      <c r="B233" s="59"/>
      <c r="C233" s="24">
        <f t="shared" si="44"/>
        <v>1</v>
      </c>
      <c r="D233" s="707"/>
      <c r="E233" s="24">
        <f t="shared" si="45"/>
        <v>0.2</v>
      </c>
      <c r="F233" s="707"/>
      <c r="G233" s="24">
        <f t="shared" si="46"/>
        <v>1</v>
      </c>
      <c r="H233" s="707"/>
      <c r="I233" s="24">
        <f t="shared" si="47"/>
        <v>1</v>
      </c>
      <c r="J233" s="707"/>
      <c r="K233" s="24">
        <f t="shared" si="48"/>
        <v>1</v>
      </c>
      <c r="L233" s="707"/>
      <c r="M233" s="24">
        <f t="shared" si="49"/>
        <v>1</v>
      </c>
      <c r="N233" s="707"/>
      <c r="O233" s="24">
        <f t="shared" si="50"/>
        <v>1</v>
      </c>
      <c r="P233" s="707"/>
      <c r="Q233" s="24">
        <f t="shared" si="51"/>
        <v>1</v>
      </c>
      <c r="R233" s="703">
        <f t="shared" si="52"/>
        <v>0</v>
      </c>
      <c r="S233" s="348">
        <f t="shared" si="53"/>
        <v>0</v>
      </c>
    </row>
    <row r="234" spans="1:19">
      <c r="A234" s="146"/>
      <c r="B234" s="59"/>
      <c r="C234" s="24">
        <f t="shared" si="44"/>
        <v>1</v>
      </c>
      <c r="D234" s="707"/>
      <c r="E234" s="24">
        <f t="shared" si="45"/>
        <v>0.2</v>
      </c>
      <c r="F234" s="707"/>
      <c r="G234" s="24">
        <f t="shared" si="46"/>
        <v>1</v>
      </c>
      <c r="H234" s="707"/>
      <c r="I234" s="24">
        <f t="shared" si="47"/>
        <v>1</v>
      </c>
      <c r="J234" s="707"/>
      <c r="K234" s="24">
        <f t="shared" si="48"/>
        <v>1</v>
      </c>
      <c r="L234" s="707"/>
      <c r="M234" s="24">
        <f t="shared" si="49"/>
        <v>1</v>
      </c>
      <c r="N234" s="707"/>
      <c r="O234" s="24">
        <f t="shared" si="50"/>
        <v>1</v>
      </c>
      <c r="P234" s="707"/>
      <c r="Q234" s="24">
        <f t="shared" si="51"/>
        <v>1</v>
      </c>
      <c r="R234" s="703">
        <f t="shared" si="52"/>
        <v>0</v>
      </c>
      <c r="S234" s="348">
        <f t="shared" si="53"/>
        <v>0</v>
      </c>
    </row>
    <row r="235" spans="1:19">
      <c r="A235" s="146"/>
      <c r="B235" s="59"/>
      <c r="C235" s="24">
        <f t="shared" si="44"/>
        <v>1</v>
      </c>
      <c r="D235" s="707"/>
      <c r="E235" s="24">
        <f t="shared" si="45"/>
        <v>0.2</v>
      </c>
      <c r="F235" s="707"/>
      <c r="G235" s="24">
        <f t="shared" si="46"/>
        <v>1</v>
      </c>
      <c r="H235" s="707"/>
      <c r="I235" s="24">
        <f t="shared" si="47"/>
        <v>1</v>
      </c>
      <c r="J235" s="707"/>
      <c r="K235" s="24">
        <f t="shared" si="48"/>
        <v>1</v>
      </c>
      <c r="L235" s="707"/>
      <c r="M235" s="24">
        <f t="shared" si="49"/>
        <v>1</v>
      </c>
      <c r="N235" s="707"/>
      <c r="O235" s="24">
        <f t="shared" si="50"/>
        <v>1</v>
      </c>
      <c r="P235" s="707"/>
      <c r="Q235" s="24">
        <f t="shared" si="51"/>
        <v>1</v>
      </c>
      <c r="R235" s="703">
        <f t="shared" si="52"/>
        <v>0</v>
      </c>
      <c r="S235" s="348">
        <f t="shared" si="53"/>
        <v>0</v>
      </c>
    </row>
    <row r="236" spans="1:19">
      <c r="A236" s="146"/>
      <c r="B236" s="59"/>
      <c r="C236" s="24">
        <f t="shared" si="44"/>
        <v>1</v>
      </c>
      <c r="D236" s="707"/>
      <c r="E236" s="24">
        <f t="shared" si="45"/>
        <v>0.2</v>
      </c>
      <c r="F236" s="707"/>
      <c r="G236" s="24">
        <f t="shared" si="46"/>
        <v>1</v>
      </c>
      <c r="H236" s="707"/>
      <c r="I236" s="24">
        <f t="shared" si="47"/>
        <v>1</v>
      </c>
      <c r="J236" s="707"/>
      <c r="K236" s="24">
        <f t="shared" si="48"/>
        <v>1</v>
      </c>
      <c r="L236" s="707"/>
      <c r="M236" s="24">
        <f t="shared" si="49"/>
        <v>1</v>
      </c>
      <c r="N236" s="707"/>
      <c r="O236" s="24">
        <f t="shared" si="50"/>
        <v>1</v>
      </c>
      <c r="P236" s="707"/>
      <c r="Q236" s="24">
        <f t="shared" si="51"/>
        <v>1</v>
      </c>
      <c r="R236" s="703">
        <f t="shared" si="52"/>
        <v>0</v>
      </c>
      <c r="S236" s="348">
        <f t="shared" si="53"/>
        <v>0</v>
      </c>
    </row>
    <row r="237" spans="1:19">
      <c r="A237" s="146"/>
      <c r="B237" s="59"/>
      <c r="C237" s="24">
        <f t="shared" si="44"/>
        <v>1</v>
      </c>
      <c r="D237" s="707"/>
      <c r="E237" s="24">
        <f t="shared" si="45"/>
        <v>0.2</v>
      </c>
      <c r="F237" s="707"/>
      <c r="G237" s="24">
        <f t="shared" si="46"/>
        <v>1</v>
      </c>
      <c r="H237" s="707"/>
      <c r="I237" s="24">
        <f t="shared" si="47"/>
        <v>1</v>
      </c>
      <c r="J237" s="707"/>
      <c r="K237" s="24">
        <f t="shared" si="48"/>
        <v>1</v>
      </c>
      <c r="L237" s="707"/>
      <c r="M237" s="24">
        <f t="shared" si="49"/>
        <v>1</v>
      </c>
      <c r="N237" s="707"/>
      <c r="O237" s="24">
        <f t="shared" si="50"/>
        <v>1</v>
      </c>
      <c r="P237" s="707"/>
      <c r="Q237" s="24">
        <f t="shared" si="51"/>
        <v>1</v>
      </c>
      <c r="R237" s="703">
        <f t="shared" si="52"/>
        <v>0</v>
      </c>
      <c r="S237" s="348">
        <f t="shared" si="53"/>
        <v>0</v>
      </c>
    </row>
    <row r="238" spans="1:19">
      <c r="A238" s="146"/>
      <c r="B238" s="59"/>
      <c r="C238" s="24">
        <f t="shared" si="44"/>
        <v>1</v>
      </c>
      <c r="D238" s="707"/>
      <c r="E238" s="24">
        <f t="shared" si="45"/>
        <v>0.2</v>
      </c>
      <c r="F238" s="707"/>
      <c r="G238" s="24">
        <f t="shared" si="46"/>
        <v>1</v>
      </c>
      <c r="H238" s="707"/>
      <c r="I238" s="24">
        <f t="shared" si="47"/>
        <v>1</v>
      </c>
      <c r="J238" s="707"/>
      <c r="K238" s="24">
        <f t="shared" si="48"/>
        <v>1</v>
      </c>
      <c r="L238" s="707"/>
      <c r="M238" s="24">
        <f t="shared" si="49"/>
        <v>1</v>
      </c>
      <c r="N238" s="707"/>
      <c r="O238" s="24">
        <f t="shared" si="50"/>
        <v>1</v>
      </c>
      <c r="P238" s="707"/>
      <c r="Q238" s="24">
        <f t="shared" si="51"/>
        <v>1</v>
      </c>
      <c r="R238" s="703">
        <f t="shared" si="52"/>
        <v>0</v>
      </c>
      <c r="S238" s="348">
        <f t="shared" si="53"/>
        <v>0</v>
      </c>
    </row>
    <row r="239" spans="1:19">
      <c r="A239" s="146"/>
      <c r="B239" s="59"/>
      <c r="C239" s="24">
        <f t="shared" si="44"/>
        <v>1</v>
      </c>
      <c r="D239" s="707"/>
      <c r="E239" s="24">
        <f t="shared" si="45"/>
        <v>0.2</v>
      </c>
      <c r="F239" s="707"/>
      <c r="G239" s="24">
        <f t="shared" si="46"/>
        <v>1</v>
      </c>
      <c r="H239" s="707"/>
      <c r="I239" s="24">
        <f t="shared" si="47"/>
        <v>1</v>
      </c>
      <c r="J239" s="707"/>
      <c r="K239" s="24">
        <f t="shared" si="48"/>
        <v>1</v>
      </c>
      <c r="L239" s="707"/>
      <c r="M239" s="24">
        <f t="shared" si="49"/>
        <v>1</v>
      </c>
      <c r="N239" s="707"/>
      <c r="O239" s="24">
        <f t="shared" si="50"/>
        <v>1</v>
      </c>
      <c r="P239" s="707"/>
      <c r="Q239" s="24">
        <f t="shared" si="51"/>
        <v>1</v>
      </c>
      <c r="R239" s="703">
        <f t="shared" si="52"/>
        <v>0</v>
      </c>
      <c r="S239" s="348">
        <f t="shared" si="53"/>
        <v>0</v>
      </c>
    </row>
    <row r="240" spans="1:19">
      <c r="A240" s="146"/>
      <c r="B240" s="59"/>
      <c r="C240" s="24">
        <f t="shared" si="44"/>
        <v>1</v>
      </c>
      <c r="D240" s="707"/>
      <c r="E240" s="24">
        <f t="shared" si="45"/>
        <v>0.2</v>
      </c>
      <c r="F240" s="707"/>
      <c r="G240" s="24">
        <f t="shared" si="46"/>
        <v>1</v>
      </c>
      <c r="H240" s="707"/>
      <c r="I240" s="24">
        <f t="shared" si="47"/>
        <v>1</v>
      </c>
      <c r="J240" s="707"/>
      <c r="K240" s="24">
        <f t="shared" si="48"/>
        <v>1</v>
      </c>
      <c r="L240" s="707"/>
      <c r="M240" s="24">
        <f t="shared" si="49"/>
        <v>1</v>
      </c>
      <c r="N240" s="707"/>
      <c r="O240" s="24">
        <f t="shared" si="50"/>
        <v>1</v>
      </c>
      <c r="P240" s="707"/>
      <c r="Q240" s="24">
        <f t="shared" si="51"/>
        <v>1</v>
      </c>
      <c r="R240" s="703">
        <f t="shared" si="52"/>
        <v>0</v>
      </c>
      <c r="S240" s="348">
        <f t="shared" si="53"/>
        <v>0</v>
      </c>
    </row>
    <row r="241" spans="1:19">
      <c r="A241" s="146"/>
      <c r="B241" s="59"/>
      <c r="C241" s="24">
        <f t="shared" si="44"/>
        <v>1</v>
      </c>
      <c r="D241" s="707"/>
      <c r="E241" s="24">
        <f t="shared" si="45"/>
        <v>0.2</v>
      </c>
      <c r="F241" s="707"/>
      <c r="G241" s="24">
        <f t="shared" si="46"/>
        <v>1</v>
      </c>
      <c r="H241" s="707"/>
      <c r="I241" s="24">
        <f t="shared" si="47"/>
        <v>1</v>
      </c>
      <c r="J241" s="707"/>
      <c r="K241" s="24">
        <f t="shared" si="48"/>
        <v>1</v>
      </c>
      <c r="L241" s="707"/>
      <c r="M241" s="24">
        <f t="shared" si="49"/>
        <v>1</v>
      </c>
      <c r="N241" s="707"/>
      <c r="O241" s="24">
        <f t="shared" si="50"/>
        <v>1</v>
      </c>
      <c r="P241" s="707"/>
      <c r="Q241" s="24">
        <f t="shared" si="51"/>
        <v>1</v>
      </c>
      <c r="R241" s="703">
        <f t="shared" si="52"/>
        <v>0</v>
      </c>
      <c r="S241" s="348">
        <f t="shared" si="53"/>
        <v>0</v>
      </c>
    </row>
    <row r="242" spans="1:19">
      <c r="A242" s="146"/>
      <c r="B242" s="59"/>
      <c r="C242" s="24">
        <f t="shared" si="44"/>
        <v>1</v>
      </c>
      <c r="D242" s="707"/>
      <c r="E242" s="24">
        <f t="shared" si="45"/>
        <v>0.2</v>
      </c>
      <c r="F242" s="707"/>
      <c r="G242" s="24">
        <f t="shared" si="46"/>
        <v>1</v>
      </c>
      <c r="H242" s="707"/>
      <c r="I242" s="24">
        <f t="shared" si="47"/>
        <v>1</v>
      </c>
      <c r="J242" s="707"/>
      <c r="K242" s="24">
        <f t="shared" si="48"/>
        <v>1</v>
      </c>
      <c r="L242" s="707"/>
      <c r="M242" s="24">
        <f t="shared" si="49"/>
        <v>1</v>
      </c>
      <c r="N242" s="707"/>
      <c r="O242" s="24">
        <f t="shared" si="50"/>
        <v>1</v>
      </c>
      <c r="P242" s="707"/>
      <c r="Q242" s="24">
        <f t="shared" si="51"/>
        <v>1</v>
      </c>
      <c r="R242" s="703">
        <f t="shared" si="52"/>
        <v>0</v>
      </c>
      <c r="S242" s="348">
        <f t="shared" si="53"/>
        <v>0</v>
      </c>
    </row>
    <row r="243" spans="1:19">
      <c r="A243" s="146"/>
      <c r="B243" s="59"/>
      <c r="C243" s="24">
        <f t="shared" si="44"/>
        <v>1</v>
      </c>
      <c r="D243" s="707"/>
      <c r="E243" s="24">
        <f t="shared" si="45"/>
        <v>0.2</v>
      </c>
      <c r="F243" s="707"/>
      <c r="G243" s="24">
        <f t="shared" si="46"/>
        <v>1</v>
      </c>
      <c r="H243" s="707"/>
      <c r="I243" s="24">
        <f t="shared" si="47"/>
        <v>1</v>
      </c>
      <c r="J243" s="707"/>
      <c r="K243" s="24">
        <f t="shared" si="48"/>
        <v>1</v>
      </c>
      <c r="L243" s="707"/>
      <c r="M243" s="24">
        <f t="shared" si="49"/>
        <v>1</v>
      </c>
      <c r="N243" s="707"/>
      <c r="O243" s="24">
        <f t="shared" si="50"/>
        <v>1</v>
      </c>
      <c r="P243" s="707"/>
      <c r="Q243" s="24">
        <f t="shared" si="51"/>
        <v>1</v>
      </c>
      <c r="R243" s="703">
        <f t="shared" si="52"/>
        <v>0</v>
      </c>
      <c r="S243" s="348">
        <f t="shared" si="53"/>
        <v>0</v>
      </c>
    </row>
    <row r="244" spans="1:19">
      <c r="A244" s="146"/>
      <c r="B244" s="59"/>
      <c r="C244" s="24">
        <f t="shared" si="44"/>
        <v>1</v>
      </c>
      <c r="D244" s="707"/>
      <c r="E244" s="24">
        <f t="shared" si="45"/>
        <v>0.2</v>
      </c>
      <c r="F244" s="707"/>
      <c r="G244" s="24">
        <f t="shared" si="46"/>
        <v>1</v>
      </c>
      <c r="H244" s="707"/>
      <c r="I244" s="24">
        <f t="shared" si="47"/>
        <v>1</v>
      </c>
      <c r="J244" s="707"/>
      <c r="K244" s="24">
        <f t="shared" si="48"/>
        <v>1</v>
      </c>
      <c r="L244" s="707"/>
      <c r="M244" s="24">
        <f t="shared" si="49"/>
        <v>1</v>
      </c>
      <c r="N244" s="707"/>
      <c r="O244" s="24">
        <f t="shared" si="50"/>
        <v>1</v>
      </c>
      <c r="P244" s="707"/>
      <c r="Q244" s="24">
        <f t="shared" si="51"/>
        <v>1</v>
      </c>
      <c r="R244" s="703">
        <f t="shared" si="52"/>
        <v>0</v>
      </c>
      <c r="S244" s="348">
        <f t="shared" si="53"/>
        <v>0</v>
      </c>
    </row>
    <row r="245" spans="1:19">
      <c r="A245" s="146"/>
      <c r="B245" s="59"/>
      <c r="C245" s="24">
        <f t="shared" si="44"/>
        <v>1</v>
      </c>
      <c r="D245" s="707"/>
      <c r="E245" s="24">
        <f t="shared" si="45"/>
        <v>0.2</v>
      </c>
      <c r="F245" s="707"/>
      <c r="G245" s="24">
        <f t="shared" si="46"/>
        <v>1</v>
      </c>
      <c r="H245" s="707"/>
      <c r="I245" s="24">
        <f t="shared" si="47"/>
        <v>1</v>
      </c>
      <c r="J245" s="707"/>
      <c r="K245" s="24">
        <f t="shared" si="48"/>
        <v>1</v>
      </c>
      <c r="L245" s="707"/>
      <c r="M245" s="24">
        <f t="shared" si="49"/>
        <v>1</v>
      </c>
      <c r="N245" s="707"/>
      <c r="O245" s="24">
        <f t="shared" si="50"/>
        <v>1</v>
      </c>
      <c r="P245" s="707"/>
      <c r="Q245" s="24">
        <f t="shared" si="51"/>
        <v>1</v>
      </c>
      <c r="R245" s="703">
        <f t="shared" si="52"/>
        <v>0</v>
      </c>
      <c r="S245" s="348">
        <f t="shared" si="53"/>
        <v>0</v>
      </c>
    </row>
    <row r="246" spans="1:19">
      <c r="A246" s="146"/>
      <c r="B246" s="59"/>
      <c r="C246" s="24">
        <f t="shared" si="44"/>
        <v>1</v>
      </c>
      <c r="D246" s="707"/>
      <c r="E246" s="24">
        <f t="shared" si="45"/>
        <v>0.2</v>
      </c>
      <c r="F246" s="707"/>
      <c r="G246" s="24">
        <f t="shared" si="46"/>
        <v>1</v>
      </c>
      <c r="H246" s="707"/>
      <c r="I246" s="24">
        <f t="shared" si="47"/>
        <v>1</v>
      </c>
      <c r="J246" s="707"/>
      <c r="K246" s="24">
        <f t="shared" si="48"/>
        <v>1</v>
      </c>
      <c r="L246" s="707"/>
      <c r="M246" s="24">
        <f t="shared" si="49"/>
        <v>1</v>
      </c>
      <c r="N246" s="707"/>
      <c r="O246" s="24">
        <f t="shared" si="50"/>
        <v>1</v>
      </c>
      <c r="P246" s="707"/>
      <c r="Q246" s="24">
        <f t="shared" si="51"/>
        <v>1</v>
      </c>
      <c r="R246" s="703">
        <f t="shared" si="52"/>
        <v>0</v>
      </c>
      <c r="S246" s="348">
        <f t="shared" si="53"/>
        <v>0</v>
      </c>
    </row>
    <row r="247" spans="1:19">
      <c r="A247" s="146"/>
      <c r="B247" s="59"/>
      <c r="C247" s="24">
        <f t="shared" si="44"/>
        <v>1</v>
      </c>
      <c r="D247" s="707"/>
      <c r="E247" s="24">
        <f t="shared" si="45"/>
        <v>0.2</v>
      </c>
      <c r="F247" s="707"/>
      <c r="G247" s="24">
        <f t="shared" si="46"/>
        <v>1</v>
      </c>
      <c r="H247" s="707"/>
      <c r="I247" s="24">
        <f t="shared" si="47"/>
        <v>1</v>
      </c>
      <c r="J247" s="707"/>
      <c r="K247" s="24">
        <f t="shared" si="48"/>
        <v>1</v>
      </c>
      <c r="L247" s="707"/>
      <c r="M247" s="24">
        <f t="shared" si="49"/>
        <v>1</v>
      </c>
      <c r="N247" s="707"/>
      <c r="O247" s="24">
        <f t="shared" si="50"/>
        <v>1</v>
      </c>
      <c r="P247" s="707"/>
      <c r="Q247" s="24">
        <f t="shared" si="51"/>
        <v>1</v>
      </c>
      <c r="R247" s="703">
        <f t="shared" si="52"/>
        <v>0</v>
      </c>
      <c r="S247" s="348">
        <f t="shared" si="53"/>
        <v>0</v>
      </c>
    </row>
    <row r="248" spans="1:19">
      <c r="A248" s="146"/>
      <c r="B248" s="59"/>
      <c r="C248" s="24">
        <f t="shared" si="44"/>
        <v>1</v>
      </c>
      <c r="D248" s="707"/>
      <c r="E248" s="24">
        <f t="shared" si="45"/>
        <v>0.2</v>
      </c>
      <c r="F248" s="707"/>
      <c r="G248" s="24">
        <f t="shared" si="46"/>
        <v>1</v>
      </c>
      <c r="H248" s="707"/>
      <c r="I248" s="24">
        <f t="shared" si="47"/>
        <v>1</v>
      </c>
      <c r="J248" s="707"/>
      <c r="K248" s="24">
        <f t="shared" si="48"/>
        <v>1</v>
      </c>
      <c r="L248" s="707"/>
      <c r="M248" s="24">
        <f t="shared" si="49"/>
        <v>1</v>
      </c>
      <c r="N248" s="707"/>
      <c r="O248" s="24">
        <f t="shared" si="50"/>
        <v>1</v>
      </c>
      <c r="P248" s="707"/>
      <c r="Q248" s="24">
        <f t="shared" si="51"/>
        <v>1</v>
      </c>
      <c r="R248" s="703">
        <f t="shared" si="52"/>
        <v>0</v>
      </c>
      <c r="S248" s="348">
        <f t="shared" si="53"/>
        <v>0</v>
      </c>
    </row>
    <row r="249" spans="1:19">
      <c r="A249" s="146"/>
      <c r="B249" s="59"/>
      <c r="C249" s="24">
        <f t="shared" si="44"/>
        <v>1</v>
      </c>
      <c r="D249" s="707"/>
      <c r="E249" s="24">
        <f t="shared" si="45"/>
        <v>0.2</v>
      </c>
      <c r="F249" s="707"/>
      <c r="G249" s="24">
        <f t="shared" si="46"/>
        <v>1</v>
      </c>
      <c r="H249" s="707"/>
      <c r="I249" s="24">
        <f t="shared" si="47"/>
        <v>1</v>
      </c>
      <c r="J249" s="707"/>
      <c r="K249" s="24">
        <f t="shared" si="48"/>
        <v>1</v>
      </c>
      <c r="L249" s="707"/>
      <c r="M249" s="24">
        <f t="shared" si="49"/>
        <v>1</v>
      </c>
      <c r="N249" s="707"/>
      <c r="O249" s="24">
        <f t="shared" si="50"/>
        <v>1</v>
      </c>
      <c r="P249" s="707"/>
      <c r="Q249" s="24">
        <f t="shared" si="51"/>
        <v>1</v>
      </c>
      <c r="R249" s="703">
        <f t="shared" si="52"/>
        <v>0</v>
      </c>
      <c r="S249" s="348">
        <f t="shared" si="53"/>
        <v>0</v>
      </c>
    </row>
    <row r="250" spans="1:19">
      <c r="A250" s="146"/>
      <c r="B250" s="59"/>
      <c r="C250" s="24">
        <f t="shared" si="44"/>
        <v>1</v>
      </c>
      <c r="D250" s="707"/>
      <c r="E250" s="24">
        <f t="shared" si="45"/>
        <v>0.2</v>
      </c>
      <c r="F250" s="707"/>
      <c r="G250" s="24">
        <f t="shared" si="46"/>
        <v>1</v>
      </c>
      <c r="H250" s="707"/>
      <c r="I250" s="24">
        <f t="shared" si="47"/>
        <v>1</v>
      </c>
      <c r="J250" s="707"/>
      <c r="K250" s="24">
        <f t="shared" si="48"/>
        <v>1</v>
      </c>
      <c r="L250" s="707"/>
      <c r="M250" s="24">
        <f t="shared" si="49"/>
        <v>1</v>
      </c>
      <c r="N250" s="707"/>
      <c r="O250" s="24">
        <f t="shared" si="50"/>
        <v>1</v>
      </c>
      <c r="P250" s="707"/>
      <c r="Q250" s="24">
        <f t="shared" si="51"/>
        <v>1</v>
      </c>
      <c r="R250" s="703">
        <f t="shared" si="52"/>
        <v>0</v>
      </c>
      <c r="S250" s="348">
        <f t="shared" si="53"/>
        <v>0</v>
      </c>
    </row>
    <row r="251" spans="1:19">
      <c r="A251" s="146"/>
      <c r="B251" s="59"/>
      <c r="C251" s="24">
        <f t="shared" si="44"/>
        <v>1</v>
      </c>
      <c r="D251" s="707"/>
      <c r="E251" s="24">
        <f t="shared" si="45"/>
        <v>0.2</v>
      </c>
      <c r="F251" s="707"/>
      <c r="G251" s="24">
        <f t="shared" si="46"/>
        <v>1</v>
      </c>
      <c r="H251" s="707"/>
      <c r="I251" s="24">
        <f t="shared" si="47"/>
        <v>1</v>
      </c>
      <c r="J251" s="707"/>
      <c r="K251" s="24">
        <f t="shared" si="48"/>
        <v>1</v>
      </c>
      <c r="L251" s="707"/>
      <c r="M251" s="24">
        <f t="shared" si="49"/>
        <v>1</v>
      </c>
      <c r="N251" s="707"/>
      <c r="O251" s="24">
        <f t="shared" si="50"/>
        <v>1</v>
      </c>
      <c r="P251" s="707"/>
      <c r="Q251" s="24">
        <f t="shared" si="51"/>
        <v>1</v>
      </c>
      <c r="R251" s="703">
        <f t="shared" si="52"/>
        <v>0</v>
      </c>
      <c r="S251" s="348">
        <f t="shared" si="53"/>
        <v>0</v>
      </c>
    </row>
    <row r="252" spans="1:19">
      <c r="A252" s="146"/>
      <c r="B252" s="59"/>
      <c r="C252" s="24">
        <f t="shared" si="44"/>
        <v>1</v>
      </c>
      <c r="D252" s="707"/>
      <c r="E252" s="24">
        <f t="shared" si="45"/>
        <v>0.2</v>
      </c>
      <c r="F252" s="707"/>
      <c r="G252" s="24">
        <f t="shared" si="46"/>
        <v>1</v>
      </c>
      <c r="H252" s="707"/>
      <c r="I252" s="24">
        <f t="shared" si="47"/>
        <v>1</v>
      </c>
      <c r="J252" s="707"/>
      <c r="K252" s="24">
        <f t="shared" si="48"/>
        <v>1</v>
      </c>
      <c r="L252" s="707"/>
      <c r="M252" s="24">
        <f t="shared" si="49"/>
        <v>1</v>
      </c>
      <c r="N252" s="707"/>
      <c r="O252" s="24">
        <f t="shared" si="50"/>
        <v>1</v>
      </c>
      <c r="P252" s="707"/>
      <c r="Q252" s="24">
        <f t="shared" si="51"/>
        <v>1</v>
      </c>
      <c r="R252" s="703">
        <f t="shared" si="52"/>
        <v>0</v>
      </c>
      <c r="S252" s="348">
        <f t="shared" si="53"/>
        <v>0</v>
      </c>
    </row>
    <row r="253" spans="1:19">
      <c r="A253" s="146"/>
      <c r="B253" s="59"/>
      <c r="C253" s="24">
        <f t="shared" si="44"/>
        <v>1</v>
      </c>
      <c r="D253" s="707"/>
      <c r="E253" s="24">
        <f t="shared" si="45"/>
        <v>0.2</v>
      </c>
      <c r="F253" s="707"/>
      <c r="G253" s="24">
        <f t="shared" si="46"/>
        <v>1</v>
      </c>
      <c r="H253" s="707"/>
      <c r="I253" s="24">
        <f t="shared" si="47"/>
        <v>1</v>
      </c>
      <c r="J253" s="707"/>
      <c r="K253" s="24">
        <f t="shared" si="48"/>
        <v>1</v>
      </c>
      <c r="L253" s="707"/>
      <c r="M253" s="24">
        <f t="shared" si="49"/>
        <v>1</v>
      </c>
      <c r="N253" s="707"/>
      <c r="O253" s="24">
        <f t="shared" si="50"/>
        <v>1</v>
      </c>
      <c r="P253" s="707"/>
      <c r="Q253" s="24">
        <f t="shared" si="51"/>
        <v>1</v>
      </c>
      <c r="R253" s="703">
        <f t="shared" si="52"/>
        <v>0</v>
      </c>
      <c r="S253" s="348">
        <f t="shared" si="53"/>
        <v>0</v>
      </c>
    </row>
    <row r="254" spans="1:19">
      <c r="A254" s="146"/>
      <c r="B254" s="59"/>
      <c r="C254" s="24">
        <f t="shared" si="44"/>
        <v>1</v>
      </c>
      <c r="D254" s="707"/>
      <c r="E254" s="24">
        <f t="shared" si="45"/>
        <v>0.2</v>
      </c>
      <c r="F254" s="707"/>
      <c r="G254" s="24">
        <f t="shared" si="46"/>
        <v>1</v>
      </c>
      <c r="H254" s="707"/>
      <c r="I254" s="24">
        <f t="shared" si="47"/>
        <v>1</v>
      </c>
      <c r="J254" s="707"/>
      <c r="K254" s="24">
        <f t="shared" si="48"/>
        <v>1</v>
      </c>
      <c r="L254" s="707"/>
      <c r="M254" s="24">
        <f t="shared" si="49"/>
        <v>1</v>
      </c>
      <c r="N254" s="707"/>
      <c r="O254" s="24">
        <f t="shared" si="50"/>
        <v>1</v>
      </c>
      <c r="P254" s="707"/>
      <c r="Q254" s="24">
        <f t="shared" si="51"/>
        <v>1</v>
      </c>
      <c r="R254" s="703">
        <f t="shared" si="52"/>
        <v>0</v>
      </c>
      <c r="S254" s="348">
        <f t="shared" si="53"/>
        <v>0</v>
      </c>
    </row>
    <row r="255" spans="1:19">
      <c r="A255" s="146"/>
      <c r="B255" s="59"/>
      <c r="C255" s="24">
        <f t="shared" si="44"/>
        <v>1</v>
      </c>
      <c r="D255" s="707"/>
      <c r="E255" s="24">
        <f t="shared" si="45"/>
        <v>0.2</v>
      </c>
      <c r="F255" s="707"/>
      <c r="G255" s="24">
        <f t="shared" si="46"/>
        <v>1</v>
      </c>
      <c r="H255" s="707"/>
      <c r="I255" s="24">
        <f t="shared" si="47"/>
        <v>1</v>
      </c>
      <c r="J255" s="707"/>
      <c r="K255" s="24">
        <f t="shared" si="48"/>
        <v>1</v>
      </c>
      <c r="L255" s="707"/>
      <c r="M255" s="24">
        <f t="shared" si="49"/>
        <v>1</v>
      </c>
      <c r="N255" s="707"/>
      <c r="O255" s="24">
        <f t="shared" si="50"/>
        <v>1</v>
      </c>
      <c r="P255" s="707"/>
      <c r="Q255" s="24">
        <f t="shared" si="51"/>
        <v>1</v>
      </c>
      <c r="R255" s="703">
        <f t="shared" si="52"/>
        <v>0</v>
      </c>
      <c r="S255" s="348">
        <f t="shared" si="53"/>
        <v>0</v>
      </c>
    </row>
    <row r="256" spans="1:19">
      <c r="A256" s="146"/>
      <c r="B256" s="59"/>
      <c r="C256" s="24">
        <f t="shared" si="44"/>
        <v>1</v>
      </c>
      <c r="D256" s="707"/>
      <c r="E256" s="24">
        <f t="shared" si="45"/>
        <v>0.2</v>
      </c>
      <c r="F256" s="707"/>
      <c r="G256" s="24">
        <f t="shared" si="46"/>
        <v>1</v>
      </c>
      <c r="H256" s="707"/>
      <c r="I256" s="24">
        <f t="shared" si="47"/>
        <v>1</v>
      </c>
      <c r="J256" s="707"/>
      <c r="K256" s="24">
        <f t="shared" si="48"/>
        <v>1</v>
      </c>
      <c r="L256" s="707"/>
      <c r="M256" s="24">
        <f t="shared" si="49"/>
        <v>1</v>
      </c>
      <c r="N256" s="707"/>
      <c r="O256" s="24">
        <f t="shared" si="50"/>
        <v>1</v>
      </c>
      <c r="P256" s="707"/>
      <c r="Q256" s="24">
        <f t="shared" si="51"/>
        <v>1</v>
      </c>
      <c r="R256" s="703">
        <f t="shared" si="52"/>
        <v>0</v>
      </c>
      <c r="S256" s="348">
        <f t="shared" si="53"/>
        <v>0</v>
      </c>
    </row>
    <row r="257" spans="1:19">
      <c r="A257" s="146"/>
      <c r="B257" s="59"/>
      <c r="C257" s="24">
        <f t="shared" si="44"/>
        <v>1</v>
      </c>
      <c r="D257" s="707"/>
      <c r="E257" s="24">
        <f t="shared" si="45"/>
        <v>0.2</v>
      </c>
      <c r="F257" s="707"/>
      <c r="G257" s="24">
        <f t="shared" si="46"/>
        <v>1</v>
      </c>
      <c r="H257" s="707"/>
      <c r="I257" s="24">
        <f t="shared" si="47"/>
        <v>1</v>
      </c>
      <c r="J257" s="707"/>
      <c r="K257" s="24">
        <f t="shared" si="48"/>
        <v>1</v>
      </c>
      <c r="L257" s="707"/>
      <c r="M257" s="24">
        <f t="shared" si="49"/>
        <v>1</v>
      </c>
      <c r="N257" s="707"/>
      <c r="O257" s="24">
        <f t="shared" si="50"/>
        <v>1</v>
      </c>
      <c r="P257" s="707"/>
      <c r="Q257" s="24">
        <f t="shared" si="51"/>
        <v>1</v>
      </c>
      <c r="R257" s="703">
        <f t="shared" si="52"/>
        <v>0</v>
      </c>
      <c r="S257" s="348">
        <f t="shared" si="53"/>
        <v>0</v>
      </c>
    </row>
    <row r="258" spans="1:19">
      <c r="A258" s="146"/>
      <c r="B258" s="59"/>
      <c r="C258" s="24">
        <f t="shared" si="44"/>
        <v>1</v>
      </c>
      <c r="D258" s="707"/>
      <c r="E258" s="24">
        <f t="shared" si="45"/>
        <v>0.2</v>
      </c>
      <c r="F258" s="707"/>
      <c r="G258" s="24">
        <f t="shared" si="46"/>
        <v>1</v>
      </c>
      <c r="H258" s="707"/>
      <c r="I258" s="24">
        <f t="shared" si="47"/>
        <v>1</v>
      </c>
      <c r="J258" s="707"/>
      <c r="K258" s="24">
        <f t="shared" si="48"/>
        <v>1</v>
      </c>
      <c r="L258" s="707"/>
      <c r="M258" s="24">
        <f t="shared" si="49"/>
        <v>1</v>
      </c>
      <c r="N258" s="707"/>
      <c r="O258" s="24">
        <f t="shared" si="50"/>
        <v>1</v>
      </c>
      <c r="P258" s="707"/>
      <c r="Q258" s="24">
        <f t="shared" si="51"/>
        <v>1</v>
      </c>
      <c r="R258" s="703">
        <f t="shared" si="52"/>
        <v>0</v>
      </c>
      <c r="S258" s="348">
        <f t="shared" si="53"/>
        <v>0</v>
      </c>
    </row>
    <row r="259" spans="1:19">
      <c r="A259" s="146"/>
      <c r="B259" s="59"/>
      <c r="C259" s="24">
        <f t="shared" si="44"/>
        <v>1</v>
      </c>
      <c r="D259" s="707"/>
      <c r="E259" s="24">
        <f t="shared" si="45"/>
        <v>0.2</v>
      </c>
      <c r="F259" s="707"/>
      <c r="G259" s="24">
        <f t="shared" si="46"/>
        <v>1</v>
      </c>
      <c r="H259" s="707"/>
      <c r="I259" s="24">
        <f t="shared" si="47"/>
        <v>1</v>
      </c>
      <c r="J259" s="707"/>
      <c r="K259" s="24">
        <f t="shared" si="48"/>
        <v>1</v>
      </c>
      <c r="L259" s="707"/>
      <c r="M259" s="24">
        <f t="shared" si="49"/>
        <v>1</v>
      </c>
      <c r="N259" s="707"/>
      <c r="O259" s="24">
        <f t="shared" si="50"/>
        <v>1</v>
      </c>
      <c r="P259" s="707"/>
      <c r="Q259" s="24">
        <f t="shared" si="51"/>
        <v>1</v>
      </c>
      <c r="R259" s="703">
        <f t="shared" si="52"/>
        <v>0</v>
      </c>
      <c r="S259" s="348">
        <f t="shared" si="53"/>
        <v>0</v>
      </c>
    </row>
    <row r="260" spans="1:19">
      <c r="A260" s="146"/>
      <c r="B260" s="59"/>
      <c r="C260" s="24">
        <f t="shared" si="44"/>
        <v>1</v>
      </c>
      <c r="D260" s="707"/>
      <c r="E260" s="24">
        <f t="shared" si="45"/>
        <v>0.2</v>
      </c>
      <c r="F260" s="707"/>
      <c r="G260" s="24">
        <f t="shared" si="46"/>
        <v>1</v>
      </c>
      <c r="H260" s="707"/>
      <c r="I260" s="24">
        <f t="shared" si="47"/>
        <v>1</v>
      </c>
      <c r="J260" s="707"/>
      <c r="K260" s="24">
        <f t="shared" si="48"/>
        <v>1</v>
      </c>
      <c r="L260" s="707"/>
      <c r="M260" s="24">
        <f t="shared" si="49"/>
        <v>1</v>
      </c>
      <c r="N260" s="707"/>
      <c r="O260" s="24">
        <f t="shared" si="50"/>
        <v>1</v>
      </c>
      <c r="P260" s="707"/>
      <c r="Q260" s="24">
        <f t="shared" si="51"/>
        <v>1</v>
      </c>
      <c r="R260" s="703">
        <f t="shared" si="52"/>
        <v>0</v>
      </c>
      <c r="S260" s="348">
        <f t="shared" si="53"/>
        <v>0</v>
      </c>
    </row>
    <row r="261" spans="1:19">
      <c r="A261" s="146"/>
      <c r="B261" s="59"/>
      <c r="C261" s="24">
        <f t="shared" si="44"/>
        <v>1</v>
      </c>
      <c r="D261" s="707"/>
      <c r="E261" s="24">
        <f t="shared" si="45"/>
        <v>0.2</v>
      </c>
      <c r="F261" s="707"/>
      <c r="G261" s="24">
        <f t="shared" si="46"/>
        <v>1</v>
      </c>
      <c r="H261" s="707"/>
      <c r="I261" s="24">
        <f t="shared" si="47"/>
        <v>1</v>
      </c>
      <c r="J261" s="707"/>
      <c r="K261" s="24">
        <f t="shared" si="48"/>
        <v>1</v>
      </c>
      <c r="L261" s="707"/>
      <c r="M261" s="24">
        <f t="shared" si="49"/>
        <v>1</v>
      </c>
      <c r="N261" s="707"/>
      <c r="O261" s="24">
        <f t="shared" si="50"/>
        <v>1</v>
      </c>
      <c r="P261" s="707"/>
      <c r="Q261" s="24">
        <f t="shared" si="51"/>
        <v>1</v>
      </c>
      <c r="R261" s="703">
        <f t="shared" si="52"/>
        <v>0</v>
      </c>
      <c r="S261" s="348">
        <f t="shared" si="53"/>
        <v>0</v>
      </c>
    </row>
    <row r="262" spans="1:19">
      <c r="A262" s="146"/>
      <c r="B262" s="59"/>
      <c r="C262" s="24">
        <f t="shared" si="44"/>
        <v>1</v>
      </c>
      <c r="D262" s="707"/>
      <c r="E262" s="24">
        <f t="shared" si="45"/>
        <v>0.2</v>
      </c>
      <c r="F262" s="707"/>
      <c r="G262" s="24">
        <f t="shared" si="46"/>
        <v>1</v>
      </c>
      <c r="H262" s="707"/>
      <c r="I262" s="24">
        <f t="shared" si="47"/>
        <v>1</v>
      </c>
      <c r="J262" s="707"/>
      <c r="K262" s="24">
        <f t="shared" si="48"/>
        <v>1</v>
      </c>
      <c r="L262" s="707"/>
      <c r="M262" s="24">
        <f t="shared" si="49"/>
        <v>1</v>
      </c>
      <c r="N262" s="707"/>
      <c r="O262" s="24">
        <f t="shared" si="50"/>
        <v>1</v>
      </c>
      <c r="P262" s="707"/>
      <c r="Q262" s="24">
        <f t="shared" si="51"/>
        <v>1</v>
      </c>
      <c r="R262" s="703">
        <f t="shared" si="52"/>
        <v>0</v>
      </c>
      <c r="S262" s="348">
        <f t="shared" si="53"/>
        <v>0</v>
      </c>
    </row>
    <row r="263" spans="1:19">
      <c r="A263" s="146"/>
      <c r="B263" s="59"/>
      <c r="C263" s="24">
        <f t="shared" si="44"/>
        <v>1</v>
      </c>
      <c r="D263" s="707"/>
      <c r="E263" s="24">
        <f t="shared" si="45"/>
        <v>0.2</v>
      </c>
      <c r="F263" s="707"/>
      <c r="G263" s="24">
        <f t="shared" si="46"/>
        <v>1</v>
      </c>
      <c r="H263" s="707"/>
      <c r="I263" s="24">
        <f t="shared" si="47"/>
        <v>1</v>
      </c>
      <c r="J263" s="707"/>
      <c r="K263" s="24">
        <f t="shared" si="48"/>
        <v>1</v>
      </c>
      <c r="L263" s="707"/>
      <c r="M263" s="24">
        <f t="shared" si="49"/>
        <v>1</v>
      </c>
      <c r="N263" s="707"/>
      <c r="O263" s="24">
        <f t="shared" si="50"/>
        <v>1</v>
      </c>
      <c r="P263" s="707"/>
      <c r="Q263" s="24">
        <f t="shared" si="51"/>
        <v>1</v>
      </c>
      <c r="R263" s="703">
        <f t="shared" si="52"/>
        <v>0</v>
      </c>
      <c r="S263" s="348">
        <f t="shared" si="53"/>
        <v>0</v>
      </c>
    </row>
    <row r="264" spans="1:19">
      <c r="A264" s="146"/>
      <c r="B264" s="59"/>
      <c r="C264" s="24">
        <f t="shared" si="44"/>
        <v>1</v>
      </c>
      <c r="D264" s="707"/>
      <c r="E264" s="24">
        <f t="shared" si="45"/>
        <v>0.2</v>
      </c>
      <c r="F264" s="707"/>
      <c r="G264" s="24">
        <f t="shared" si="46"/>
        <v>1</v>
      </c>
      <c r="H264" s="707"/>
      <c r="I264" s="24">
        <f t="shared" si="47"/>
        <v>1</v>
      </c>
      <c r="J264" s="707"/>
      <c r="K264" s="24">
        <f t="shared" si="48"/>
        <v>1</v>
      </c>
      <c r="L264" s="707"/>
      <c r="M264" s="24">
        <f t="shared" si="49"/>
        <v>1</v>
      </c>
      <c r="N264" s="707"/>
      <c r="O264" s="24">
        <f t="shared" si="50"/>
        <v>1</v>
      </c>
      <c r="P264" s="707"/>
      <c r="Q264" s="24">
        <f t="shared" si="51"/>
        <v>1</v>
      </c>
      <c r="R264" s="703">
        <f t="shared" si="52"/>
        <v>0</v>
      </c>
      <c r="S264" s="348">
        <f t="shared" si="53"/>
        <v>0</v>
      </c>
    </row>
    <row r="265" spans="1:19">
      <c r="A265" s="146"/>
      <c r="B265" s="59"/>
      <c r="C265" s="24">
        <f t="shared" si="44"/>
        <v>1</v>
      </c>
      <c r="D265" s="707"/>
      <c r="E265" s="24">
        <f t="shared" si="45"/>
        <v>0.2</v>
      </c>
      <c r="F265" s="707"/>
      <c r="G265" s="24">
        <f t="shared" si="46"/>
        <v>1</v>
      </c>
      <c r="H265" s="707"/>
      <c r="I265" s="24">
        <f t="shared" si="47"/>
        <v>1</v>
      </c>
      <c r="J265" s="707"/>
      <c r="K265" s="24">
        <f t="shared" si="48"/>
        <v>1</v>
      </c>
      <c r="L265" s="707"/>
      <c r="M265" s="24">
        <f t="shared" si="49"/>
        <v>1</v>
      </c>
      <c r="N265" s="707"/>
      <c r="O265" s="24">
        <f t="shared" si="50"/>
        <v>1</v>
      </c>
      <c r="P265" s="707"/>
      <c r="Q265" s="24">
        <f t="shared" si="51"/>
        <v>1</v>
      </c>
      <c r="R265" s="703">
        <f t="shared" si="52"/>
        <v>0</v>
      </c>
      <c r="S265" s="348">
        <f t="shared" si="53"/>
        <v>0</v>
      </c>
    </row>
    <row r="266" spans="1:19">
      <c r="A266" s="146"/>
      <c r="B266" s="59"/>
      <c r="C266" s="24">
        <f t="shared" si="44"/>
        <v>1</v>
      </c>
      <c r="D266" s="707"/>
      <c r="E266" s="24">
        <f t="shared" si="45"/>
        <v>0.2</v>
      </c>
      <c r="F266" s="707"/>
      <c r="G266" s="24">
        <f t="shared" si="46"/>
        <v>1</v>
      </c>
      <c r="H266" s="707"/>
      <c r="I266" s="24">
        <f t="shared" si="47"/>
        <v>1</v>
      </c>
      <c r="J266" s="707"/>
      <c r="K266" s="24">
        <f t="shared" si="48"/>
        <v>1</v>
      </c>
      <c r="L266" s="707"/>
      <c r="M266" s="24">
        <f t="shared" si="49"/>
        <v>1</v>
      </c>
      <c r="N266" s="707"/>
      <c r="O266" s="24">
        <f t="shared" si="50"/>
        <v>1</v>
      </c>
      <c r="P266" s="707"/>
      <c r="Q266" s="24">
        <f t="shared" si="51"/>
        <v>1</v>
      </c>
      <c r="R266" s="703">
        <f t="shared" si="52"/>
        <v>0</v>
      </c>
      <c r="S266" s="348">
        <f t="shared" si="53"/>
        <v>0</v>
      </c>
    </row>
    <row r="267" spans="1:19">
      <c r="A267" s="146"/>
      <c r="B267" s="59"/>
      <c r="C267" s="24">
        <f t="shared" si="44"/>
        <v>1</v>
      </c>
      <c r="D267" s="707"/>
      <c r="E267" s="24">
        <f t="shared" si="45"/>
        <v>0.2</v>
      </c>
      <c r="F267" s="707"/>
      <c r="G267" s="24">
        <f t="shared" si="46"/>
        <v>1</v>
      </c>
      <c r="H267" s="707"/>
      <c r="I267" s="24">
        <f t="shared" si="47"/>
        <v>1</v>
      </c>
      <c r="J267" s="707"/>
      <c r="K267" s="24">
        <f t="shared" si="48"/>
        <v>1</v>
      </c>
      <c r="L267" s="707"/>
      <c r="M267" s="24">
        <f t="shared" si="49"/>
        <v>1</v>
      </c>
      <c r="N267" s="707"/>
      <c r="O267" s="24">
        <f t="shared" si="50"/>
        <v>1</v>
      </c>
      <c r="P267" s="707"/>
      <c r="Q267" s="24">
        <f t="shared" si="51"/>
        <v>1</v>
      </c>
      <c r="R267" s="703">
        <f t="shared" si="52"/>
        <v>0</v>
      </c>
      <c r="S267" s="348">
        <f t="shared" si="53"/>
        <v>0</v>
      </c>
    </row>
    <row r="268" spans="1:19">
      <c r="A268" s="146"/>
      <c r="B268" s="59"/>
      <c r="C268" s="24">
        <f t="shared" si="44"/>
        <v>1</v>
      </c>
      <c r="D268" s="707"/>
      <c r="E268" s="24">
        <f t="shared" si="45"/>
        <v>0.2</v>
      </c>
      <c r="F268" s="707"/>
      <c r="G268" s="24">
        <f t="shared" si="46"/>
        <v>1</v>
      </c>
      <c r="H268" s="707"/>
      <c r="I268" s="24">
        <f t="shared" si="47"/>
        <v>1</v>
      </c>
      <c r="J268" s="707"/>
      <c r="K268" s="24">
        <f t="shared" si="48"/>
        <v>1</v>
      </c>
      <c r="L268" s="707"/>
      <c r="M268" s="24">
        <f t="shared" si="49"/>
        <v>1</v>
      </c>
      <c r="N268" s="707"/>
      <c r="O268" s="24">
        <f t="shared" si="50"/>
        <v>1</v>
      </c>
      <c r="P268" s="707"/>
      <c r="Q268" s="24">
        <f t="shared" si="51"/>
        <v>1</v>
      </c>
      <c r="R268" s="703">
        <f t="shared" si="52"/>
        <v>0</v>
      </c>
      <c r="S268" s="348">
        <f t="shared" si="53"/>
        <v>0</v>
      </c>
    </row>
    <row r="269" spans="1:19">
      <c r="A269" s="146"/>
      <c r="B269" s="59"/>
      <c r="C269" s="24">
        <f t="shared" si="44"/>
        <v>1</v>
      </c>
      <c r="D269" s="707"/>
      <c r="E269" s="24">
        <f t="shared" si="45"/>
        <v>0.2</v>
      </c>
      <c r="F269" s="707"/>
      <c r="G269" s="24">
        <f t="shared" si="46"/>
        <v>1</v>
      </c>
      <c r="H269" s="707"/>
      <c r="I269" s="24">
        <f t="shared" si="47"/>
        <v>1</v>
      </c>
      <c r="J269" s="707"/>
      <c r="K269" s="24">
        <f t="shared" si="48"/>
        <v>1</v>
      </c>
      <c r="L269" s="707"/>
      <c r="M269" s="24">
        <f t="shared" si="49"/>
        <v>1</v>
      </c>
      <c r="N269" s="707"/>
      <c r="O269" s="24">
        <f t="shared" si="50"/>
        <v>1</v>
      </c>
      <c r="P269" s="707"/>
      <c r="Q269" s="24">
        <f t="shared" si="51"/>
        <v>1</v>
      </c>
      <c r="R269" s="703">
        <f t="shared" si="52"/>
        <v>0</v>
      </c>
      <c r="S269" s="348">
        <f t="shared" si="53"/>
        <v>0</v>
      </c>
    </row>
    <row r="270" spans="1:19">
      <c r="A270" s="146"/>
      <c r="B270" s="59"/>
      <c r="C270" s="24">
        <f t="shared" si="44"/>
        <v>1</v>
      </c>
      <c r="D270" s="707"/>
      <c r="E270" s="24">
        <f t="shared" si="45"/>
        <v>0.2</v>
      </c>
      <c r="F270" s="707"/>
      <c r="G270" s="24">
        <f t="shared" si="46"/>
        <v>1</v>
      </c>
      <c r="H270" s="707"/>
      <c r="I270" s="24">
        <f t="shared" si="47"/>
        <v>1</v>
      </c>
      <c r="J270" s="707"/>
      <c r="K270" s="24">
        <f t="shared" si="48"/>
        <v>1</v>
      </c>
      <c r="L270" s="707"/>
      <c r="M270" s="24">
        <f t="shared" si="49"/>
        <v>1</v>
      </c>
      <c r="N270" s="707"/>
      <c r="O270" s="24">
        <f t="shared" si="50"/>
        <v>1</v>
      </c>
      <c r="P270" s="707"/>
      <c r="Q270" s="24">
        <f t="shared" si="51"/>
        <v>1</v>
      </c>
      <c r="R270" s="703">
        <f t="shared" si="52"/>
        <v>0</v>
      </c>
      <c r="S270" s="348">
        <f t="shared" si="53"/>
        <v>0</v>
      </c>
    </row>
    <row r="271" spans="1:19">
      <c r="A271" s="146"/>
      <c r="B271" s="59"/>
      <c r="C271" s="24">
        <f t="shared" si="44"/>
        <v>1</v>
      </c>
      <c r="D271" s="707"/>
      <c r="E271" s="24">
        <f t="shared" si="45"/>
        <v>0.2</v>
      </c>
      <c r="F271" s="707"/>
      <c r="G271" s="24">
        <f t="shared" si="46"/>
        <v>1</v>
      </c>
      <c r="H271" s="707"/>
      <c r="I271" s="24">
        <f t="shared" si="47"/>
        <v>1</v>
      </c>
      <c r="J271" s="707"/>
      <c r="K271" s="24">
        <f t="shared" si="48"/>
        <v>1</v>
      </c>
      <c r="L271" s="707"/>
      <c r="M271" s="24">
        <f t="shared" si="49"/>
        <v>1</v>
      </c>
      <c r="N271" s="707"/>
      <c r="O271" s="24">
        <f t="shared" si="50"/>
        <v>1</v>
      </c>
      <c r="P271" s="707"/>
      <c r="Q271" s="24">
        <f t="shared" si="51"/>
        <v>1</v>
      </c>
      <c r="R271" s="703">
        <f t="shared" si="52"/>
        <v>0</v>
      </c>
      <c r="S271" s="348">
        <f t="shared" si="53"/>
        <v>0</v>
      </c>
    </row>
    <row r="272" spans="1:19">
      <c r="A272" s="146"/>
      <c r="B272" s="59"/>
      <c r="C272" s="24">
        <f t="shared" si="44"/>
        <v>1</v>
      </c>
      <c r="D272" s="707"/>
      <c r="E272" s="24">
        <f t="shared" si="45"/>
        <v>0.2</v>
      </c>
      <c r="F272" s="707"/>
      <c r="G272" s="24">
        <f t="shared" si="46"/>
        <v>1</v>
      </c>
      <c r="H272" s="707"/>
      <c r="I272" s="24">
        <f t="shared" si="47"/>
        <v>1</v>
      </c>
      <c r="J272" s="707"/>
      <c r="K272" s="24">
        <f t="shared" si="48"/>
        <v>1</v>
      </c>
      <c r="L272" s="707"/>
      <c r="M272" s="24">
        <f t="shared" si="49"/>
        <v>1</v>
      </c>
      <c r="N272" s="707"/>
      <c r="O272" s="24">
        <f t="shared" si="50"/>
        <v>1</v>
      </c>
      <c r="P272" s="707"/>
      <c r="Q272" s="24">
        <f t="shared" si="51"/>
        <v>1</v>
      </c>
      <c r="R272" s="703">
        <f t="shared" si="52"/>
        <v>0</v>
      </c>
      <c r="S272" s="348">
        <f t="shared" si="53"/>
        <v>0</v>
      </c>
    </row>
    <row r="273" spans="1:19">
      <c r="A273" s="146"/>
      <c r="B273" s="59"/>
      <c r="C273" s="24">
        <f t="shared" si="44"/>
        <v>1</v>
      </c>
      <c r="D273" s="707"/>
      <c r="E273" s="24">
        <f t="shared" si="45"/>
        <v>0.2</v>
      </c>
      <c r="F273" s="707"/>
      <c r="G273" s="24">
        <f t="shared" si="46"/>
        <v>1</v>
      </c>
      <c r="H273" s="707"/>
      <c r="I273" s="24">
        <f t="shared" si="47"/>
        <v>1</v>
      </c>
      <c r="J273" s="707"/>
      <c r="K273" s="24">
        <f t="shared" si="48"/>
        <v>1</v>
      </c>
      <c r="L273" s="707"/>
      <c r="M273" s="24">
        <f t="shared" si="49"/>
        <v>1</v>
      </c>
      <c r="N273" s="707"/>
      <c r="O273" s="24">
        <f t="shared" si="50"/>
        <v>1</v>
      </c>
      <c r="P273" s="707"/>
      <c r="Q273" s="24">
        <f t="shared" si="51"/>
        <v>1</v>
      </c>
      <c r="R273" s="703">
        <f t="shared" si="52"/>
        <v>0</v>
      </c>
      <c r="S273" s="348">
        <f t="shared" si="53"/>
        <v>0</v>
      </c>
    </row>
    <row r="274" spans="1:19">
      <c r="A274" s="146"/>
      <c r="B274" s="59"/>
      <c r="C274" s="24">
        <f t="shared" si="44"/>
        <v>1</v>
      </c>
      <c r="D274" s="707"/>
      <c r="E274" s="24">
        <f t="shared" si="45"/>
        <v>0.2</v>
      </c>
      <c r="F274" s="707"/>
      <c r="G274" s="24">
        <f t="shared" si="46"/>
        <v>1</v>
      </c>
      <c r="H274" s="707"/>
      <c r="I274" s="24">
        <f t="shared" si="47"/>
        <v>1</v>
      </c>
      <c r="J274" s="707"/>
      <c r="K274" s="24">
        <f t="shared" si="48"/>
        <v>1</v>
      </c>
      <c r="L274" s="707"/>
      <c r="M274" s="24">
        <f t="shared" si="49"/>
        <v>1</v>
      </c>
      <c r="N274" s="707"/>
      <c r="O274" s="24">
        <f t="shared" si="50"/>
        <v>1</v>
      </c>
      <c r="P274" s="707"/>
      <c r="Q274" s="24">
        <f t="shared" si="51"/>
        <v>1</v>
      </c>
      <c r="R274" s="703">
        <f t="shared" si="52"/>
        <v>0</v>
      </c>
      <c r="S274" s="348">
        <f t="shared" si="53"/>
        <v>0</v>
      </c>
    </row>
    <row r="275" spans="1:19">
      <c r="A275" s="146"/>
      <c r="B275" s="59"/>
      <c r="C275" s="24">
        <f t="shared" si="44"/>
        <v>1</v>
      </c>
      <c r="D275" s="707"/>
      <c r="E275" s="24">
        <f t="shared" si="45"/>
        <v>0.2</v>
      </c>
      <c r="F275" s="707"/>
      <c r="G275" s="24">
        <f t="shared" si="46"/>
        <v>1</v>
      </c>
      <c r="H275" s="707"/>
      <c r="I275" s="24">
        <f t="shared" si="47"/>
        <v>1</v>
      </c>
      <c r="J275" s="707"/>
      <c r="K275" s="24">
        <f t="shared" si="48"/>
        <v>1</v>
      </c>
      <c r="L275" s="707"/>
      <c r="M275" s="24">
        <f t="shared" si="49"/>
        <v>1</v>
      </c>
      <c r="N275" s="707"/>
      <c r="O275" s="24">
        <f t="shared" si="50"/>
        <v>1</v>
      </c>
      <c r="P275" s="707"/>
      <c r="Q275" s="24">
        <f t="shared" si="51"/>
        <v>1</v>
      </c>
      <c r="R275" s="703">
        <f t="shared" si="52"/>
        <v>0</v>
      </c>
      <c r="S275" s="348">
        <f t="shared" si="53"/>
        <v>0</v>
      </c>
    </row>
    <row r="276" spans="1:19">
      <c r="A276" s="146"/>
      <c r="B276" s="59"/>
      <c r="C276" s="24">
        <f t="shared" si="44"/>
        <v>1</v>
      </c>
      <c r="D276" s="707"/>
      <c r="E276" s="24">
        <f t="shared" si="45"/>
        <v>0.2</v>
      </c>
      <c r="F276" s="707"/>
      <c r="G276" s="24">
        <f t="shared" si="46"/>
        <v>1</v>
      </c>
      <c r="H276" s="707"/>
      <c r="I276" s="24">
        <f t="shared" si="47"/>
        <v>1</v>
      </c>
      <c r="J276" s="707"/>
      <c r="K276" s="24">
        <f t="shared" si="48"/>
        <v>1</v>
      </c>
      <c r="L276" s="707"/>
      <c r="M276" s="24">
        <f t="shared" si="49"/>
        <v>1</v>
      </c>
      <c r="N276" s="707"/>
      <c r="O276" s="24">
        <f t="shared" si="50"/>
        <v>1</v>
      </c>
      <c r="P276" s="707"/>
      <c r="Q276" s="24">
        <f t="shared" si="51"/>
        <v>1</v>
      </c>
      <c r="R276" s="703">
        <f t="shared" si="52"/>
        <v>0</v>
      </c>
      <c r="S276" s="348">
        <f t="shared" si="53"/>
        <v>0</v>
      </c>
    </row>
    <row r="277" spans="1:19">
      <c r="A277" s="146"/>
      <c r="B277" s="59"/>
      <c r="C277" s="24">
        <f t="shared" si="44"/>
        <v>1</v>
      </c>
      <c r="D277" s="707"/>
      <c r="E277" s="24">
        <f t="shared" si="45"/>
        <v>0.2</v>
      </c>
      <c r="F277" s="707"/>
      <c r="G277" s="24">
        <f t="shared" si="46"/>
        <v>1</v>
      </c>
      <c r="H277" s="707"/>
      <c r="I277" s="24">
        <f t="shared" si="47"/>
        <v>1</v>
      </c>
      <c r="J277" s="707"/>
      <c r="K277" s="24">
        <f t="shared" si="48"/>
        <v>1</v>
      </c>
      <c r="L277" s="707"/>
      <c r="M277" s="24">
        <f t="shared" si="49"/>
        <v>1</v>
      </c>
      <c r="N277" s="707"/>
      <c r="O277" s="24">
        <f t="shared" si="50"/>
        <v>1</v>
      </c>
      <c r="P277" s="707"/>
      <c r="Q277" s="24">
        <f t="shared" si="51"/>
        <v>1</v>
      </c>
      <c r="R277" s="703">
        <f t="shared" si="52"/>
        <v>0</v>
      </c>
      <c r="S277" s="348">
        <f t="shared" si="53"/>
        <v>0</v>
      </c>
    </row>
    <row r="278" spans="1:19">
      <c r="A278" s="146"/>
      <c r="B278" s="59"/>
      <c r="C278" s="24">
        <f t="shared" si="44"/>
        <v>1</v>
      </c>
      <c r="D278" s="707"/>
      <c r="E278" s="24">
        <f t="shared" si="45"/>
        <v>0.2</v>
      </c>
      <c r="F278" s="707"/>
      <c r="G278" s="24">
        <f t="shared" si="46"/>
        <v>1</v>
      </c>
      <c r="H278" s="707"/>
      <c r="I278" s="24">
        <f t="shared" si="47"/>
        <v>1</v>
      </c>
      <c r="J278" s="707"/>
      <c r="K278" s="24">
        <f t="shared" si="48"/>
        <v>1</v>
      </c>
      <c r="L278" s="707"/>
      <c r="M278" s="24">
        <f t="shared" si="49"/>
        <v>1</v>
      </c>
      <c r="N278" s="707"/>
      <c r="O278" s="24">
        <f t="shared" si="50"/>
        <v>1</v>
      </c>
      <c r="P278" s="707"/>
      <c r="Q278" s="24">
        <f t="shared" si="51"/>
        <v>1</v>
      </c>
      <c r="R278" s="703">
        <f t="shared" si="52"/>
        <v>0</v>
      </c>
      <c r="S278" s="348">
        <f t="shared" si="53"/>
        <v>0</v>
      </c>
    </row>
    <row r="279" spans="1:19">
      <c r="A279" s="146"/>
      <c r="B279" s="59"/>
      <c r="C279" s="24">
        <f t="shared" si="44"/>
        <v>1</v>
      </c>
      <c r="D279" s="707"/>
      <c r="E279" s="24">
        <f t="shared" si="45"/>
        <v>0.2</v>
      </c>
      <c r="F279" s="707"/>
      <c r="G279" s="24">
        <f t="shared" si="46"/>
        <v>1</v>
      </c>
      <c r="H279" s="707"/>
      <c r="I279" s="24">
        <f t="shared" si="47"/>
        <v>1</v>
      </c>
      <c r="J279" s="707"/>
      <c r="K279" s="24">
        <f t="shared" si="48"/>
        <v>1</v>
      </c>
      <c r="L279" s="707"/>
      <c r="M279" s="24">
        <f t="shared" si="49"/>
        <v>1</v>
      </c>
      <c r="N279" s="707"/>
      <c r="O279" s="24">
        <f t="shared" si="50"/>
        <v>1</v>
      </c>
      <c r="P279" s="707"/>
      <c r="Q279" s="24">
        <f t="shared" si="51"/>
        <v>1</v>
      </c>
      <c r="R279" s="703">
        <f t="shared" si="52"/>
        <v>0</v>
      </c>
      <c r="S279" s="348">
        <f t="shared" si="53"/>
        <v>0</v>
      </c>
    </row>
    <row r="280" spans="1:19">
      <c r="A280" s="146"/>
      <c r="B280" s="59"/>
      <c r="C280" s="24">
        <f t="shared" si="44"/>
        <v>1</v>
      </c>
      <c r="D280" s="707"/>
      <c r="E280" s="24">
        <f t="shared" si="45"/>
        <v>0.2</v>
      </c>
      <c r="F280" s="707"/>
      <c r="G280" s="24">
        <f t="shared" si="46"/>
        <v>1</v>
      </c>
      <c r="H280" s="707"/>
      <c r="I280" s="24">
        <f t="shared" si="47"/>
        <v>1</v>
      </c>
      <c r="J280" s="707"/>
      <c r="K280" s="24">
        <f t="shared" si="48"/>
        <v>1</v>
      </c>
      <c r="L280" s="707"/>
      <c r="M280" s="24">
        <f t="shared" si="49"/>
        <v>1</v>
      </c>
      <c r="N280" s="707"/>
      <c r="O280" s="24">
        <f t="shared" si="50"/>
        <v>1</v>
      </c>
      <c r="P280" s="707"/>
      <c r="Q280" s="24">
        <f t="shared" si="51"/>
        <v>1</v>
      </c>
      <c r="R280" s="703">
        <f t="shared" si="52"/>
        <v>0</v>
      </c>
      <c r="S280" s="348">
        <f t="shared" si="53"/>
        <v>0</v>
      </c>
    </row>
    <row r="281" spans="1:19">
      <c r="A281" s="146"/>
      <c r="B281" s="59"/>
      <c r="C281" s="24">
        <f t="shared" si="44"/>
        <v>1</v>
      </c>
      <c r="D281" s="707"/>
      <c r="E281" s="24">
        <f t="shared" si="45"/>
        <v>0.2</v>
      </c>
      <c r="F281" s="707"/>
      <c r="G281" s="24">
        <f t="shared" si="46"/>
        <v>1</v>
      </c>
      <c r="H281" s="707"/>
      <c r="I281" s="24">
        <f t="shared" si="47"/>
        <v>1</v>
      </c>
      <c r="J281" s="707"/>
      <c r="K281" s="24">
        <f t="shared" si="48"/>
        <v>1</v>
      </c>
      <c r="L281" s="707"/>
      <c r="M281" s="24">
        <f t="shared" si="49"/>
        <v>1</v>
      </c>
      <c r="N281" s="707"/>
      <c r="O281" s="24">
        <f t="shared" si="50"/>
        <v>1</v>
      </c>
      <c r="P281" s="707"/>
      <c r="Q281" s="24">
        <f t="shared" si="51"/>
        <v>1</v>
      </c>
      <c r="R281" s="703">
        <f t="shared" si="52"/>
        <v>0</v>
      </c>
      <c r="S281" s="348">
        <f t="shared" si="53"/>
        <v>0</v>
      </c>
    </row>
    <row r="282" spans="1:19">
      <c r="A282" s="146"/>
      <c r="B282" s="59"/>
      <c r="C282" s="24">
        <f t="shared" ref="C282:C345" si="54">IF(B282="",1,(LOOKUP(B282,$3:$3,$4:$4)-LOOKUP($B$24,$3:$3,$4:$4)+100)/100)</f>
        <v>1</v>
      </c>
      <c r="D282" s="707"/>
      <c r="E282" s="24">
        <f t="shared" ref="E282:E345" si="55">(SUMIF($5:$5,D282,$6:$6)-SUMIF($5:$5,$D$24,$6:$6)+100)/100</f>
        <v>0.2</v>
      </c>
      <c r="F282" s="707"/>
      <c r="G282" s="24">
        <f t="shared" ref="G282:G345" si="56">(SUMIF($7:$7,F282,$8:$8)-SUMIF($7:$7,$F$24,$8:$8)+100)/100</f>
        <v>1</v>
      </c>
      <c r="H282" s="707"/>
      <c r="I282" s="24">
        <f t="shared" ref="I282:I345" si="57">(SUMIF($9:$9,H282,$10:$10)-SUMIF($9:$9,$H$24,$10:$10)+100)/100</f>
        <v>1</v>
      </c>
      <c r="J282" s="707"/>
      <c r="K282" s="24">
        <f t="shared" ref="K282:K345" si="58">(SUMIF($11:$11,J282,$12:$12)-SUMIF($11:$11,$J$24,$12:$12)+100)/100</f>
        <v>1</v>
      </c>
      <c r="L282" s="707"/>
      <c r="M282" s="24">
        <f t="shared" ref="M282:M345" si="59">(SUMIF($13:$13,L282,$14:$14)-SUMIF($13:$13,$L$24,$14:$14)+100)/100</f>
        <v>1</v>
      </c>
      <c r="N282" s="707"/>
      <c r="O282" s="24">
        <f t="shared" ref="O282:O345" si="60">(SUMIF($15:$15,N282,$16:$16)-SUMIF($15:$15,$N$24,$16:$16)+100)/100</f>
        <v>1</v>
      </c>
      <c r="P282" s="707"/>
      <c r="Q282" s="24">
        <f t="shared" ref="Q282:Q345" si="61">(SUMIF($17:$17,P282,$18:$18)-SUMIF($17:$17,$P$24,$18:$18)+100)/100</f>
        <v>1</v>
      </c>
      <c r="R282" s="703">
        <f t="shared" ref="R282:R345" si="62">IF(B282="",0,ROUND($R$24*C282*E282*G282*I282*K282*M282*O282*Q282,0))</f>
        <v>0</v>
      </c>
      <c r="S282" s="348">
        <f t="shared" si="53"/>
        <v>0</v>
      </c>
    </row>
    <row r="283" spans="1:19">
      <c r="A283" s="146"/>
      <c r="B283" s="59"/>
      <c r="C283" s="24">
        <f t="shared" si="54"/>
        <v>1</v>
      </c>
      <c r="D283" s="707"/>
      <c r="E283" s="24">
        <f t="shared" si="55"/>
        <v>0.2</v>
      </c>
      <c r="F283" s="707"/>
      <c r="G283" s="24">
        <f t="shared" si="56"/>
        <v>1</v>
      </c>
      <c r="H283" s="707"/>
      <c r="I283" s="24">
        <f t="shared" si="57"/>
        <v>1</v>
      </c>
      <c r="J283" s="707"/>
      <c r="K283" s="24">
        <f t="shared" si="58"/>
        <v>1</v>
      </c>
      <c r="L283" s="707"/>
      <c r="M283" s="24">
        <f t="shared" si="59"/>
        <v>1</v>
      </c>
      <c r="N283" s="707"/>
      <c r="O283" s="24">
        <f t="shared" si="60"/>
        <v>1</v>
      </c>
      <c r="P283" s="707"/>
      <c r="Q283" s="24">
        <f t="shared" si="61"/>
        <v>1</v>
      </c>
      <c r="R283" s="703">
        <f t="shared" si="62"/>
        <v>0</v>
      </c>
      <c r="S283" s="348">
        <f t="shared" si="53"/>
        <v>0</v>
      </c>
    </row>
    <row r="284" spans="1:19">
      <c r="A284" s="146"/>
      <c r="B284" s="59"/>
      <c r="C284" s="24">
        <f t="shared" si="54"/>
        <v>1</v>
      </c>
      <c r="D284" s="707"/>
      <c r="E284" s="24">
        <f t="shared" si="55"/>
        <v>0.2</v>
      </c>
      <c r="F284" s="707"/>
      <c r="G284" s="24">
        <f t="shared" si="56"/>
        <v>1</v>
      </c>
      <c r="H284" s="707"/>
      <c r="I284" s="24">
        <f t="shared" si="57"/>
        <v>1</v>
      </c>
      <c r="J284" s="707"/>
      <c r="K284" s="24">
        <f t="shared" si="58"/>
        <v>1</v>
      </c>
      <c r="L284" s="707"/>
      <c r="M284" s="24">
        <f t="shared" si="59"/>
        <v>1</v>
      </c>
      <c r="N284" s="707"/>
      <c r="O284" s="24">
        <f t="shared" si="60"/>
        <v>1</v>
      </c>
      <c r="P284" s="707"/>
      <c r="Q284" s="24">
        <f t="shared" si="61"/>
        <v>1</v>
      </c>
      <c r="R284" s="703">
        <f t="shared" si="62"/>
        <v>0</v>
      </c>
      <c r="S284" s="348">
        <f t="shared" si="53"/>
        <v>0</v>
      </c>
    </row>
    <row r="285" spans="1:19">
      <c r="A285" s="146"/>
      <c r="B285" s="59"/>
      <c r="C285" s="24">
        <f t="shared" si="54"/>
        <v>1</v>
      </c>
      <c r="D285" s="707"/>
      <c r="E285" s="24">
        <f t="shared" si="55"/>
        <v>0.2</v>
      </c>
      <c r="F285" s="707"/>
      <c r="G285" s="24">
        <f t="shared" si="56"/>
        <v>1</v>
      </c>
      <c r="H285" s="707"/>
      <c r="I285" s="24">
        <f t="shared" si="57"/>
        <v>1</v>
      </c>
      <c r="J285" s="707"/>
      <c r="K285" s="24">
        <f t="shared" si="58"/>
        <v>1</v>
      </c>
      <c r="L285" s="707"/>
      <c r="M285" s="24">
        <f t="shared" si="59"/>
        <v>1</v>
      </c>
      <c r="N285" s="707"/>
      <c r="O285" s="24">
        <f t="shared" si="60"/>
        <v>1</v>
      </c>
      <c r="P285" s="707"/>
      <c r="Q285" s="24">
        <f t="shared" si="61"/>
        <v>1</v>
      </c>
      <c r="R285" s="703">
        <f t="shared" si="62"/>
        <v>0</v>
      </c>
      <c r="S285" s="348">
        <f t="shared" si="53"/>
        <v>0</v>
      </c>
    </row>
    <row r="286" spans="1:19">
      <c r="A286" s="146"/>
      <c r="B286" s="59"/>
      <c r="C286" s="24">
        <f t="shared" si="54"/>
        <v>1</v>
      </c>
      <c r="D286" s="707"/>
      <c r="E286" s="24">
        <f t="shared" si="55"/>
        <v>0.2</v>
      </c>
      <c r="F286" s="707"/>
      <c r="G286" s="24">
        <f t="shared" si="56"/>
        <v>1</v>
      </c>
      <c r="H286" s="707"/>
      <c r="I286" s="24">
        <f t="shared" si="57"/>
        <v>1</v>
      </c>
      <c r="J286" s="707"/>
      <c r="K286" s="24">
        <f t="shared" si="58"/>
        <v>1</v>
      </c>
      <c r="L286" s="707"/>
      <c r="M286" s="24">
        <f t="shared" si="59"/>
        <v>1</v>
      </c>
      <c r="N286" s="707"/>
      <c r="O286" s="24">
        <f t="shared" si="60"/>
        <v>1</v>
      </c>
      <c r="P286" s="707"/>
      <c r="Q286" s="24">
        <f t="shared" si="61"/>
        <v>1</v>
      </c>
      <c r="R286" s="703">
        <f t="shared" si="62"/>
        <v>0</v>
      </c>
      <c r="S286" s="348">
        <f t="shared" si="53"/>
        <v>0</v>
      </c>
    </row>
    <row r="287" spans="1:19">
      <c r="A287" s="146"/>
      <c r="B287" s="59"/>
      <c r="C287" s="24">
        <f t="shared" si="54"/>
        <v>1</v>
      </c>
      <c r="D287" s="707"/>
      <c r="E287" s="24">
        <f t="shared" si="55"/>
        <v>0.2</v>
      </c>
      <c r="F287" s="707"/>
      <c r="G287" s="24">
        <f t="shared" si="56"/>
        <v>1</v>
      </c>
      <c r="H287" s="707"/>
      <c r="I287" s="24">
        <f t="shared" si="57"/>
        <v>1</v>
      </c>
      <c r="J287" s="707"/>
      <c r="K287" s="24">
        <f t="shared" si="58"/>
        <v>1</v>
      </c>
      <c r="L287" s="707"/>
      <c r="M287" s="24">
        <f t="shared" si="59"/>
        <v>1</v>
      </c>
      <c r="N287" s="707"/>
      <c r="O287" s="24">
        <f t="shared" si="60"/>
        <v>1</v>
      </c>
      <c r="P287" s="707"/>
      <c r="Q287" s="24">
        <f t="shared" si="61"/>
        <v>1</v>
      </c>
      <c r="R287" s="703">
        <f t="shared" si="62"/>
        <v>0</v>
      </c>
      <c r="S287" s="348">
        <f t="shared" ref="S287:S320" si="63">ROUND(R287*B287/10000,0)</f>
        <v>0</v>
      </c>
    </row>
    <row r="288" spans="1:19">
      <c r="A288" s="146"/>
      <c r="B288" s="59"/>
      <c r="C288" s="24">
        <f t="shared" si="54"/>
        <v>1</v>
      </c>
      <c r="D288" s="707"/>
      <c r="E288" s="24">
        <f t="shared" si="55"/>
        <v>0.2</v>
      </c>
      <c r="F288" s="707"/>
      <c r="G288" s="24">
        <f t="shared" si="56"/>
        <v>1</v>
      </c>
      <c r="H288" s="707"/>
      <c r="I288" s="24">
        <f t="shared" si="57"/>
        <v>1</v>
      </c>
      <c r="J288" s="707"/>
      <c r="K288" s="24">
        <f t="shared" si="58"/>
        <v>1</v>
      </c>
      <c r="L288" s="707"/>
      <c r="M288" s="24">
        <f t="shared" si="59"/>
        <v>1</v>
      </c>
      <c r="N288" s="707"/>
      <c r="O288" s="24">
        <f t="shared" si="60"/>
        <v>1</v>
      </c>
      <c r="P288" s="707"/>
      <c r="Q288" s="24">
        <f t="shared" si="61"/>
        <v>1</v>
      </c>
      <c r="R288" s="703">
        <f t="shared" si="62"/>
        <v>0</v>
      </c>
      <c r="S288" s="348">
        <f t="shared" si="63"/>
        <v>0</v>
      </c>
    </row>
    <row r="289" spans="1:19">
      <c r="A289" s="146"/>
      <c r="B289" s="59"/>
      <c r="C289" s="24">
        <f t="shared" si="54"/>
        <v>1</v>
      </c>
      <c r="D289" s="707"/>
      <c r="E289" s="24">
        <f t="shared" si="55"/>
        <v>0.2</v>
      </c>
      <c r="F289" s="707"/>
      <c r="G289" s="24">
        <f t="shared" si="56"/>
        <v>1</v>
      </c>
      <c r="H289" s="707"/>
      <c r="I289" s="24">
        <f t="shared" si="57"/>
        <v>1</v>
      </c>
      <c r="J289" s="707"/>
      <c r="K289" s="24">
        <f t="shared" si="58"/>
        <v>1</v>
      </c>
      <c r="L289" s="707"/>
      <c r="M289" s="24">
        <f t="shared" si="59"/>
        <v>1</v>
      </c>
      <c r="N289" s="707"/>
      <c r="O289" s="24">
        <f t="shared" si="60"/>
        <v>1</v>
      </c>
      <c r="P289" s="707"/>
      <c r="Q289" s="24">
        <f t="shared" si="61"/>
        <v>1</v>
      </c>
      <c r="R289" s="703">
        <f t="shared" si="62"/>
        <v>0</v>
      </c>
      <c r="S289" s="348">
        <f t="shared" si="63"/>
        <v>0</v>
      </c>
    </row>
    <row r="290" spans="1:19">
      <c r="A290" s="146"/>
      <c r="B290" s="59"/>
      <c r="C290" s="24">
        <f t="shared" si="54"/>
        <v>1</v>
      </c>
      <c r="D290" s="707"/>
      <c r="E290" s="24">
        <f t="shared" si="55"/>
        <v>0.2</v>
      </c>
      <c r="F290" s="707"/>
      <c r="G290" s="24">
        <f t="shared" si="56"/>
        <v>1</v>
      </c>
      <c r="H290" s="707"/>
      <c r="I290" s="24">
        <f t="shared" si="57"/>
        <v>1</v>
      </c>
      <c r="J290" s="707"/>
      <c r="K290" s="24">
        <f t="shared" si="58"/>
        <v>1</v>
      </c>
      <c r="L290" s="707"/>
      <c r="M290" s="24">
        <f t="shared" si="59"/>
        <v>1</v>
      </c>
      <c r="N290" s="707"/>
      <c r="O290" s="24">
        <f t="shared" si="60"/>
        <v>1</v>
      </c>
      <c r="P290" s="707"/>
      <c r="Q290" s="24">
        <f t="shared" si="61"/>
        <v>1</v>
      </c>
      <c r="R290" s="703">
        <f t="shared" si="62"/>
        <v>0</v>
      </c>
      <c r="S290" s="348">
        <f t="shared" si="63"/>
        <v>0</v>
      </c>
    </row>
    <row r="291" spans="1:19">
      <c r="A291" s="146"/>
      <c r="B291" s="59"/>
      <c r="C291" s="24">
        <f t="shared" si="54"/>
        <v>1</v>
      </c>
      <c r="D291" s="707"/>
      <c r="E291" s="24">
        <f t="shared" si="55"/>
        <v>0.2</v>
      </c>
      <c r="F291" s="707"/>
      <c r="G291" s="24">
        <f t="shared" si="56"/>
        <v>1</v>
      </c>
      <c r="H291" s="707"/>
      <c r="I291" s="24">
        <f t="shared" si="57"/>
        <v>1</v>
      </c>
      <c r="J291" s="707"/>
      <c r="K291" s="24">
        <f t="shared" si="58"/>
        <v>1</v>
      </c>
      <c r="L291" s="707"/>
      <c r="M291" s="24">
        <f t="shared" si="59"/>
        <v>1</v>
      </c>
      <c r="N291" s="707"/>
      <c r="O291" s="24">
        <f t="shared" si="60"/>
        <v>1</v>
      </c>
      <c r="P291" s="707"/>
      <c r="Q291" s="24">
        <f t="shared" si="61"/>
        <v>1</v>
      </c>
      <c r="R291" s="703">
        <f t="shared" si="62"/>
        <v>0</v>
      </c>
      <c r="S291" s="348">
        <f t="shared" si="63"/>
        <v>0</v>
      </c>
    </row>
    <row r="292" spans="1:19">
      <c r="A292" s="146"/>
      <c r="B292" s="59"/>
      <c r="C292" s="24">
        <f t="shared" si="54"/>
        <v>1</v>
      </c>
      <c r="D292" s="707"/>
      <c r="E292" s="24">
        <f t="shared" si="55"/>
        <v>0.2</v>
      </c>
      <c r="F292" s="707"/>
      <c r="G292" s="24">
        <f t="shared" si="56"/>
        <v>1</v>
      </c>
      <c r="H292" s="707"/>
      <c r="I292" s="24">
        <f t="shared" si="57"/>
        <v>1</v>
      </c>
      <c r="J292" s="707"/>
      <c r="K292" s="24">
        <f t="shared" si="58"/>
        <v>1</v>
      </c>
      <c r="L292" s="707"/>
      <c r="M292" s="24">
        <f t="shared" si="59"/>
        <v>1</v>
      </c>
      <c r="N292" s="707"/>
      <c r="O292" s="24">
        <f t="shared" si="60"/>
        <v>1</v>
      </c>
      <c r="P292" s="707"/>
      <c r="Q292" s="24">
        <f t="shared" si="61"/>
        <v>1</v>
      </c>
      <c r="R292" s="703">
        <f t="shared" si="62"/>
        <v>0</v>
      </c>
      <c r="S292" s="348">
        <f t="shared" si="63"/>
        <v>0</v>
      </c>
    </row>
    <row r="293" spans="1:19">
      <c r="A293" s="146"/>
      <c r="B293" s="59"/>
      <c r="C293" s="24">
        <f t="shared" si="54"/>
        <v>1</v>
      </c>
      <c r="D293" s="707"/>
      <c r="E293" s="24">
        <f t="shared" si="55"/>
        <v>0.2</v>
      </c>
      <c r="F293" s="707"/>
      <c r="G293" s="24">
        <f t="shared" si="56"/>
        <v>1</v>
      </c>
      <c r="H293" s="707"/>
      <c r="I293" s="24">
        <f t="shared" si="57"/>
        <v>1</v>
      </c>
      <c r="J293" s="707"/>
      <c r="K293" s="24">
        <f t="shared" si="58"/>
        <v>1</v>
      </c>
      <c r="L293" s="707"/>
      <c r="M293" s="24">
        <f t="shared" si="59"/>
        <v>1</v>
      </c>
      <c r="N293" s="707"/>
      <c r="O293" s="24">
        <f t="shared" si="60"/>
        <v>1</v>
      </c>
      <c r="P293" s="707"/>
      <c r="Q293" s="24">
        <f t="shared" si="61"/>
        <v>1</v>
      </c>
      <c r="R293" s="703">
        <f t="shared" si="62"/>
        <v>0</v>
      </c>
      <c r="S293" s="348">
        <f t="shared" si="63"/>
        <v>0</v>
      </c>
    </row>
    <row r="294" spans="1:19">
      <c r="A294" s="146"/>
      <c r="B294" s="59"/>
      <c r="C294" s="24">
        <f t="shared" si="54"/>
        <v>1</v>
      </c>
      <c r="D294" s="707"/>
      <c r="E294" s="24">
        <f t="shared" si="55"/>
        <v>0.2</v>
      </c>
      <c r="F294" s="707"/>
      <c r="G294" s="24">
        <f t="shared" si="56"/>
        <v>1</v>
      </c>
      <c r="H294" s="707"/>
      <c r="I294" s="24">
        <f t="shared" si="57"/>
        <v>1</v>
      </c>
      <c r="J294" s="707"/>
      <c r="K294" s="24">
        <f t="shared" si="58"/>
        <v>1</v>
      </c>
      <c r="L294" s="707"/>
      <c r="M294" s="24">
        <f t="shared" si="59"/>
        <v>1</v>
      </c>
      <c r="N294" s="707"/>
      <c r="O294" s="24">
        <f t="shared" si="60"/>
        <v>1</v>
      </c>
      <c r="P294" s="707"/>
      <c r="Q294" s="24">
        <f t="shared" si="61"/>
        <v>1</v>
      </c>
      <c r="R294" s="703">
        <f t="shared" si="62"/>
        <v>0</v>
      </c>
      <c r="S294" s="348">
        <f t="shared" si="63"/>
        <v>0</v>
      </c>
    </row>
    <row r="295" spans="1:19">
      <c r="A295" s="146"/>
      <c r="B295" s="59"/>
      <c r="C295" s="24">
        <f t="shared" si="54"/>
        <v>1</v>
      </c>
      <c r="D295" s="707"/>
      <c r="E295" s="24">
        <f t="shared" si="55"/>
        <v>0.2</v>
      </c>
      <c r="F295" s="707"/>
      <c r="G295" s="24">
        <f t="shared" si="56"/>
        <v>1</v>
      </c>
      <c r="H295" s="707"/>
      <c r="I295" s="24">
        <f t="shared" si="57"/>
        <v>1</v>
      </c>
      <c r="J295" s="707"/>
      <c r="K295" s="24">
        <f t="shared" si="58"/>
        <v>1</v>
      </c>
      <c r="L295" s="707"/>
      <c r="M295" s="24">
        <f t="shared" si="59"/>
        <v>1</v>
      </c>
      <c r="N295" s="707"/>
      <c r="O295" s="24">
        <f t="shared" si="60"/>
        <v>1</v>
      </c>
      <c r="P295" s="707"/>
      <c r="Q295" s="24">
        <f t="shared" si="61"/>
        <v>1</v>
      </c>
      <c r="R295" s="703">
        <f t="shared" si="62"/>
        <v>0</v>
      </c>
      <c r="S295" s="348">
        <f t="shared" si="63"/>
        <v>0</v>
      </c>
    </row>
    <row r="296" spans="1:19">
      <c r="A296" s="146"/>
      <c r="B296" s="59"/>
      <c r="C296" s="24">
        <f t="shared" si="54"/>
        <v>1</v>
      </c>
      <c r="D296" s="707"/>
      <c r="E296" s="24">
        <f t="shared" si="55"/>
        <v>0.2</v>
      </c>
      <c r="F296" s="707"/>
      <c r="G296" s="24">
        <f t="shared" si="56"/>
        <v>1</v>
      </c>
      <c r="H296" s="707"/>
      <c r="I296" s="24">
        <f t="shared" si="57"/>
        <v>1</v>
      </c>
      <c r="J296" s="707"/>
      <c r="K296" s="24">
        <f t="shared" si="58"/>
        <v>1</v>
      </c>
      <c r="L296" s="707"/>
      <c r="M296" s="24">
        <f t="shared" si="59"/>
        <v>1</v>
      </c>
      <c r="N296" s="707"/>
      <c r="O296" s="24">
        <f t="shared" si="60"/>
        <v>1</v>
      </c>
      <c r="P296" s="707"/>
      <c r="Q296" s="24">
        <f t="shared" si="61"/>
        <v>1</v>
      </c>
      <c r="R296" s="703">
        <f t="shared" si="62"/>
        <v>0</v>
      </c>
      <c r="S296" s="348">
        <f t="shared" si="63"/>
        <v>0</v>
      </c>
    </row>
    <row r="297" spans="1:19">
      <c r="A297" s="146"/>
      <c r="B297" s="59"/>
      <c r="C297" s="24">
        <f t="shared" si="54"/>
        <v>1</v>
      </c>
      <c r="D297" s="707"/>
      <c r="E297" s="24">
        <f t="shared" si="55"/>
        <v>0.2</v>
      </c>
      <c r="F297" s="707"/>
      <c r="G297" s="24">
        <f t="shared" si="56"/>
        <v>1</v>
      </c>
      <c r="H297" s="707"/>
      <c r="I297" s="24">
        <f t="shared" si="57"/>
        <v>1</v>
      </c>
      <c r="J297" s="707"/>
      <c r="K297" s="24">
        <f t="shared" si="58"/>
        <v>1</v>
      </c>
      <c r="L297" s="707"/>
      <c r="M297" s="24">
        <f t="shared" si="59"/>
        <v>1</v>
      </c>
      <c r="N297" s="707"/>
      <c r="O297" s="24">
        <f t="shared" si="60"/>
        <v>1</v>
      </c>
      <c r="P297" s="707"/>
      <c r="Q297" s="24">
        <f t="shared" si="61"/>
        <v>1</v>
      </c>
      <c r="R297" s="703">
        <f t="shared" si="62"/>
        <v>0</v>
      </c>
      <c r="S297" s="348">
        <f t="shared" si="63"/>
        <v>0</v>
      </c>
    </row>
    <row r="298" spans="1:19">
      <c r="A298" s="146"/>
      <c r="B298" s="59"/>
      <c r="C298" s="24">
        <f t="shared" si="54"/>
        <v>1</v>
      </c>
      <c r="D298" s="707"/>
      <c r="E298" s="24">
        <f t="shared" si="55"/>
        <v>0.2</v>
      </c>
      <c r="F298" s="707"/>
      <c r="G298" s="24">
        <f t="shared" si="56"/>
        <v>1</v>
      </c>
      <c r="H298" s="707"/>
      <c r="I298" s="24">
        <f t="shared" si="57"/>
        <v>1</v>
      </c>
      <c r="J298" s="707"/>
      <c r="K298" s="24">
        <f t="shared" si="58"/>
        <v>1</v>
      </c>
      <c r="L298" s="707"/>
      <c r="M298" s="24">
        <f t="shared" si="59"/>
        <v>1</v>
      </c>
      <c r="N298" s="707"/>
      <c r="O298" s="24">
        <f t="shared" si="60"/>
        <v>1</v>
      </c>
      <c r="P298" s="707"/>
      <c r="Q298" s="24">
        <f t="shared" si="61"/>
        <v>1</v>
      </c>
      <c r="R298" s="703">
        <f t="shared" si="62"/>
        <v>0</v>
      </c>
      <c r="S298" s="348">
        <f t="shared" si="63"/>
        <v>0</v>
      </c>
    </row>
    <row r="299" spans="1:19">
      <c r="A299" s="146"/>
      <c r="B299" s="59"/>
      <c r="C299" s="24">
        <f t="shared" si="54"/>
        <v>1</v>
      </c>
      <c r="D299" s="707"/>
      <c r="E299" s="24">
        <f t="shared" si="55"/>
        <v>0.2</v>
      </c>
      <c r="F299" s="707"/>
      <c r="G299" s="24">
        <f t="shared" si="56"/>
        <v>1</v>
      </c>
      <c r="H299" s="707"/>
      <c r="I299" s="24">
        <f t="shared" si="57"/>
        <v>1</v>
      </c>
      <c r="J299" s="707"/>
      <c r="K299" s="24">
        <f t="shared" si="58"/>
        <v>1</v>
      </c>
      <c r="L299" s="707"/>
      <c r="M299" s="24">
        <f t="shared" si="59"/>
        <v>1</v>
      </c>
      <c r="N299" s="707"/>
      <c r="O299" s="24">
        <f t="shared" si="60"/>
        <v>1</v>
      </c>
      <c r="P299" s="707"/>
      <c r="Q299" s="24">
        <f t="shared" si="61"/>
        <v>1</v>
      </c>
      <c r="R299" s="703">
        <f t="shared" si="62"/>
        <v>0</v>
      </c>
      <c r="S299" s="348">
        <f t="shared" si="63"/>
        <v>0</v>
      </c>
    </row>
    <row r="300" spans="1:19">
      <c r="A300" s="146"/>
      <c r="B300" s="59"/>
      <c r="C300" s="24">
        <f t="shared" si="54"/>
        <v>1</v>
      </c>
      <c r="D300" s="707"/>
      <c r="E300" s="24">
        <f t="shared" si="55"/>
        <v>0.2</v>
      </c>
      <c r="F300" s="707"/>
      <c r="G300" s="24">
        <f t="shared" si="56"/>
        <v>1</v>
      </c>
      <c r="H300" s="707"/>
      <c r="I300" s="24">
        <f t="shared" si="57"/>
        <v>1</v>
      </c>
      <c r="J300" s="707"/>
      <c r="K300" s="24">
        <f t="shared" si="58"/>
        <v>1</v>
      </c>
      <c r="L300" s="707"/>
      <c r="M300" s="24">
        <f t="shared" si="59"/>
        <v>1</v>
      </c>
      <c r="N300" s="707"/>
      <c r="O300" s="24">
        <f t="shared" si="60"/>
        <v>1</v>
      </c>
      <c r="P300" s="707"/>
      <c r="Q300" s="24">
        <f t="shared" si="61"/>
        <v>1</v>
      </c>
      <c r="R300" s="703">
        <f t="shared" si="62"/>
        <v>0</v>
      </c>
      <c r="S300" s="348">
        <f t="shared" si="63"/>
        <v>0</v>
      </c>
    </row>
    <row r="301" spans="1:19">
      <c r="A301" s="146"/>
      <c r="B301" s="59"/>
      <c r="C301" s="24">
        <f t="shared" si="54"/>
        <v>1</v>
      </c>
      <c r="D301" s="707"/>
      <c r="E301" s="24">
        <f t="shared" si="55"/>
        <v>0.2</v>
      </c>
      <c r="F301" s="707"/>
      <c r="G301" s="24">
        <f t="shared" si="56"/>
        <v>1</v>
      </c>
      <c r="H301" s="707"/>
      <c r="I301" s="24">
        <f t="shared" si="57"/>
        <v>1</v>
      </c>
      <c r="J301" s="707"/>
      <c r="K301" s="24">
        <f t="shared" si="58"/>
        <v>1</v>
      </c>
      <c r="L301" s="707"/>
      <c r="M301" s="24">
        <f t="shared" si="59"/>
        <v>1</v>
      </c>
      <c r="N301" s="707"/>
      <c r="O301" s="24">
        <f t="shared" si="60"/>
        <v>1</v>
      </c>
      <c r="P301" s="707"/>
      <c r="Q301" s="24">
        <f t="shared" si="61"/>
        <v>1</v>
      </c>
      <c r="R301" s="703">
        <f t="shared" si="62"/>
        <v>0</v>
      </c>
      <c r="S301" s="348">
        <f t="shared" si="63"/>
        <v>0</v>
      </c>
    </row>
    <row r="302" spans="1:19">
      <c r="A302" s="146"/>
      <c r="B302" s="59"/>
      <c r="C302" s="24">
        <f t="shared" si="54"/>
        <v>1</v>
      </c>
      <c r="D302" s="707"/>
      <c r="E302" s="24">
        <f t="shared" si="55"/>
        <v>0.2</v>
      </c>
      <c r="F302" s="707"/>
      <c r="G302" s="24">
        <f t="shared" si="56"/>
        <v>1</v>
      </c>
      <c r="H302" s="707"/>
      <c r="I302" s="24">
        <f t="shared" si="57"/>
        <v>1</v>
      </c>
      <c r="J302" s="707"/>
      <c r="K302" s="24">
        <f t="shared" si="58"/>
        <v>1</v>
      </c>
      <c r="L302" s="707"/>
      <c r="M302" s="24">
        <f t="shared" si="59"/>
        <v>1</v>
      </c>
      <c r="N302" s="707"/>
      <c r="O302" s="24">
        <f t="shared" si="60"/>
        <v>1</v>
      </c>
      <c r="P302" s="707"/>
      <c r="Q302" s="24">
        <f t="shared" si="61"/>
        <v>1</v>
      </c>
      <c r="R302" s="703">
        <f t="shared" si="62"/>
        <v>0</v>
      </c>
      <c r="S302" s="348">
        <f t="shared" si="63"/>
        <v>0</v>
      </c>
    </row>
    <row r="303" spans="1:19">
      <c r="A303" s="146"/>
      <c r="B303" s="59"/>
      <c r="C303" s="24">
        <f t="shared" si="54"/>
        <v>1</v>
      </c>
      <c r="D303" s="707"/>
      <c r="E303" s="24">
        <f t="shared" si="55"/>
        <v>0.2</v>
      </c>
      <c r="F303" s="707"/>
      <c r="G303" s="24">
        <f t="shared" si="56"/>
        <v>1</v>
      </c>
      <c r="H303" s="707"/>
      <c r="I303" s="24">
        <f t="shared" si="57"/>
        <v>1</v>
      </c>
      <c r="J303" s="707"/>
      <c r="K303" s="24">
        <f t="shared" si="58"/>
        <v>1</v>
      </c>
      <c r="L303" s="707"/>
      <c r="M303" s="24">
        <f t="shared" si="59"/>
        <v>1</v>
      </c>
      <c r="N303" s="707"/>
      <c r="O303" s="24">
        <f t="shared" si="60"/>
        <v>1</v>
      </c>
      <c r="P303" s="707"/>
      <c r="Q303" s="24">
        <f t="shared" si="61"/>
        <v>1</v>
      </c>
      <c r="R303" s="703">
        <f t="shared" si="62"/>
        <v>0</v>
      </c>
      <c r="S303" s="348">
        <f t="shared" si="63"/>
        <v>0</v>
      </c>
    </row>
    <row r="304" spans="1:19">
      <c r="A304" s="146"/>
      <c r="B304" s="59"/>
      <c r="C304" s="24">
        <f t="shared" si="54"/>
        <v>1</v>
      </c>
      <c r="D304" s="707"/>
      <c r="E304" s="24">
        <f t="shared" si="55"/>
        <v>0.2</v>
      </c>
      <c r="F304" s="707"/>
      <c r="G304" s="24">
        <f t="shared" si="56"/>
        <v>1</v>
      </c>
      <c r="H304" s="707"/>
      <c r="I304" s="24">
        <f t="shared" si="57"/>
        <v>1</v>
      </c>
      <c r="J304" s="707"/>
      <c r="K304" s="24">
        <f t="shared" si="58"/>
        <v>1</v>
      </c>
      <c r="L304" s="707"/>
      <c r="M304" s="24">
        <f t="shared" si="59"/>
        <v>1</v>
      </c>
      <c r="N304" s="707"/>
      <c r="O304" s="24">
        <f t="shared" si="60"/>
        <v>1</v>
      </c>
      <c r="P304" s="707"/>
      <c r="Q304" s="24">
        <f t="shared" si="61"/>
        <v>1</v>
      </c>
      <c r="R304" s="703">
        <f t="shared" si="62"/>
        <v>0</v>
      </c>
      <c r="S304" s="348">
        <f t="shared" si="63"/>
        <v>0</v>
      </c>
    </row>
    <row r="305" spans="1:19">
      <c r="A305" s="146"/>
      <c r="B305" s="59"/>
      <c r="C305" s="24">
        <f t="shared" si="54"/>
        <v>1</v>
      </c>
      <c r="D305" s="707"/>
      <c r="E305" s="24">
        <f t="shared" si="55"/>
        <v>0.2</v>
      </c>
      <c r="F305" s="707"/>
      <c r="G305" s="24">
        <f t="shared" si="56"/>
        <v>1</v>
      </c>
      <c r="H305" s="707"/>
      <c r="I305" s="24">
        <f t="shared" si="57"/>
        <v>1</v>
      </c>
      <c r="J305" s="707"/>
      <c r="K305" s="24">
        <f t="shared" si="58"/>
        <v>1</v>
      </c>
      <c r="L305" s="707"/>
      <c r="M305" s="24">
        <f t="shared" si="59"/>
        <v>1</v>
      </c>
      <c r="N305" s="707"/>
      <c r="O305" s="24">
        <f t="shared" si="60"/>
        <v>1</v>
      </c>
      <c r="P305" s="707"/>
      <c r="Q305" s="24">
        <f t="shared" si="61"/>
        <v>1</v>
      </c>
      <c r="R305" s="703">
        <f t="shared" si="62"/>
        <v>0</v>
      </c>
      <c r="S305" s="348">
        <f t="shared" si="63"/>
        <v>0</v>
      </c>
    </row>
    <row r="306" spans="1:19">
      <c r="A306" s="146"/>
      <c r="B306" s="59"/>
      <c r="C306" s="24">
        <f t="shared" si="54"/>
        <v>1</v>
      </c>
      <c r="D306" s="707"/>
      <c r="E306" s="24">
        <f t="shared" si="55"/>
        <v>0.2</v>
      </c>
      <c r="F306" s="707"/>
      <c r="G306" s="24">
        <f t="shared" si="56"/>
        <v>1</v>
      </c>
      <c r="H306" s="707"/>
      <c r="I306" s="24">
        <f t="shared" si="57"/>
        <v>1</v>
      </c>
      <c r="J306" s="707"/>
      <c r="K306" s="24">
        <f t="shared" si="58"/>
        <v>1</v>
      </c>
      <c r="L306" s="707"/>
      <c r="M306" s="24">
        <f t="shared" si="59"/>
        <v>1</v>
      </c>
      <c r="N306" s="707"/>
      <c r="O306" s="24">
        <f t="shared" si="60"/>
        <v>1</v>
      </c>
      <c r="P306" s="707"/>
      <c r="Q306" s="24">
        <f t="shared" si="61"/>
        <v>1</v>
      </c>
      <c r="R306" s="703">
        <f t="shared" si="62"/>
        <v>0</v>
      </c>
      <c r="S306" s="348">
        <f t="shared" si="63"/>
        <v>0</v>
      </c>
    </row>
    <row r="307" spans="1:19">
      <c r="A307" s="146"/>
      <c r="B307" s="59"/>
      <c r="C307" s="24">
        <f t="shared" si="54"/>
        <v>1</v>
      </c>
      <c r="D307" s="707"/>
      <c r="E307" s="24">
        <f t="shared" si="55"/>
        <v>0.2</v>
      </c>
      <c r="F307" s="707"/>
      <c r="G307" s="24">
        <f t="shared" si="56"/>
        <v>1</v>
      </c>
      <c r="H307" s="707"/>
      <c r="I307" s="24">
        <f t="shared" si="57"/>
        <v>1</v>
      </c>
      <c r="J307" s="707"/>
      <c r="K307" s="24">
        <f t="shared" si="58"/>
        <v>1</v>
      </c>
      <c r="L307" s="707"/>
      <c r="M307" s="24">
        <f t="shared" si="59"/>
        <v>1</v>
      </c>
      <c r="N307" s="707"/>
      <c r="O307" s="24">
        <f t="shared" si="60"/>
        <v>1</v>
      </c>
      <c r="P307" s="707"/>
      <c r="Q307" s="24">
        <f t="shared" si="61"/>
        <v>1</v>
      </c>
      <c r="R307" s="703">
        <f t="shared" si="62"/>
        <v>0</v>
      </c>
      <c r="S307" s="348">
        <f t="shared" si="63"/>
        <v>0</v>
      </c>
    </row>
    <row r="308" spans="1:19">
      <c r="A308" s="146"/>
      <c r="B308" s="59"/>
      <c r="C308" s="24">
        <f t="shared" si="54"/>
        <v>1</v>
      </c>
      <c r="D308" s="707"/>
      <c r="E308" s="24">
        <f t="shared" si="55"/>
        <v>0.2</v>
      </c>
      <c r="F308" s="707"/>
      <c r="G308" s="24">
        <f t="shared" si="56"/>
        <v>1</v>
      </c>
      <c r="H308" s="707"/>
      <c r="I308" s="24">
        <f t="shared" si="57"/>
        <v>1</v>
      </c>
      <c r="J308" s="707"/>
      <c r="K308" s="24">
        <f t="shared" si="58"/>
        <v>1</v>
      </c>
      <c r="L308" s="707"/>
      <c r="M308" s="24">
        <f t="shared" si="59"/>
        <v>1</v>
      </c>
      <c r="N308" s="707"/>
      <c r="O308" s="24">
        <f t="shared" si="60"/>
        <v>1</v>
      </c>
      <c r="P308" s="707"/>
      <c r="Q308" s="24">
        <f t="shared" si="61"/>
        <v>1</v>
      </c>
      <c r="R308" s="703">
        <f t="shared" si="62"/>
        <v>0</v>
      </c>
      <c r="S308" s="348">
        <f t="shared" si="63"/>
        <v>0</v>
      </c>
    </row>
    <row r="309" spans="1:19">
      <c r="A309" s="146"/>
      <c r="B309" s="59"/>
      <c r="C309" s="24">
        <f t="shared" si="54"/>
        <v>1</v>
      </c>
      <c r="D309" s="707"/>
      <c r="E309" s="24">
        <f t="shared" si="55"/>
        <v>0.2</v>
      </c>
      <c r="F309" s="707"/>
      <c r="G309" s="24">
        <f t="shared" si="56"/>
        <v>1</v>
      </c>
      <c r="H309" s="707"/>
      <c r="I309" s="24">
        <f t="shared" si="57"/>
        <v>1</v>
      </c>
      <c r="J309" s="707"/>
      <c r="K309" s="24">
        <f t="shared" si="58"/>
        <v>1</v>
      </c>
      <c r="L309" s="707"/>
      <c r="M309" s="24">
        <f t="shared" si="59"/>
        <v>1</v>
      </c>
      <c r="N309" s="707"/>
      <c r="O309" s="24">
        <f t="shared" si="60"/>
        <v>1</v>
      </c>
      <c r="P309" s="707"/>
      <c r="Q309" s="24">
        <f t="shared" si="61"/>
        <v>1</v>
      </c>
      <c r="R309" s="703">
        <f t="shared" si="62"/>
        <v>0</v>
      </c>
      <c r="S309" s="348">
        <f t="shared" si="63"/>
        <v>0</v>
      </c>
    </row>
    <row r="310" spans="1:19">
      <c r="A310" s="146"/>
      <c r="B310" s="59"/>
      <c r="C310" s="24">
        <f t="shared" si="54"/>
        <v>1</v>
      </c>
      <c r="D310" s="707"/>
      <c r="E310" s="24">
        <f t="shared" si="55"/>
        <v>0.2</v>
      </c>
      <c r="F310" s="707"/>
      <c r="G310" s="24">
        <f t="shared" si="56"/>
        <v>1</v>
      </c>
      <c r="H310" s="707"/>
      <c r="I310" s="24">
        <f t="shared" si="57"/>
        <v>1</v>
      </c>
      <c r="J310" s="707"/>
      <c r="K310" s="24">
        <f t="shared" si="58"/>
        <v>1</v>
      </c>
      <c r="L310" s="707"/>
      <c r="M310" s="24">
        <f t="shared" si="59"/>
        <v>1</v>
      </c>
      <c r="N310" s="707"/>
      <c r="O310" s="24">
        <f t="shared" si="60"/>
        <v>1</v>
      </c>
      <c r="P310" s="707"/>
      <c r="Q310" s="24">
        <f t="shared" si="61"/>
        <v>1</v>
      </c>
      <c r="R310" s="703">
        <f t="shared" si="62"/>
        <v>0</v>
      </c>
      <c r="S310" s="348">
        <f t="shared" si="63"/>
        <v>0</v>
      </c>
    </row>
    <row r="311" spans="1:19">
      <c r="A311" s="146"/>
      <c r="B311" s="59"/>
      <c r="C311" s="24">
        <f t="shared" si="54"/>
        <v>1</v>
      </c>
      <c r="D311" s="707"/>
      <c r="E311" s="24">
        <f t="shared" si="55"/>
        <v>0.2</v>
      </c>
      <c r="F311" s="707"/>
      <c r="G311" s="24">
        <f t="shared" si="56"/>
        <v>1</v>
      </c>
      <c r="H311" s="707"/>
      <c r="I311" s="24">
        <f t="shared" si="57"/>
        <v>1</v>
      </c>
      <c r="J311" s="707"/>
      <c r="K311" s="24">
        <f t="shared" si="58"/>
        <v>1</v>
      </c>
      <c r="L311" s="707"/>
      <c r="M311" s="24">
        <f t="shared" si="59"/>
        <v>1</v>
      </c>
      <c r="N311" s="707"/>
      <c r="O311" s="24">
        <f t="shared" si="60"/>
        <v>1</v>
      </c>
      <c r="P311" s="707"/>
      <c r="Q311" s="24">
        <f t="shared" si="61"/>
        <v>1</v>
      </c>
      <c r="R311" s="703">
        <f t="shared" si="62"/>
        <v>0</v>
      </c>
      <c r="S311" s="348">
        <f t="shared" si="63"/>
        <v>0</v>
      </c>
    </row>
    <row r="312" spans="1:19">
      <c r="A312" s="146"/>
      <c r="B312" s="59"/>
      <c r="C312" s="24">
        <f t="shared" si="54"/>
        <v>1</v>
      </c>
      <c r="D312" s="707"/>
      <c r="E312" s="24">
        <f t="shared" si="55"/>
        <v>0.2</v>
      </c>
      <c r="F312" s="707"/>
      <c r="G312" s="24">
        <f t="shared" si="56"/>
        <v>1</v>
      </c>
      <c r="H312" s="707"/>
      <c r="I312" s="24">
        <f t="shared" si="57"/>
        <v>1</v>
      </c>
      <c r="J312" s="707"/>
      <c r="K312" s="24">
        <f t="shared" si="58"/>
        <v>1</v>
      </c>
      <c r="L312" s="707"/>
      <c r="M312" s="24">
        <f t="shared" si="59"/>
        <v>1</v>
      </c>
      <c r="N312" s="707"/>
      <c r="O312" s="24">
        <f t="shared" si="60"/>
        <v>1</v>
      </c>
      <c r="P312" s="707"/>
      <c r="Q312" s="24">
        <f t="shared" si="61"/>
        <v>1</v>
      </c>
      <c r="R312" s="703">
        <f t="shared" si="62"/>
        <v>0</v>
      </c>
      <c r="S312" s="348">
        <f t="shared" si="63"/>
        <v>0</v>
      </c>
    </row>
    <row r="313" spans="1:19">
      <c r="A313" s="146"/>
      <c r="B313" s="59"/>
      <c r="C313" s="24">
        <f t="shared" si="54"/>
        <v>1</v>
      </c>
      <c r="D313" s="707"/>
      <c r="E313" s="24">
        <f t="shared" si="55"/>
        <v>0.2</v>
      </c>
      <c r="F313" s="707"/>
      <c r="G313" s="24">
        <f t="shared" si="56"/>
        <v>1</v>
      </c>
      <c r="H313" s="707"/>
      <c r="I313" s="24">
        <f t="shared" si="57"/>
        <v>1</v>
      </c>
      <c r="J313" s="707"/>
      <c r="K313" s="24">
        <f t="shared" si="58"/>
        <v>1</v>
      </c>
      <c r="L313" s="707"/>
      <c r="M313" s="24">
        <f t="shared" si="59"/>
        <v>1</v>
      </c>
      <c r="N313" s="707"/>
      <c r="O313" s="24">
        <f t="shared" si="60"/>
        <v>1</v>
      </c>
      <c r="P313" s="707"/>
      <c r="Q313" s="24">
        <f t="shared" si="61"/>
        <v>1</v>
      </c>
      <c r="R313" s="703">
        <f t="shared" si="62"/>
        <v>0</v>
      </c>
      <c r="S313" s="348">
        <f t="shared" si="63"/>
        <v>0</v>
      </c>
    </row>
    <row r="314" spans="1:19">
      <c r="A314" s="146"/>
      <c r="B314" s="59"/>
      <c r="C314" s="24">
        <f t="shared" si="54"/>
        <v>1</v>
      </c>
      <c r="D314" s="707"/>
      <c r="E314" s="24">
        <f t="shared" si="55"/>
        <v>0.2</v>
      </c>
      <c r="F314" s="707"/>
      <c r="G314" s="24">
        <f t="shared" si="56"/>
        <v>1</v>
      </c>
      <c r="H314" s="707"/>
      <c r="I314" s="24">
        <f t="shared" si="57"/>
        <v>1</v>
      </c>
      <c r="J314" s="707"/>
      <c r="K314" s="24">
        <f t="shared" si="58"/>
        <v>1</v>
      </c>
      <c r="L314" s="707"/>
      <c r="M314" s="24">
        <f t="shared" si="59"/>
        <v>1</v>
      </c>
      <c r="N314" s="707"/>
      <c r="O314" s="24">
        <f t="shared" si="60"/>
        <v>1</v>
      </c>
      <c r="P314" s="707"/>
      <c r="Q314" s="24">
        <f t="shared" si="61"/>
        <v>1</v>
      </c>
      <c r="R314" s="703">
        <f t="shared" si="62"/>
        <v>0</v>
      </c>
      <c r="S314" s="348">
        <f t="shared" si="63"/>
        <v>0</v>
      </c>
    </row>
    <row r="315" spans="1:19">
      <c r="A315" s="146"/>
      <c r="B315" s="59"/>
      <c r="C315" s="24">
        <f t="shared" si="54"/>
        <v>1</v>
      </c>
      <c r="D315" s="707"/>
      <c r="E315" s="24">
        <f t="shared" si="55"/>
        <v>0.2</v>
      </c>
      <c r="F315" s="707"/>
      <c r="G315" s="24">
        <f t="shared" si="56"/>
        <v>1</v>
      </c>
      <c r="H315" s="707"/>
      <c r="I315" s="24">
        <f t="shared" si="57"/>
        <v>1</v>
      </c>
      <c r="J315" s="707"/>
      <c r="K315" s="24">
        <f t="shared" si="58"/>
        <v>1</v>
      </c>
      <c r="L315" s="707"/>
      <c r="M315" s="24">
        <f t="shared" si="59"/>
        <v>1</v>
      </c>
      <c r="N315" s="707"/>
      <c r="O315" s="24">
        <f t="shared" si="60"/>
        <v>1</v>
      </c>
      <c r="P315" s="707"/>
      <c r="Q315" s="24">
        <f t="shared" si="61"/>
        <v>1</v>
      </c>
      <c r="R315" s="703">
        <f t="shared" si="62"/>
        <v>0</v>
      </c>
      <c r="S315" s="348">
        <f t="shared" si="63"/>
        <v>0</v>
      </c>
    </row>
    <row r="316" spans="1:19">
      <c r="A316" s="146"/>
      <c r="B316" s="59"/>
      <c r="C316" s="24">
        <f t="shared" si="54"/>
        <v>1</v>
      </c>
      <c r="D316" s="707"/>
      <c r="E316" s="24">
        <f t="shared" si="55"/>
        <v>0.2</v>
      </c>
      <c r="F316" s="707"/>
      <c r="G316" s="24">
        <f t="shared" si="56"/>
        <v>1</v>
      </c>
      <c r="H316" s="707"/>
      <c r="I316" s="24">
        <f t="shared" si="57"/>
        <v>1</v>
      </c>
      <c r="J316" s="707"/>
      <c r="K316" s="24">
        <f t="shared" si="58"/>
        <v>1</v>
      </c>
      <c r="L316" s="707"/>
      <c r="M316" s="24">
        <f t="shared" si="59"/>
        <v>1</v>
      </c>
      <c r="N316" s="707"/>
      <c r="O316" s="24">
        <f t="shared" si="60"/>
        <v>1</v>
      </c>
      <c r="P316" s="707"/>
      <c r="Q316" s="24">
        <f t="shared" si="61"/>
        <v>1</v>
      </c>
      <c r="R316" s="703">
        <f t="shared" si="62"/>
        <v>0</v>
      </c>
      <c r="S316" s="348">
        <f t="shared" si="63"/>
        <v>0</v>
      </c>
    </row>
    <row r="317" spans="1:19">
      <c r="A317" s="146"/>
      <c r="B317" s="59"/>
      <c r="C317" s="24">
        <f t="shared" si="54"/>
        <v>1</v>
      </c>
      <c r="D317" s="707"/>
      <c r="E317" s="24">
        <f t="shared" si="55"/>
        <v>0.2</v>
      </c>
      <c r="F317" s="707"/>
      <c r="G317" s="24">
        <f t="shared" si="56"/>
        <v>1</v>
      </c>
      <c r="H317" s="707"/>
      <c r="I317" s="24">
        <f t="shared" si="57"/>
        <v>1</v>
      </c>
      <c r="J317" s="707"/>
      <c r="K317" s="24">
        <f t="shared" si="58"/>
        <v>1</v>
      </c>
      <c r="L317" s="707"/>
      <c r="M317" s="24">
        <f t="shared" si="59"/>
        <v>1</v>
      </c>
      <c r="N317" s="707"/>
      <c r="O317" s="24">
        <f t="shared" si="60"/>
        <v>1</v>
      </c>
      <c r="P317" s="707"/>
      <c r="Q317" s="24">
        <f t="shared" si="61"/>
        <v>1</v>
      </c>
      <c r="R317" s="703">
        <f t="shared" si="62"/>
        <v>0</v>
      </c>
      <c r="S317" s="348">
        <f t="shared" si="63"/>
        <v>0</v>
      </c>
    </row>
    <row r="318" spans="1:19">
      <c r="A318" s="146"/>
      <c r="B318" s="59"/>
      <c r="C318" s="24">
        <f t="shared" si="54"/>
        <v>1</v>
      </c>
      <c r="D318" s="707"/>
      <c r="E318" s="24">
        <f t="shared" si="55"/>
        <v>0.2</v>
      </c>
      <c r="F318" s="707"/>
      <c r="G318" s="24">
        <f t="shared" si="56"/>
        <v>1</v>
      </c>
      <c r="H318" s="707"/>
      <c r="I318" s="24">
        <f t="shared" si="57"/>
        <v>1</v>
      </c>
      <c r="J318" s="707"/>
      <c r="K318" s="24">
        <f t="shared" si="58"/>
        <v>1</v>
      </c>
      <c r="L318" s="707"/>
      <c r="M318" s="24">
        <f t="shared" si="59"/>
        <v>1</v>
      </c>
      <c r="N318" s="707"/>
      <c r="O318" s="24">
        <f t="shared" si="60"/>
        <v>1</v>
      </c>
      <c r="P318" s="707"/>
      <c r="Q318" s="24">
        <f t="shared" si="61"/>
        <v>1</v>
      </c>
      <c r="R318" s="703">
        <f t="shared" si="62"/>
        <v>0</v>
      </c>
      <c r="S318" s="348">
        <f t="shared" si="63"/>
        <v>0</v>
      </c>
    </row>
    <row r="319" spans="1:19">
      <c r="A319" s="146"/>
      <c r="B319" s="59"/>
      <c r="C319" s="24">
        <f t="shared" si="54"/>
        <v>1</v>
      </c>
      <c r="D319" s="707"/>
      <c r="E319" s="24">
        <f t="shared" si="55"/>
        <v>0.2</v>
      </c>
      <c r="F319" s="707"/>
      <c r="G319" s="24">
        <f t="shared" si="56"/>
        <v>1</v>
      </c>
      <c r="H319" s="707"/>
      <c r="I319" s="24">
        <f t="shared" si="57"/>
        <v>1</v>
      </c>
      <c r="J319" s="707"/>
      <c r="K319" s="24">
        <f t="shared" si="58"/>
        <v>1</v>
      </c>
      <c r="L319" s="707"/>
      <c r="M319" s="24">
        <f t="shared" si="59"/>
        <v>1</v>
      </c>
      <c r="N319" s="707"/>
      <c r="O319" s="24">
        <f t="shared" si="60"/>
        <v>1</v>
      </c>
      <c r="P319" s="707"/>
      <c r="Q319" s="24">
        <f t="shared" si="61"/>
        <v>1</v>
      </c>
      <c r="R319" s="703">
        <f t="shared" si="62"/>
        <v>0</v>
      </c>
      <c r="S319" s="348">
        <f t="shared" si="63"/>
        <v>0</v>
      </c>
    </row>
    <row r="320" spans="1:19">
      <c r="A320" s="146"/>
      <c r="B320" s="59"/>
      <c r="C320" s="24">
        <f t="shared" si="54"/>
        <v>1</v>
      </c>
      <c r="D320" s="707"/>
      <c r="E320" s="24">
        <f t="shared" si="55"/>
        <v>0.2</v>
      </c>
      <c r="F320" s="707"/>
      <c r="G320" s="24">
        <f t="shared" si="56"/>
        <v>1</v>
      </c>
      <c r="H320" s="707"/>
      <c r="I320" s="24">
        <f t="shared" si="57"/>
        <v>1</v>
      </c>
      <c r="J320" s="707"/>
      <c r="K320" s="24">
        <f t="shared" si="58"/>
        <v>1</v>
      </c>
      <c r="L320" s="707"/>
      <c r="M320" s="24">
        <f t="shared" si="59"/>
        <v>1</v>
      </c>
      <c r="N320" s="707"/>
      <c r="O320" s="24">
        <f t="shared" si="60"/>
        <v>1</v>
      </c>
      <c r="P320" s="707"/>
      <c r="Q320" s="24">
        <f t="shared" si="61"/>
        <v>1</v>
      </c>
      <c r="R320" s="703">
        <f t="shared" si="62"/>
        <v>0</v>
      </c>
      <c r="S320" s="348">
        <f t="shared" si="63"/>
        <v>0</v>
      </c>
    </row>
    <row r="321" spans="1:19">
      <c r="A321" s="146"/>
      <c r="B321" s="59"/>
      <c r="C321" s="24">
        <f t="shared" si="54"/>
        <v>1</v>
      </c>
      <c r="D321" s="707"/>
      <c r="E321" s="24">
        <f t="shared" si="55"/>
        <v>0.2</v>
      </c>
      <c r="F321" s="707"/>
      <c r="G321" s="24">
        <f t="shared" si="56"/>
        <v>1</v>
      </c>
      <c r="H321" s="707"/>
      <c r="I321" s="24">
        <f t="shared" si="57"/>
        <v>1</v>
      </c>
      <c r="J321" s="707"/>
      <c r="K321" s="24">
        <f t="shared" si="58"/>
        <v>1</v>
      </c>
      <c r="L321" s="707"/>
      <c r="M321" s="24">
        <f t="shared" si="59"/>
        <v>1</v>
      </c>
      <c r="N321" s="707"/>
      <c r="O321" s="24">
        <f t="shared" si="60"/>
        <v>1</v>
      </c>
      <c r="P321" s="707"/>
      <c r="Q321" s="24">
        <f t="shared" si="61"/>
        <v>1</v>
      </c>
      <c r="R321" s="703">
        <f t="shared" si="62"/>
        <v>0</v>
      </c>
      <c r="S321" s="348">
        <f t="shared" ref="S321:S384" si="64">ROUND(R321*B321/10000,0)</f>
        <v>0</v>
      </c>
    </row>
    <row r="322" spans="1:19">
      <c r="A322" s="146"/>
      <c r="B322" s="59"/>
      <c r="C322" s="24">
        <f t="shared" si="54"/>
        <v>1</v>
      </c>
      <c r="D322" s="707"/>
      <c r="E322" s="24">
        <f t="shared" si="55"/>
        <v>0.2</v>
      </c>
      <c r="F322" s="707"/>
      <c r="G322" s="24">
        <f t="shared" si="56"/>
        <v>1</v>
      </c>
      <c r="H322" s="707"/>
      <c r="I322" s="24">
        <f t="shared" si="57"/>
        <v>1</v>
      </c>
      <c r="J322" s="707"/>
      <c r="K322" s="24">
        <f t="shared" si="58"/>
        <v>1</v>
      </c>
      <c r="L322" s="707"/>
      <c r="M322" s="24">
        <f t="shared" si="59"/>
        <v>1</v>
      </c>
      <c r="N322" s="707"/>
      <c r="O322" s="24">
        <f t="shared" si="60"/>
        <v>1</v>
      </c>
      <c r="P322" s="707"/>
      <c r="Q322" s="24">
        <f t="shared" si="61"/>
        <v>1</v>
      </c>
      <c r="R322" s="703">
        <f t="shared" si="62"/>
        <v>0</v>
      </c>
      <c r="S322" s="348">
        <f t="shared" si="64"/>
        <v>0</v>
      </c>
    </row>
    <row r="323" spans="1:19">
      <c r="A323" s="146"/>
      <c r="B323" s="59"/>
      <c r="C323" s="24">
        <f t="shared" si="54"/>
        <v>1</v>
      </c>
      <c r="D323" s="707"/>
      <c r="E323" s="24">
        <f t="shared" si="55"/>
        <v>0.2</v>
      </c>
      <c r="F323" s="707"/>
      <c r="G323" s="24">
        <f t="shared" si="56"/>
        <v>1</v>
      </c>
      <c r="H323" s="707"/>
      <c r="I323" s="24">
        <f t="shared" si="57"/>
        <v>1</v>
      </c>
      <c r="J323" s="707"/>
      <c r="K323" s="24">
        <f t="shared" si="58"/>
        <v>1</v>
      </c>
      <c r="L323" s="707"/>
      <c r="M323" s="24">
        <f t="shared" si="59"/>
        <v>1</v>
      </c>
      <c r="N323" s="707"/>
      <c r="O323" s="24">
        <f t="shared" si="60"/>
        <v>1</v>
      </c>
      <c r="P323" s="707"/>
      <c r="Q323" s="24">
        <f t="shared" si="61"/>
        <v>1</v>
      </c>
      <c r="R323" s="703">
        <f t="shared" si="62"/>
        <v>0</v>
      </c>
      <c r="S323" s="348">
        <f t="shared" si="64"/>
        <v>0</v>
      </c>
    </row>
    <row r="324" spans="1:19">
      <c r="A324" s="146"/>
      <c r="B324" s="59"/>
      <c r="C324" s="24">
        <f t="shared" si="54"/>
        <v>1</v>
      </c>
      <c r="D324" s="707"/>
      <c r="E324" s="24">
        <f t="shared" si="55"/>
        <v>0.2</v>
      </c>
      <c r="F324" s="707"/>
      <c r="G324" s="24">
        <f t="shared" si="56"/>
        <v>1</v>
      </c>
      <c r="H324" s="707"/>
      <c r="I324" s="24">
        <f t="shared" si="57"/>
        <v>1</v>
      </c>
      <c r="J324" s="707"/>
      <c r="K324" s="24">
        <f t="shared" si="58"/>
        <v>1</v>
      </c>
      <c r="L324" s="707"/>
      <c r="M324" s="24">
        <f t="shared" si="59"/>
        <v>1</v>
      </c>
      <c r="N324" s="707"/>
      <c r="O324" s="24">
        <f t="shared" si="60"/>
        <v>1</v>
      </c>
      <c r="P324" s="707"/>
      <c r="Q324" s="24">
        <f t="shared" si="61"/>
        <v>1</v>
      </c>
      <c r="R324" s="703">
        <f t="shared" si="62"/>
        <v>0</v>
      </c>
      <c r="S324" s="348">
        <f t="shared" si="64"/>
        <v>0</v>
      </c>
    </row>
    <row r="325" spans="1:19">
      <c r="A325" s="146"/>
      <c r="B325" s="59"/>
      <c r="C325" s="24">
        <f t="shared" si="54"/>
        <v>1</v>
      </c>
      <c r="D325" s="707"/>
      <c r="E325" s="24">
        <f t="shared" si="55"/>
        <v>0.2</v>
      </c>
      <c r="F325" s="707"/>
      <c r="G325" s="24">
        <f t="shared" si="56"/>
        <v>1</v>
      </c>
      <c r="H325" s="707"/>
      <c r="I325" s="24">
        <f t="shared" si="57"/>
        <v>1</v>
      </c>
      <c r="J325" s="707"/>
      <c r="K325" s="24">
        <f t="shared" si="58"/>
        <v>1</v>
      </c>
      <c r="L325" s="707"/>
      <c r="M325" s="24">
        <f t="shared" si="59"/>
        <v>1</v>
      </c>
      <c r="N325" s="707"/>
      <c r="O325" s="24">
        <f t="shared" si="60"/>
        <v>1</v>
      </c>
      <c r="P325" s="707"/>
      <c r="Q325" s="24">
        <f t="shared" si="61"/>
        <v>1</v>
      </c>
      <c r="R325" s="703">
        <f t="shared" si="62"/>
        <v>0</v>
      </c>
      <c r="S325" s="348">
        <f t="shared" si="64"/>
        <v>0</v>
      </c>
    </row>
    <row r="326" spans="1:19">
      <c r="A326" s="146"/>
      <c r="B326" s="59"/>
      <c r="C326" s="24">
        <f t="shared" si="54"/>
        <v>1</v>
      </c>
      <c r="D326" s="707"/>
      <c r="E326" s="24">
        <f t="shared" si="55"/>
        <v>0.2</v>
      </c>
      <c r="F326" s="707"/>
      <c r="G326" s="24">
        <f t="shared" si="56"/>
        <v>1</v>
      </c>
      <c r="H326" s="707"/>
      <c r="I326" s="24">
        <f t="shared" si="57"/>
        <v>1</v>
      </c>
      <c r="J326" s="707"/>
      <c r="K326" s="24">
        <f t="shared" si="58"/>
        <v>1</v>
      </c>
      <c r="L326" s="707"/>
      <c r="M326" s="24">
        <f t="shared" si="59"/>
        <v>1</v>
      </c>
      <c r="N326" s="707"/>
      <c r="O326" s="24">
        <f t="shared" si="60"/>
        <v>1</v>
      </c>
      <c r="P326" s="707"/>
      <c r="Q326" s="24">
        <f t="shared" si="61"/>
        <v>1</v>
      </c>
      <c r="R326" s="703">
        <f t="shared" si="62"/>
        <v>0</v>
      </c>
      <c r="S326" s="348">
        <f t="shared" si="64"/>
        <v>0</v>
      </c>
    </row>
    <row r="327" spans="1:19">
      <c r="A327" s="146"/>
      <c r="B327" s="59"/>
      <c r="C327" s="24">
        <f t="shared" si="54"/>
        <v>1</v>
      </c>
      <c r="D327" s="707"/>
      <c r="E327" s="24">
        <f t="shared" si="55"/>
        <v>0.2</v>
      </c>
      <c r="F327" s="707"/>
      <c r="G327" s="24">
        <f t="shared" si="56"/>
        <v>1</v>
      </c>
      <c r="H327" s="707"/>
      <c r="I327" s="24">
        <f t="shared" si="57"/>
        <v>1</v>
      </c>
      <c r="J327" s="707"/>
      <c r="K327" s="24">
        <f t="shared" si="58"/>
        <v>1</v>
      </c>
      <c r="L327" s="707"/>
      <c r="M327" s="24">
        <f t="shared" si="59"/>
        <v>1</v>
      </c>
      <c r="N327" s="707"/>
      <c r="O327" s="24">
        <f t="shared" si="60"/>
        <v>1</v>
      </c>
      <c r="P327" s="707"/>
      <c r="Q327" s="24">
        <f t="shared" si="61"/>
        <v>1</v>
      </c>
      <c r="R327" s="703">
        <f t="shared" si="62"/>
        <v>0</v>
      </c>
      <c r="S327" s="348">
        <f t="shared" si="64"/>
        <v>0</v>
      </c>
    </row>
    <row r="328" spans="1:19">
      <c r="A328" s="146"/>
      <c r="B328" s="59"/>
      <c r="C328" s="24">
        <f t="shared" si="54"/>
        <v>1</v>
      </c>
      <c r="D328" s="707"/>
      <c r="E328" s="24">
        <f t="shared" si="55"/>
        <v>0.2</v>
      </c>
      <c r="F328" s="707"/>
      <c r="G328" s="24">
        <f t="shared" si="56"/>
        <v>1</v>
      </c>
      <c r="H328" s="707"/>
      <c r="I328" s="24">
        <f t="shared" si="57"/>
        <v>1</v>
      </c>
      <c r="J328" s="707"/>
      <c r="K328" s="24">
        <f t="shared" si="58"/>
        <v>1</v>
      </c>
      <c r="L328" s="707"/>
      <c r="M328" s="24">
        <f t="shared" si="59"/>
        <v>1</v>
      </c>
      <c r="N328" s="707"/>
      <c r="O328" s="24">
        <f t="shared" si="60"/>
        <v>1</v>
      </c>
      <c r="P328" s="707"/>
      <c r="Q328" s="24">
        <f t="shared" si="61"/>
        <v>1</v>
      </c>
      <c r="R328" s="703">
        <f t="shared" si="62"/>
        <v>0</v>
      </c>
      <c r="S328" s="348">
        <f t="shared" si="64"/>
        <v>0</v>
      </c>
    </row>
    <row r="329" spans="1:19">
      <c r="A329" s="146"/>
      <c r="B329" s="59"/>
      <c r="C329" s="24">
        <f t="shared" si="54"/>
        <v>1</v>
      </c>
      <c r="D329" s="707"/>
      <c r="E329" s="24">
        <f t="shared" si="55"/>
        <v>0.2</v>
      </c>
      <c r="F329" s="707"/>
      <c r="G329" s="24">
        <f t="shared" si="56"/>
        <v>1</v>
      </c>
      <c r="H329" s="707"/>
      <c r="I329" s="24">
        <f t="shared" si="57"/>
        <v>1</v>
      </c>
      <c r="J329" s="707"/>
      <c r="K329" s="24">
        <f t="shared" si="58"/>
        <v>1</v>
      </c>
      <c r="L329" s="707"/>
      <c r="M329" s="24">
        <f t="shared" si="59"/>
        <v>1</v>
      </c>
      <c r="N329" s="707"/>
      <c r="O329" s="24">
        <f t="shared" si="60"/>
        <v>1</v>
      </c>
      <c r="P329" s="707"/>
      <c r="Q329" s="24">
        <f t="shared" si="61"/>
        <v>1</v>
      </c>
      <c r="R329" s="703">
        <f t="shared" si="62"/>
        <v>0</v>
      </c>
      <c r="S329" s="348">
        <f t="shared" si="64"/>
        <v>0</v>
      </c>
    </row>
    <row r="330" spans="1:19">
      <c r="A330" s="146"/>
      <c r="B330" s="59"/>
      <c r="C330" s="24">
        <f t="shared" si="54"/>
        <v>1</v>
      </c>
      <c r="D330" s="707"/>
      <c r="E330" s="24">
        <f t="shared" si="55"/>
        <v>0.2</v>
      </c>
      <c r="F330" s="707"/>
      <c r="G330" s="24">
        <f t="shared" si="56"/>
        <v>1</v>
      </c>
      <c r="H330" s="707"/>
      <c r="I330" s="24">
        <f t="shared" si="57"/>
        <v>1</v>
      </c>
      <c r="J330" s="707"/>
      <c r="K330" s="24">
        <f t="shared" si="58"/>
        <v>1</v>
      </c>
      <c r="L330" s="707"/>
      <c r="M330" s="24">
        <f t="shared" si="59"/>
        <v>1</v>
      </c>
      <c r="N330" s="707"/>
      <c r="O330" s="24">
        <f t="shared" si="60"/>
        <v>1</v>
      </c>
      <c r="P330" s="707"/>
      <c r="Q330" s="24">
        <f t="shared" si="61"/>
        <v>1</v>
      </c>
      <c r="R330" s="703">
        <f t="shared" si="62"/>
        <v>0</v>
      </c>
      <c r="S330" s="348">
        <f t="shared" si="64"/>
        <v>0</v>
      </c>
    </row>
    <row r="331" spans="1:19">
      <c r="A331" s="146"/>
      <c r="B331" s="59"/>
      <c r="C331" s="24">
        <f t="shared" si="54"/>
        <v>1</v>
      </c>
      <c r="D331" s="707"/>
      <c r="E331" s="24">
        <f t="shared" si="55"/>
        <v>0.2</v>
      </c>
      <c r="F331" s="707"/>
      <c r="G331" s="24">
        <f t="shared" si="56"/>
        <v>1</v>
      </c>
      <c r="H331" s="707"/>
      <c r="I331" s="24">
        <f t="shared" si="57"/>
        <v>1</v>
      </c>
      <c r="J331" s="707"/>
      <c r="K331" s="24">
        <f t="shared" si="58"/>
        <v>1</v>
      </c>
      <c r="L331" s="707"/>
      <c r="M331" s="24">
        <f t="shared" si="59"/>
        <v>1</v>
      </c>
      <c r="N331" s="707"/>
      <c r="O331" s="24">
        <f t="shared" si="60"/>
        <v>1</v>
      </c>
      <c r="P331" s="707"/>
      <c r="Q331" s="24">
        <f t="shared" si="61"/>
        <v>1</v>
      </c>
      <c r="R331" s="703">
        <f t="shared" si="62"/>
        <v>0</v>
      </c>
      <c r="S331" s="348">
        <f t="shared" si="64"/>
        <v>0</v>
      </c>
    </row>
    <row r="332" spans="1:19">
      <c r="A332" s="146"/>
      <c r="B332" s="59"/>
      <c r="C332" s="24">
        <f t="shared" si="54"/>
        <v>1</v>
      </c>
      <c r="D332" s="707"/>
      <c r="E332" s="24">
        <f t="shared" si="55"/>
        <v>0.2</v>
      </c>
      <c r="F332" s="707"/>
      <c r="G332" s="24">
        <f t="shared" si="56"/>
        <v>1</v>
      </c>
      <c r="H332" s="707"/>
      <c r="I332" s="24">
        <f t="shared" si="57"/>
        <v>1</v>
      </c>
      <c r="J332" s="707"/>
      <c r="K332" s="24">
        <f t="shared" si="58"/>
        <v>1</v>
      </c>
      <c r="L332" s="707"/>
      <c r="M332" s="24">
        <f t="shared" si="59"/>
        <v>1</v>
      </c>
      <c r="N332" s="707"/>
      <c r="O332" s="24">
        <f t="shared" si="60"/>
        <v>1</v>
      </c>
      <c r="P332" s="707"/>
      <c r="Q332" s="24">
        <f t="shared" si="61"/>
        <v>1</v>
      </c>
      <c r="R332" s="703">
        <f t="shared" si="62"/>
        <v>0</v>
      </c>
      <c r="S332" s="348">
        <f t="shared" si="64"/>
        <v>0</v>
      </c>
    </row>
    <row r="333" spans="1:19">
      <c r="A333" s="146"/>
      <c r="B333" s="59"/>
      <c r="C333" s="24">
        <f t="shared" si="54"/>
        <v>1</v>
      </c>
      <c r="D333" s="707"/>
      <c r="E333" s="24">
        <f t="shared" si="55"/>
        <v>0.2</v>
      </c>
      <c r="F333" s="707"/>
      <c r="G333" s="24">
        <f t="shared" si="56"/>
        <v>1</v>
      </c>
      <c r="H333" s="707"/>
      <c r="I333" s="24">
        <f t="shared" si="57"/>
        <v>1</v>
      </c>
      <c r="J333" s="707"/>
      <c r="K333" s="24">
        <f t="shared" si="58"/>
        <v>1</v>
      </c>
      <c r="L333" s="707"/>
      <c r="M333" s="24">
        <f t="shared" si="59"/>
        <v>1</v>
      </c>
      <c r="N333" s="707"/>
      <c r="O333" s="24">
        <f t="shared" si="60"/>
        <v>1</v>
      </c>
      <c r="P333" s="707"/>
      <c r="Q333" s="24">
        <f t="shared" si="61"/>
        <v>1</v>
      </c>
      <c r="R333" s="703">
        <f t="shared" si="62"/>
        <v>0</v>
      </c>
      <c r="S333" s="348">
        <f t="shared" si="64"/>
        <v>0</v>
      </c>
    </row>
    <row r="334" spans="1:19">
      <c r="A334" s="146"/>
      <c r="B334" s="59"/>
      <c r="C334" s="24">
        <f t="shared" si="54"/>
        <v>1</v>
      </c>
      <c r="D334" s="707"/>
      <c r="E334" s="24">
        <f t="shared" si="55"/>
        <v>0.2</v>
      </c>
      <c r="F334" s="707"/>
      <c r="G334" s="24">
        <f t="shared" si="56"/>
        <v>1</v>
      </c>
      <c r="H334" s="707"/>
      <c r="I334" s="24">
        <f t="shared" si="57"/>
        <v>1</v>
      </c>
      <c r="J334" s="707"/>
      <c r="K334" s="24">
        <f t="shared" si="58"/>
        <v>1</v>
      </c>
      <c r="L334" s="707"/>
      <c r="M334" s="24">
        <f t="shared" si="59"/>
        <v>1</v>
      </c>
      <c r="N334" s="707"/>
      <c r="O334" s="24">
        <f t="shared" si="60"/>
        <v>1</v>
      </c>
      <c r="P334" s="707"/>
      <c r="Q334" s="24">
        <f t="shared" si="61"/>
        <v>1</v>
      </c>
      <c r="R334" s="703">
        <f t="shared" si="62"/>
        <v>0</v>
      </c>
      <c r="S334" s="348">
        <f t="shared" si="64"/>
        <v>0</v>
      </c>
    </row>
    <row r="335" spans="1:19">
      <c r="A335" s="146"/>
      <c r="B335" s="59"/>
      <c r="C335" s="24">
        <f t="shared" si="54"/>
        <v>1</v>
      </c>
      <c r="D335" s="707"/>
      <c r="E335" s="24">
        <f t="shared" si="55"/>
        <v>0.2</v>
      </c>
      <c r="F335" s="707"/>
      <c r="G335" s="24">
        <f t="shared" si="56"/>
        <v>1</v>
      </c>
      <c r="H335" s="707"/>
      <c r="I335" s="24">
        <f t="shared" si="57"/>
        <v>1</v>
      </c>
      <c r="J335" s="707"/>
      <c r="K335" s="24">
        <f t="shared" si="58"/>
        <v>1</v>
      </c>
      <c r="L335" s="707"/>
      <c r="M335" s="24">
        <f t="shared" si="59"/>
        <v>1</v>
      </c>
      <c r="N335" s="707"/>
      <c r="O335" s="24">
        <f t="shared" si="60"/>
        <v>1</v>
      </c>
      <c r="P335" s="707"/>
      <c r="Q335" s="24">
        <f t="shared" si="61"/>
        <v>1</v>
      </c>
      <c r="R335" s="703">
        <f t="shared" si="62"/>
        <v>0</v>
      </c>
      <c r="S335" s="348">
        <f t="shared" si="64"/>
        <v>0</v>
      </c>
    </row>
    <row r="336" spans="1:19">
      <c r="A336" s="146"/>
      <c r="B336" s="59"/>
      <c r="C336" s="24">
        <f t="shared" si="54"/>
        <v>1</v>
      </c>
      <c r="D336" s="707"/>
      <c r="E336" s="24">
        <f t="shared" si="55"/>
        <v>0.2</v>
      </c>
      <c r="F336" s="707"/>
      <c r="G336" s="24">
        <f t="shared" si="56"/>
        <v>1</v>
      </c>
      <c r="H336" s="707"/>
      <c r="I336" s="24">
        <f t="shared" si="57"/>
        <v>1</v>
      </c>
      <c r="J336" s="707"/>
      <c r="K336" s="24">
        <f t="shared" si="58"/>
        <v>1</v>
      </c>
      <c r="L336" s="707"/>
      <c r="M336" s="24">
        <f t="shared" si="59"/>
        <v>1</v>
      </c>
      <c r="N336" s="707"/>
      <c r="O336" s="24">
        <f t="shared" si="60"/>
        <v>1</v>
      </c>
      <c r="P336" s="707"/>
      <c r="Q336" s="24">
        <f t="shared" si="61"/>
        <v>1</v>
      </c>
      <c r="R336" s="703">
        <f t="shared" si="62"/>
        <v>0</v>
      </c>
      <c r="S336" s="348">
        <f t="shared" si="64"/>
        <v>0</v>
      </c>
    </row>
    <row r="337" spans="1:19">
      <c r="A337" s="146"/>
      <c r="B337" s="59"/>
      <c r="C337" s="24">
        <f t="shared" si="54"/>
        <v>1</v>
      </c>
      <c r="D337" s="707"/>
      <c r="E337" s="24">
        <f t="shared" si="55"/>
        <v>0.2</v>
      </c>
      <c r="F337" s="707"/>
      <c r="G337" s="24">
        <f t="shared" si="56"/>
        <v>1</v>
      </c>
      <c r="H337" s="707"/>
      <c r="I337" s="24">
        <f t="shared" si="57"/>
        <v>1</v>
      </c>
      <c r="J337" s="707"/>
      <c r="K337" s="24">
        <f t="shared" si="58"/>
        <v>1</v>
      </c>
      <c r="L337" s="707"/>
      <c r="M337" s="24">
        <f t="shared" si="59"/>
        <v>1</v>
      </c>
      <c r="N337" s="707"/>
      <c r="O337" s="24">
        <f t="shared" si="60"/>
        <v>1</v>
      </c>
      <c r="P337" s="707"/>
      <c r="Q337" s="24">
        <f t="shared" si="61"/>
        <v>1</v>
      </c>
      <c r="R337" s="703">
        <f t="shared" si="62"/>
        <v>0</v>
      </c>
      <c r="S337" s="348">
        <f t="shared" si="64"/>
        <v>0</v>
      </c>
    </row>
    <row r="338" spans="1:19">
      <c r="A338" s="146"/>
      <c r="B338" s="59"/>
      <c r="C338" s="24">
        <f t="shared" si="54"/>
        <v>1</v>
      </c>
      <c r="D338" s="707"/>
      <c r="E338" s="24">
        <f t="shared" si="55"/>
        <v>0.2</v>
      </c>
      <c r="F338" s="707"/>
      <c r="G338" s="24">
        <f t="shared" si="56"/>
        <v>1</v>
      </c>
      <c r="H338" s="707"/>
      <c r="I338" s="24">
        <f t="shared" si="57"/>
        <v>1</v>
      </c>
      <c r="J338" s="707"/>
      <c r="K338" s="24">
        <f t="shared" si="58"/>
        <v>1</v>
      </c>
      <c r="L338" s="707"/>
      <c r="M338" s="24">
        <f t="shared" si="59"/>
        <v>1</v>
      </c>
      <c r="N338" s="707"/>
      <c r="O338" s="24">
        <f t="shared" si="60"/>
        <v>1</v>
      </c>
      <c r="P338" s="707"/>
      <c r="Q338" s="24">
        <f t="shared" si="61"/>
        <v>1</v>
      </c>
      <c r="R338" s="703">
        <f t="shared" si="62"/>
        <v>0</v>
      </c>
      <c r="S338" s="348">
        <f t="shared" si="64"/>
        <v>0</v>
      </c>
    </row>
    <row r="339" spans="1:19">
      <c r="A339" s="146"/>
      <c r="B339" s="59"/>
      <c r="C339" s="24">
        <f t="shared" si="54"/>
        <v>1</v>
      </c>
      <c r="D339" s="707"/>
      <c r="E339" s="24">
        <f t="shared" si="55"/>
        <v>0.2</v>
      </c>
      <c r="F339" s="707"/>
      <c r="G339" s="24">
        <f t="shared" si="56"/>
        <v>1</v>
      </c>
      <c r="H339" s="707"/>
      <c r="I339" s="24">
        <f t="shared" si="57"/>
        <v>1</v>
      </c>
      <c r="J339" s="707"/>
      <c r="K339" s="24">
        <f t="shared" si="58"/>
        <v>1</v>
      </c>
      <c r="L339" s="707"/>
      <c r="M339" s="24">
        <f t="shared" si="59"/>
        <v>1</v>
      </c>
      <c r="N339" s="707"/>
      <c r="O339" s="24">
        <f t="shared" si="60"/>
        <v>1</v>
      </c>
      <c r="P339" s="707"/>
      <c r="Q339" s="24">
        <f t="shared" si="61"/>
        <v>1</v>
      </c>
      <c r="R339" s="703">
        <f t="shared" si="62"/>
        <v>0</v>
      </c>
      <c r="S339" s="348">
        <f t="shared" si="64"/>
        <v>0</v>
      </c>
    </row>
    <row r="340" spans="1:19">
      <c r="A340" s="146"/>
      <c r="B340" s="59"/>
      <c r="C340" s="24">
        <f t="shared" si="54"/>
        <v>1</v>
      </c>
      <c r="D340" s="707"/>
      <c r="E340" s="24">
        <f t="shared" si="55"/>
        <v>0.2</v>
      </c>
      <c r="F340" s="707"/>
      <c r="G340" s="24">
        <f t="shared" si="56"/>
        <v>1</v>
      </c>
      <c r="H340" s="707"/>
      <c r="I340" s="24">
        <f t="shared" si="57"/>
        <v>1</v>
      </c>
      <c r="J340" s="707"/>
      <c r="K340" s="24">
        <f t="shared" si="58"/>
        <v>1</v>
      </c>
      <c r="L340" s="707"/>
      <c r="M340" s="24">
        <f t="shared" si="59"/>
        <v>1</v>
      </c>
      <c r="N340" s="707"/>
      <c r="O340" s="24">
        <f t="shared" si="60"/>
        <v>1</v>
      </c>
      <c r="P340" s="707"/>
      <c r="Q340" s="24">
        <f t="shared" si="61"/>
        <v>1</v>
      </c>
      <c r="R340" s="703">
        <f t="shared" si="62"/>
        <v>0</v>
      </c>
      <c r="S340" s="348">
        <f t="shared" si="64"/>
        <v>0</v>
      </c>
    </row>
    <row r="341" spans="1:19">
      <c r="A341" s="146"/>
      <c r="B341" s="59"/>
      <c r="C341" s="24">
        <f t="shared" si="54"/>
        <v>1</v>
      </c>
      <c r="D341" s="707"/>
      <c r="E341" s="24">
        <f t="shared" si="55"/>
        <v>0.2</v>
      </c>
      <c r="F341" s="707"/>
      <c r="G341" s="24">
        <f t="shared" si="56"/>
        <v>1</v>
      </c>
      <c r="H341" s="707"/>
      <c r="I341" s="24">
        <f t="shared" si="57"/>
        <v>1</v>
      </c>
      <c r="J341" s="707"/>
      <c r="K341" s="24">
        <f t="shared" si="58"/>
        <v>1</v>
      </c>
      <c r="L341" s="707"/>
      <c r="M341" s="24">
        <f t="shared" si="59"/>
        <v>1</v>
      </c>
      <c r="N341" s="707"/>
      <c r="O341" s="24">
        <f t="shared" si="60"/>
        <v>1</v>
      </c>
      <c r="P341" s="707"/>
      <c r="Q341" s="24">
        <f t="shared" si="61"/>
        <v>1</v>
      </c>
      <c r="R341" s="703">
        <f t="shared" si="62"/>
        <v>0</v>
      </c>
      <c r="S341" s="348">
        <f t="shared" si="64"/>
        <v>0</v>
      </c>
    </row>
    <row r="342" spans="1:19">
      <c r="A342" s="146"/>
      <c r="B342" s="59"/>
      <c r="C342" s="24">
        <f t="shared" si="54"/>
        <v>1</v>
      </c>
      <c r="D342" s="707"/>
      <c r="E342" s="24">
        <f t="shared" si="55"/>
        <v>0.2</v>
      </c>
      <c r="F342" s="707"/>
      <c r="G342" s="24">
        <f t="shared" si="56"/>
        <v>1</v>
      </c>
      <c r="H342" s="707"/>
      <c r="I342" s="24">
        <f t="shared" si="57"/>
        <v>1</v>
      </c>
      <c r="J342" s="707"/>
      <c r="K342" s="24">
        <f t="shared" si="58"/>
        <v>1</v>
      </c>
      <c r="L342" s="707"/>
      <c r="M342" s="24">
        <f t="shared" si="59"/>
        <v>1</v>
      </c>
      <c r="N342" s="707"/>
      <c r="O342" s="24">
        <f t="shared" si="60"/>
        <v>1</v>
      </c>
      <c r="P342" s="707"/>
      <c r="Q342" s="24">
        <f t="shared" si="61"/>
        <v>1</v>
      </c>
      <c r="R342" s="703">
        <f t="shared" si="62"/>
        <v>0</v>
      </c>
      <c r="S342" s="348">
        <f t="shared" si="64"/>
        <v>0</v>
      </c>
    </row>
    <row r="343" spans="1:19">
      <c r="A343" s="146"/>
      <c r="B343" s="59"/>
      <c r="C343" s="24">
        <f t="shared" si="54"/>
        <v>1</v>
      </c>
      <c r="D343" s="707"/>
      <c r="E343" s="24">
        <f t="shared" si="55"/>
        <v>0.2</v>
      </c>
      <c r="F343" s="707"/>
      <c r="G343" s="24">
        <f t="shared" si="56"/>
        <v>1</v>
      </c>
      <c r="H343" s="707"/>
      <c r="I343" s="24">
        <f t="shared" si="57"/>
        <v>1</v>
      </c>
      <c r="J343" s="707"/>
      <c r="K343" s="24">
        <f t="shared" si="58"/>
        <v>1</v>
      </c>
      <c r="L343" s="707"/>
      <c r="M343" s="24">
        <f t="shared" si="59"/>
        <v>1</v>
      </c>
      <c r="N343" s="707"/>
      <c r="O343" s="24">
        <f t="shared" si="60"/>
        <v>1</v>
      </c>
      <c r="P343" s="707"/>
      <c r="Q343" s="24">
        <f t="shared" si="61"/>
        <v>1</v>
      </c>
      <c r="R343" s="703">
        <f t="shared" si="62"/>
        <v>0</v>
      </c>
      <c r="S343" s="348">
        <f t="shared" si="64"/>
        <v>0</v>
      </c>
    </row>
    <row r="344" spans="1:19">
      <c r="A344" s="146"/>
      <c r="B344" s="59"/>
      <c r="C344" s="24">
        <f t="shared" si="54"/>
        <v>1</v>
      </c>
      <c r="D344" s="707"/>
      <c r="E344" s="24">
        <f t="shared" si="55"/>
        <v>0.2</v>
      </c>
      <c r="F344" s="707"/>
      <c r="G344" s="24">
        <f t="shared" si="56"/>
        <v>1</v>
      </c>
      <c r="H344" s="707"/>
      <c r="I344" s="24">
        <f t="shared" si="57"/>
        <v>1</v>
      </c>
      <c r="J344" s="707"/>
      <c r="K344" s="24">
        <f t="shared" si="58"/>
        <v>1</v>
      </c>
      <c r="L344" s="707"/>
      <c r="M344" s="24">
        <f t="shared" si="59"/>
        <v>1</v>
      </c>
      <c r="N344" s="707"/>
      <c r="O344" s="24">
        <f t="shared" si="60"/>
        <v>1</v>
      </c>
      <c r="P344" s="707"/>
      <c r="Q344" s="24">
        <f t="shared" si="61"/>
        <v>1</v>
      </c>
      <c r="R344" s="703">
        <f t="shared" si="62"/>
        <v>0</v>
      </c>
      <c r="S344" s="348">
        <f t="shared" si="64"/>
        <v>0</v>
      </c>
    </row>
    <row r="345" spans="1:19">
      <c r="A345" s="146"/>
      <c r="B345" s="59"/>
      <c r="C345" s="24">
        <f t="shared" si="54"/>
        <v>1</v>
      </c>
      <c r="D345" s="707"/>
      <c r="E345" s="24">
        <f t="shared" si="55"/>
        <v>0.2</v>
      </c>
      <c r="F345" s="707"/>
      <c r="G345" s="24">
        <f t="shared" si="56"/>
        <v>1</v>
      </c>
      <c r="H345" s="707"/>
      <c r="I345" s="24">
        <f t="shared" si="57"/>
        <v>1</v>
      </c>
      <c r="J345" s="707"/>
      <c r="K345" s="24">
        <f t="shared" si="58"/>
        <v>1</v>
      </c>
      <c r="L345" s="707"/>
      <c r="M345" s="24">
        <f t="shared" si="59"/>
        <v>1</v>
      </c>
      <c r="N345" s="707"/>
      <c r="O345" s="24">
        <f t="shared" si="60"/>
        <v>1</v>
      </c>
      <c r="P345" s="707"/>
      <c r="Q345" s="24">
        <f t="shared" si="61"/>
        <v>1</v>
      </c>
      <c r="R345" s="703">
        <f t="shared" si="62"/>
        <v>0</v>
      </c>
      <c r="S345" s="348">
        <f t="shared" si="64"/>
        <v>0</v>
      </c>
    </row>
    <row r="346" spans="1:19">
      <c r="A346" s="146"/>
      <c r="B346" s="59"/>
      <c r="C346" s="24">
        <f t="shared" ref="C346:C409" si="65">IF(B346="",1,(LOOKUP(B346,$3:$3,$4:$4)-LOOKUP($B$24,$3:$3,$4:$4)+100)/100)</f>
        <v>1</v>
      </c>
      <c r="D346" s="707"/>
      <c r="E346" s="24">
        <f t="shared" ref="E346:E409" si="66">(SUMIF($5:$5,D346,$6:$6)-SUMIF($5:$5,$D$24,$6:$6)+100)/100</f>
        <v>0.2</v>
      </c>
      <c r="F346" s="707"/>
      <c r="G346" s="24">
        <f t="shared" ref="G346:G409" si="67">(SUMIF($7:$7,F346,$8:$8)-SUMIF($7:$7,$F$24,$8:$8)+100)/100</f>
        <v>1</v>
      </c>
      <c r="H346" s="707"/>
      <c r="I346" s="24">
        <f t="shared" ref="I346:I409" si="68">(SUMIF($9:$9,H346,$10:$10)-SUMIF($9:$9,$H$24,$10:$10)+100)/100</f>
        <v>1</v>
      </c>
      <c r="J346" s="707"/>
      <c r="K346" s="24">
        <f t="shared" ref="K346:K409" si="69">(SUMIF($11:$11,J346,$12:$12)-SUMIF($11:$11,$J$24,$12:$12)+100)/100</f>
        <v>1</v>
      </c>
      <c r="L346" s="707"/>
      <c r="M346" s="24">
        <f t="shared" ref="M346:M409" si="70">(SUMIF($13:$13,L346,$14:$14)-SUMIF($13:$13,$L$24,$14:$14)+100)/100</f>
        <v>1</v>
      </c>
      <c r="N346" s="707"/>
      <c r="O346" s="24">
        <f t="shared" ref="O346:O409" si="71">(SUMIF($15:$15,N346,$16:$16)-SUMIF($15:$15,$N$24,$16:$16)+100)/100</f>
        <v>1</v>
      </c>
      <c r="P346" s="707"/>
      <c r="Q346" s="24">
        <f t="shared" ref="Q346:Q409" si="72">(SUMIF($17:$17,P346,$18:$18)-SUMIF($17:$17,$P$24,$18:$18)+100)/100</f>
        <v>1</v>
      </c>
      <c r="R346" s="703">
        <f t="shared" ref="R346:R409" si="73">IF(B346="",0,ROUND($R$24*C346*E346*G346*I346*K346*M346*O346*Q346,0))</f>
        <v>0</v>
      </c>
      <c r="S346" s="348">
        <f t="shared" si="64"/>
        <v>0</v>
      </c>
    </row>
    <row r="347" spans="1:19">
      <c r="A347" s="146"/>
      <c r="B347" s="59"/>
      <c r="C347" s="24">
        <f t="shared" si="65"/>
        <v>1</v>
      </c>
      <c r="D347" s="707"/>
      <c r="E347" s="24">
        <f t="shared" si="66"/>
        <v>0.2</v>
      </c>
      <c r="F347" s="707"/>
      <c r="G347" s="24">
        <f t="shared" si="67"/>
        <v>1</v>
      </c>
      <c r="H347" s="707"/>
      <c r="I347" s="24">
        <f t="shared" si="68"/>
        <v>1</v>
      </c>
      <c r="J347" s="707"/>
      <c r="K347" s="24">
        <f t="shared" si="69"/>
        <v>1</v>
      </c>
      <c r="L347" s="707"/>
      <c r="M347" s="24">
        <f t="shared" si="70"/>
        <v>1</v>
      </c>
      <c r="N347" s="707"/>
      <c r="O347" s="24">
        <f t="shared" si="71"/>
        <v>1</v>
      </c>
      <c r="P347" s="707"/>
      <c r="Q347" s="24">
        <f t="shared" si="72"/>
        <v>1</v>
      </c>
      <c r="R347" s="703">
        <f t="shared" si="73"/>
        <v>0</v>
      </c>
      <c r="S347" s="348">
        <f t="shared" si="64"/>
        <v>0</v>
      </c>
    </row>
    <row r="348" spans="1:19">
      <c r="A348" s="146"/>
      <c r="B348" s="59"/>
      <c r="C348" s="24">
        <f t="shared" si="65"/>
        <v>1</v>
      </c>
      <c r="D348" s="707"/>
      <c r="E348" s="24">
        <f t="shared" si="66"/>
        <v>0.2</v>
      </c>
      <c r="F348" s="707"/>
      <c r="G348" s="24">
        <f t="shared" si="67"/>
        <v>1</v>
      </c>
      <c r="H348" s="707"/>
      <c r="I348" s="24">
        <f t="shared" si="68"/>
        <v>1</v>
      </c>
      <c r="J348" s="707"/>
      <c r="K348" s="24">
        <f t="shared" si="69"/>
        <v>1</v>
      </c>
      <c r="L348" s="707"/>
      <c r="M348" s="24">
        <f t="shared" si="70"/>
        <v>1</v>
      </c>
      <c r="N348" s="707"/>
      <c r="O348" s="24">
        <f t="shared" si="71"/>
        <v>1</v>
      </c>
      <c r="P348" s="707"/>
      <c r="Q348" s="24">
        <f t="shared" si="72"/>
        <v>1</v>
      </c>
      <c r="R348" s="703">
        <f t="shared" si="73"/>
        <v>0</v>
      </c>
      <c r="S348" s="348">
        <f t="shared" si="64"/>
        <v>0</v>
      </c>
    </row>
    <row r="349" spans="1:19">
      <c r="A349" s="146"/>
      <c r="B349" s="59"/>
      <c r="C349" s="24">
        <f t="shared" si="65"/>
        <v>1</v>
      </c>
      <c r="D349" s="707"/>
      <c r="E349" s="24">
        <f t="shared" si="66"/>
        <v>0.2</v>
      </c>
      <c r="F349" s="707"/>
      <c r="G349" s="24">
        <f t="shared" si="67"/>
        <v>1</v>
      </c>
      <c r="H349" s="707"/>
      <c r="I349" s="24">
        <f t="shared" si="68"/>
        <v>1</v>
      </c>
      <c r="J349" s="707"/>
      <c r="K349" s="24">
        <f t="shared" si="69"/>
        <v>1</v>
      </c>
      <c r="L349" s="707"/>
      <c r="M349" s="24">
        <f t="shared" si="70"/>
        <v>1</v>
      </c>
      <c r="N349" s="707"/>
      <c r="O349" s="24">
        <f t="shared" si="71"/>
        <v>1</v>
      </c>
      <c r="P349" s="707"/>
      <c r="Q349" s="24">
        <f t="shared" si="72"/>
        <v>1</v>
      </c>
      <c r="R349" s="703">
        <f t="shared" si="73"/>
        <v>0</v>
      </c>
      <c r="S349" s="348">
        <f t="shared" si="64"/>
        <v>0</v>
      </c>
    </row>
    <row r="350" spans="1:19">
      <c r="A350" s="146"/>
      <c r="B350" s="59"/>
      <c r="C350" s="24">
        <f t="shared" si="65"/>
        <v>1</v>
      </c>
      <c r="D350" s="707"/>
      <c r="E350" s="24">
        <f t="shared" si="66"/>
        <v>0.2</v>
      </c>
      <c r="F350" s="707"/>
      <c r="G350" s="24">
        <f t="shared" si="67"/>
        <v>1</v>
      </c>
      <c r="H350" s="707"/>
      <c r="I350" s="24">
        <f t="shared" si="68"/>
        <v>1</v>
      </c>
      <c r="J350" s="707"/>
      <c r="K350" s="24">
        <f t="shared" si="69"/>
        <v>1</v>
      </c>
      <c r="L350" s="707"/>
      <c r="M350" s="24">
        <f t="shared" si="70"/>
        <v>1</v>
      </c>
      <c r="N350" s="707"/>
      <c r="O350" s="24">
        <f t="shared" si="71"/>
        <v>1</v>
      </c>
      <c r="P350" s="707"/>
      <c r="Q350" s="24">
        <f t="shared" si="72"/>
        <v>1</v>
      </c>
      <c r="R350" s="703">
        <f t="shared" si="73"/>
        <v>0</v>
      </c>
      <c r="S350" s="348">
        <f t="shared" si="64"/>
        <v>0</v>
      </c>
    </row>
    <row r="351" spans="1:19">
      <c r="A351" s="146"/>
      <c r="B351" s="59"/>
      <c r="C351" s="24">
        <f t="shared" si="65"/>
        <v>1</v>
      </c>
      <c r="D351" s="707"/>
      <c r="E351" s="24">
        <f t="shared" si="66"/>
        <v>0.2</v>
      </c>
      <c r="F351" s="707"/>
      <c r="G351" s="24">
        <f t="shared" si="67"/>
        <v>1</v>
      </c>
      <c r="H351" s="707"/>
      <c r="I351" s="24">
        <f t="shared" si="68"/>
        <v>1</v>
      </c>
      <c r="J351" s="707"/>
      <c r="K351" s="24">
        <f t="shared" si="69"/>
        <v>1</v>
      </c>
      <c r="L351" s="707"/>
      <c r="M351" s="24">
        <f t="shared" si="70"/>
        <v>1</v>
      </c>
      <c r="N351" s="707"/>
      <c r="O351" s="24">
        <f t="shared" si="71"/>
        <v>1</v>
      </c>
      <c r="P351" s="707"/>
      <c r="Q351" s="24">
        <f t="shared" si="72"/>
        <v>1</v>
      </c>
      <c r="R351" s="703">
        <f t="shared" si="73"/>
        <v>0</v>
      </c>
      <c r="S351" s="348">
        <f t="shared" si="64"/>
        <v>0</v>
      </c>
    </row>
    <row r="352" spans="1:19">
      <c r="A352" s="146"/>
      <c r="B352" s="59"/>
      <c r="C352" s="24">
        <f t="shared" si="65"/>
        <v>1</v>
      </c>
      <c r="D352" s="707"/>
      <c r="E352" s="24">
        <f t="shared" si="66"/>
        <v>0.2</v>
      </c>
      <c r="F352" s="707"/>
      <c r="G352" s="24">
        <f t="shared" si="67"/>
        <v>1</v>
      </c>
      <c r="H352" s="707"/>
      <c r="I352" s="24">
        <f t="shared" si="68"/>
        <v>1</v>
      </c>
      <c r="J352" s="707"/>
      <c r="K352" s="24">
        <f t="shared" si="69"/>
        <v>1</v>
      </c>
      <c r="L352" s="707"/>
      <c r="M352" s="24">
        <f t="shared" si="70"/>
        <v>1</v>
      </c>
      <c r="N352" s="707"/>
      <c r="O352" s="24">
        <f t="shared" si="71"/>
        <v>1</v>
      </c>
      <c r="P352" s="707"/>
      <c r="Q352" s="24">
        <f t="shared" si="72"/>
        <v>1</v>
      </c>
      <c r="R352" s="703">
        <f t="shared" si="73"/>
        <v>0</v>
      </c>
      <c r="S352" s="348">
        <f t="shared" si="64"/>
        <v>0</v>
      </c>
    </row>
    <row r="353" spans="1:19">
      <c r="A353" s="146"/>
      <c r="B353" s="59"/>
      <c r="C353" s="24">
        <f t="shared" si="65"/>
        <v>1</v>
      </c>
      <c r="D353" s="707"/>
      <c r="E353" s="24">
        <f t="shared" si="66"/>
        <v>0.2</v>
      </c>
      <c r="F353" s="707"/>
      <c r="G353" s="24">
        <f t="shared" si="67"/>
        <v>1</v>
      </c>
      <c r="H353" s="707"/>
      <c r="I353" s="24">
        <f t="shared" si="68"/>
        <v>1</v>
      </c>
      <c r="J353" s="707"/>
      <c r="K353" s="24">
        <f t="shared" si="69"/>
        <v>1</v>
      </c>
      <c r="L353" s="707"/>
      <c r="M353" s="24">
        <f t="shared" si="70"/>
        <v>1</v>
      </c>
      <c r="N353" s="707"/>
      <c r="O353" s="24">
        <f t="shared" si="71"/>
        <v>1</v>
      </c>
      <c r="P353" s="707"/>
      <c r="Q353" s="24">
        <f t="shared" si="72"/>
        <v>1</v>
      </c>
      <c r="R353" s="703">
        <f t="shared" si="73"/>
        <v>0</v>
      </c>
      <c r="S353" s="348">
        <f t="shared" si="64"/>
        <v>0</v>
      </c>
    </row>
    <row r="354" spans="1:19">
      <c r="A354" s="146"/>
      <c r="B354" s="59"/>
      <c r="C354" s="24">
        <f t="shared" si="65"/>
        <v>1</v>
      </c>
      <c r="D354" s="707"/>
      <c r="E354" s="24">
        <f t="shared" si="66"/>
        <v>0.2</v>
      </c>
      <c r="F354" s="707"/>
      <c r="G354" s="24">
        <f t="shared" si="67"/>
        <v>1</v>
      </c>
      <c r="H354" s="707"/>
      <c r="I354" s="24">
        <f t="shared" si="68"/>
        <v>1</v>
      </c>
      <c r="J354" s="707"/>
      <c r="K354" s="24">
        <f t="shared" si="69"/>
        <v>1</v>
      </c>
      <c r="L354" s="707"/>
      <c r="M354" s="24">
        <f t="shared" si="70"/>
        <v>1</v>
      </c>
      <c r="N354" s="707"/>
      <c r="O354" s="24">
        <f t="shared" si="71"/>
        <v>1</v>
      </c>
      <c r="P354" s="707"/>
      <c r="Q354" s="24">
        <f t="shared" si="72"/>
        <v>1</v>
      </c>
      <c r="R354" s="703">
        <f t="shared" si="73"/>
        <v>0</v>
      </c>
      <c r="S354" s="348">
        <f t="shared" si="64"/>
        <v>0</v>
      </c>
    </row>
    <row r="355" spans="1:19">
      <c r="A355" s="146"/>
      <c r="B355" s="59"/>
      <c r="C355" s="24">
        <f t="shared" si="65"/>
        <v>1</v>
      </c>
      <c r="D355" s="707"/>
      <c r="E355" s="24">
        <f t="shared" si="66"/>
        <v>0.2</v>
      </c>
      <c r="F355" s="707"/>
      <c r="G355" s="24">
        <f t="shared" si="67"/>
        <v>1</v>
      </c>
      <c r="H355" s="707"/>
      <c r="I355" s="24">
        <f t="shared" si="68"/>
        <v>1</v>
      </c>
      <c r="J355" s="707"/>
      <c r="K355" s="24">
        <f t="shared" si="69"/>
        <v>1</v>
      </c>
      <c r="L355" s="707"/>
      <c r="M355" s="24">
        <f t="shared" si="70"/>
        <v>1</v>
      </c>
      <c r="N355" s="707"/>
      <c r="O355" s="24">
        <f t="shared" si="71"/>
        <v>1</v>
      </c>
      <c r="P355" s="707"/>
      <c r="Q355" s="24">
        <f t="shared" si="72"/>
        <v>1</v>
      </c>
      <c r="R355" s="703">
        <f t="shared" si="73"/>
        <v>0</v>
      </c>
      <c r="S355" s="348">
        <f t="shared" si="64"/>
        <v>0</v>
      </c>
    </row>
    <row r="356" spans="1:19">
      <c r="A356" s="146"/>
      <c r="B356" s="59"/>
      <c r="C356" s="24">
        <f t="shared" si="65"/>
        <v>1</v>
      </c>
      <c r="D356" s="707"/>
      <c r="E356" s="24">
        <f t="shared" si="66"/>
        <v>0.2</v>
      </c>
      <c r="F356" s="707"/>
      <c r="G356" s="24">
        <f t="shared" si="67"/>
        <v>1</v>
      </c>
      <c r="H356" s="707"/>
      <c r="I356" s="24">
        <f t="shared" si="68"/>
        <v>1</v>
      </c>
      <c r="J356" s="707"/>
      <c r="K356" s="24">
        <f t="shared" si="69"/>
        <v>1</v>
      </c>
      <c r="L356" s="707"/>
      <c r="M356" s="24">
        <f t="shared" si="70"/>
        <v>1</v>
      </c>
      <c r="N356" s="707"/>
      <c r="O356" s="24">
        <f t="shared" si="71"/>
        <v>1</v>
      </c>
      <c r="P356" s="707"/>
      <c r="Q356" s="24">
        <f t="shared" si="72"/>
        <v>1</v>
      </c>
      <c r="R356" s="703">
        <f t="shared" si="73"/>
        <v>0</v>
      </c>
      <c r="S356" s="348">
        <f t="shared" si="64"/>
        <v>0</v>
      </c>
    </row>
    <row r="357" spans="1:19">
      <c r="A357" s="146"/>
      <c r="B357" s="59"/>
      <c r="C357" s="24">
        <f t="shared" si="65"/>
        <v>1</v>
      </c>
      <c r="D357" s="707"/>
      <c r="E357" s="24">
        <f t="shared" si="66"/>
        <v>0.2</v>
      </c>
      <c r="F357" s="707"/>
      <c r="G357" s="24">
        <f t="shared" si="67"/>
        <v>1</v>
      </c>
      <c r="H357" s="707"/>
      <c r="I357" s="24">
        <f t="shared" si="68"/>
        <v>1</v>
      </c>
      <c r="J357" s="707"/>
      <c r="K357" s="24">
        <f t="shared" si="69"/>
        <v>1</v>
      </c>
      <c r="L357" s="707"/>
      <c r="M357" s="24">
        <f t="shared" si="70"/>
        <v>1</v>
      </c>
      <c r="N357" s="707"/>
      <c r="O357" s="24">
        <f t="shared" si="71"/>
        <v>1</v>
      </c>
      <c r="P357" s="707"/>
      <c r="Q357" s="24">
        <f t="shared" si="72"/>
        <v>1</v>
      </c>
      <c r="R357" s="703">
        <f t="shared" si="73"/>
        <v>0</v>
      </c>
      <c r="S357" s="348">
        <f t="shared" si="64"/>
        <v>0</v>
      </c>
    </row>
    <row r="358" spans="1:19">
      <c r="A358" s="146"/>
      <c r="B358" s="59"/>
      <c r="C358" s="24">
        <f t="shared" si="65"/>
        <v>1</v>
      </c>
      <c r="D358" s="707"/>
      <c r="E358" s="24">
        <f t="shared" si="66"/>
        <v>0.2</v>
      </c>
      <c r="F358" s="707"/>
      <c r="G358" s="24">
        <f t="shared" si="67"/>
        <v>1</v>
      </c>
      <c r="H358" s="707"/>
      <c r="I358" s="24">
        <f t="shared" si="68"/>
        <v>1</v>
      </c>
      <c r="J358" s="707"/>
      <c r="K358" s="24">
        <f t="shared" si="69"/>
        <v>1</v>
      </c>
      <c r="L358" s="707"/>
      <c r="M358" s="24">
        <f t="shared" si="70"/>
        <v>1</v>
      </c>
      <c r="N358" s="707"/>
      <c r="O358" s="24">
        <f t="shared" si="71"/>
        <v>1</v>
      </c>
      <c r="P358" s="707"/>
      <c r="Q358" s="24">
        <f t="shared" si="72"/>
        <v>1</v>
      </c>
      <c r="R358" s="703">
        <f t="shared" si="73"/>
        <v>0</v>
      </c>
      <c r="S358" s="348">
        <f t="shared" si="64"/>
        <v>0</v>
      </c>
    </row>
    <row r="359" spans="1:19">
      <c r="A359" s="146"/>
      <c r="B359" s="59"/>
      <c r="C359" s="24">
        <f t="shared" si="65"/>
        <v>1</v>
      </c>
      <c r="D359" s="707"/>
      <c r="E359" s="24">
        <f t="shared" si="66"/>
        <v>0.2</v>
      </c>
      <c r="F359" s="707"/>
      <c r="G359" s="24">
        <f t="shared" si="67"/>
        <v>1</v>
      </c>
      <c r="H359" s="707"/>
      <c r="I359" s="24">
        <f t="shared" si="68"/>
        <v>1</v>
      </c>
      <c r="J359" s="707"/>
      <c r="K359" s="24">
        <f t="shared" si="69"/>
        <v>1</v>
      </c>
      <c r="L359" s="707"/>
      <c r="M359" s="24">
        <f t="shared" si="70"/>
        <v>1</v>
      </c>
      <c r="N359" s="707"/>
      <c r="O359" s="24">
        <f t="shared" si="71"/>
        <v>1</v>
      </c>
      <c r="P359" s="707"/>
      <c r="Q359" s="24">
        <f t="shared" si="72"/>
        <v>1</v>
      </c>
      <c r="R359" s="703">
        <f t="shared" si="73"/>
        <v>0</v>
      </c>
      <c r="S359" s="348">
        <f t="shared" si="64"/>
        <v>0</v>
      </c>
    </row>
    <row r="360" spans="1:19">
      <c r="A360" s="146"/>
      <c r="B360" s="59"/>
      <c r="C360" s="24">
        <f t="shared" si="65"/>
        <v>1</v>
      </c>
      <c r="D360" s="707"/>
      <c r="E360" s="24">
        <f t="shared" si="66"/>
        <v>0.2</v>
      </c>
      <c r="F360" s="707"/>
      <c r="G360" s="24">
        <f t="shared" si="67"/>
        <v>1</v>
      </c>
      <c r="H360" s="707"/>
      <c r="I360" s="24">
        <f t="shared" si="68"/>
        <v>1</v>
      </c>
      <c r="J360" s="707"/>
      <c r="K360" s="24">
        <f t="shared" si="69"/>
        <v>1</v>
      </c>
      <c r="L360" s="707"/>
      <c r="M360" s="24">
        <f t="shared" si="70"/>
        <v>1</v>
      </c>
      <c r="N360" s="707"/>
      <c r="O360" s="24">
        <f t="shared" si="71"/>
        <v>1</v>
      </c>
      <c r="P360" s="707"/>
      <c r="Q360" s="24">
        <f t="shared" si="72"/>
        <v>1</v>
      </c>
      <c r="R360" s="703">
        <f t="shared" si="73"/>
        <v>0</v>
      </c>
      <c r="S360" s="348">
        <f t="shared" si="64"/>
        <v>0</v>
      </c>
    </row>
    <row r="361" spans="1:19">
      <c r="A361" s="146"/>
      <c r="B361" s="59"/>
      <c r="C361" s="24">
        <f t="shared" si="65"/>
        <v>1</v>
      </c>
      <c r="D361" s="707"/>
      <c r="E361" s="24">
        <f t="shared" si="66"/>
        <v>0.2</v>
      </c>
      <c r="F361" s="707"/>
      <c r="G361" s="24">
        <f t="shared" si="67"/>
        <v>1</v>
      </c>
      <c r="H361" s="707"/>
      <c r="I361" s="24">
        <f t="shared" si="68"/>
        <v>1</v>
      </c>
      <c r="J361" s="707"/>
      <c r="K361" s="24">
        <f t="shared" si="69"/>
        <v>1</v>
      </c>
      <c r="L361" s="707"/>
      <c r="M361" s="24">
        <f t="shared" si="70"/>
        <v>1</v>
      </c>
      <c r="N361" s="707"/>
      <c r="O361" s="24">
        <f t="shared" si="71"/>
        <v>1</v>
      </c>
      <c r="P361" s="707"/>
      <c r="Q361" s="24">
        <f t="shared" si="72"/>
        <v>1</v>
      </c>
      <c r="R361" s="703">
        <f t="shared" si="73"/>
        <v>0</v>
      </c>
      <c r="S361" s="348">
        <f t="shared" si="64"/>
        <v>0</v>
      </c>
    </row>
    <row r="362" spans="1:19">
      <c r="A362" s="146"/>
      <c r="B362" s="59"/>
      <c r="C362" s="24">
        <f t="shared" si="65"/>
        <v>1</v>
      </c>
      <c r="D362" s="707"/>
      <c r="E362" s="24">
        <f t="shared" si="66"/>
        <v>0.2</v>
      </c>
      <c r="F362" s="707"/>
      <c r="G362" s="24">
        <f t="shared" si="67"/>
        <v>1</v>
      </c>
      <c r="H362" s="707"/>
      <c r="I362" s="24">
        <f t="shared" si="68"/>
        <v>1</v>
      </c>
      <c r="J362" s="707"/>
      <c r="K362" s="24">
        <f t="shared" si="69"/>
        <v>1</v>
      </c>
      <c r="L362" s="707"/>
      <c r="M362" s="24">
        <f t="shared" si="70"/>
        <v>1</v>
      </c>
      <c r="N362" s="707"/>
      <c r="O362" s="24">
        <f t="shared" si="71"/>
        <v>1</v>
      </c>
      <c r="P362" s="707"/>
      <c r="Q362" s="24">
        <f t="shared" si="72"/>
        <v>1</v>
      </c>
      <c r="R362" s="703">
        <f t="shared" si="73"/>
        <v>0</v>
      </c>
      <c r="S362" s="348">
        <f t="shared" si="64"/>
        <v>0</v>
      </c>
    </row>
    <row r="363" spans="1:19">
      <c r="A363" s="146"/>
      <c r="B363" s="59"/>
      <c r="C363" s="24">
        <f t="shared" si="65"/>
        <v>1</v>
      </c>
      <c r="D363" s="707"/>
      <c r="E363" s="24">
        <f t="shared" si="66"/>
        <v>0.2</v>
      </c>
      <c r="F363" s="707"/>
      <c r="G363" s="24">
        <f t="shared" si="67"/>
        <v>1</v>
      </c>
      <c r="H363" s="707"/>
      <c r="I363" s="24">
        <f t="shared" si="68"/>
        <v>1</v>
      </c>
      <c r="J363" s="707"/>
      <c r="K363" s="24">
        <f t="shared" si="69"/>
        <v>1</v>
      </c>
      <c r="L363" s="707"/>
      <c r="M363" s="24">
        <f t="shared" si="70"/>
        <v>1</v>
      </c>
      <c r="N363" s="707"/>
      <c r="O363" s="24">
        <f t="shared" si="71"/>
        <v>1</v>
      </c>
      <c r="P363" s="707"/>
      <c r="Q363" s="24">
        <f t="shared" si="72"/>
        <v>1</v>
      </c>
      <c r="R363" s="703">
        <f t="shared" si="73"/>
        <v>0</v>
      </c>
      <c r="S363" s="348">
        <f t="shared" si="64"/>
        <v>0</v>
      </c>
    </row>
    <row r="364" spans="1:19">
      <c r="A364" s="146"/>
      <c r="B364" s="59"/>
      <c r="C364" s="24">
        <f t="shared" si="65"/>
        <v>1</v>
      </c>
      <c r="D364" s="707"/>
      <c r="E364" s="24">
        <f t="shared" si="66"/>
        <v>0.2</v>
      </c>
      <c r="F364" s="707"/>
      <c r="G364" s="24">
        <f t="shared" si="67"/>
        <v>1</v>
      </c>
      <c r="H364" s="707"/>
      <c r="I364" s="24">
        <f t="shared" si="68"/>
        <v>1</v>
      </c>
      <c r="J364" s="707"/>
      <c r="K364" s="24">
        <f t="shared" si="69"/>
        <v>1</v>
      </c>
      <c r="L364" s="707"/>
      <c r="M364" s="24">
        <f t="shared" si="70"/>
        <v>1</v>
      </c>
      <c r="N364" s="707"/>
      <c r="O364" s="24">
        <f t="shared" si="71"/>
        <v>1</v>
      </c>
      <c r="P364" s="707"/>
      <c r="Q364" s="24">
        <f t="shared" si="72"/>
        <v>1</v>
      </c>
      <c r="R364" s="703">
        <f t="shared" si="73"/>
        <v>0</v>
      </c>
      <c r="S364" s="348">
        <f t="shared" si="64"/>
        <v>0</v>
      </c>
    </row>
    <row r="365" spans="1:19">
      <c r="A365" s="146"/>
      <c r="B365" s="59"/>
      <c r="C365" s="24">
        <f t="shared" si="65"/>
        <v>1</v>
      </c>
      <c r="D365" s="707"/>
      <c r="E365" s="24">
        <f t="shared" si="66"/>
        <v>0.2</v>
      </c>
      <c r="F365" s="707"/>
      <c r="G365" s="24">
        <f t="shared" si="67"/>
        <v>1</v>
      </c>
      <c r="H365" s="707"/>
      <c r="I365" s="24">
        <f t="shared" si="68"/>
        <v>1</v>
      </c>
      <c r="J365" s="707"/>
      <c r="K365" s="24">
        <f t="shared" si="69"/>
        <v>1</v>
      </c>
      <c r="L365" s="707"/>
      <c r="M365" s="24">
        <f t="shared" si="70"/>
        <v>1</v>
      </c>
      <c r="N365" s="707"/>
      <c r="O365" s="24">
        <f t="shared" si="71"/>
        <v>1</v>
      </c>
      <c r="P365" s="707"/>
      <c r="Q365" s="24">
        <f t="shared" si="72"/>
        <v>1</v>
      </c>
      <c r="R365" s="703">
        <f t="shared" si="73"/>
        <v>0</v>
      </c>
      <c r="S365" s="348">
        <f t="shared" si="64"/>
        <v>0</v>
      </c>
    </row>
    <row r="366" spans="1:19">
      <c r="A366" s="146"/>
      <c r="B366" s="59"/>
      <c r="C366" s="24">
        <f t="shared" si="65"/>
        <v>1</v>
      </c>
      <c r="D366" s="707"/>
      <c r="E366" s="24">
        <f t="shared" si="66"/>
        <v>0.2</v>
      </c>
      <c r="F366" s="707"/>
      <c r="G366" s="24">
        <f t="shared" si="67"/>
        <v>1</v>
      </c>
      <c r="H366" s="707"/>
      <c r="I366" s="24">
        <f t="shared" si="68"/>
        <v>1</v>
      </c>
      <c r="J366" s="707"/>
      <c r="K366" s="24">
        <f t="shared" si="69"/>
        <v>1</v>
      </c>
      <c r="L366" s="707"/>
      <c r="M366" s="24">
        <f t="shared" si="70"/>
        <v>1</v>
      </c>
      <c r="N366" s="707"/>
      <c r="O366" s="24">
        <f t="shared" si="71"/>
        <v>1</v>
      </c>
      <c r="P366" s="707"/>
      <c r="Q366" s="24">
        <f t="shared" si="72"/>
        <v>1</v>
      </c>
      <c r="R366" s="703">
        <f t="shared" si="73"/>
        <v>0</v>
      </c>
      <c r="S366" s="348">
        <f t="shared" si="64"/>
        <v>0</v>
      </c>
    </row>
    <row r="367" spans="1:19">
      <c r="A367" s="146"/>
      <c r="B367" s="59"/>
      <c r="C367" s="24">
        <f t="shared" si="65"/>
        <v>1</v>
      </c>
      <c r="D367" s="707"/>
      <c r="E367" s="24">
        <f t="shared" si="66"/>
        <v>0.2</v>
      </c>
      <c r="F367" s="707"/>
      <c r="G367" s="24">
        <f t="shared" si="67"/>
        <v>1</v>
      </c>
      <c r="H367" s="707"/>
      <c r="I367" s="24">
        <f t="shared" si="68"/>
        <v>1</v>
      </c>
      <c r="J367" s="707"/>
      <c r="K367" s="24">
        <f t="shared" si="69"/>
        <v>1</v>
      </c>
      <c r="L367" s="707"/>
      <c r="M367" s="24">
        <f t="shared" si="70"/>
        <v>1</v>
      </c>
      <c r="N367" s="707"/>
      <c r="O367" s="24">
        <f t="shared" si="71"/>
        <v>1</v>
      </c>
      <c r="P367" s="707"/>
      <c r="Q367" s="24">
        <f t="shared" si="72"/>
        <v>1</v>
      </c>
      <c r="R367" s="703">
        <f t="shared" si="73"/>
        <v>0</v>
      </c>
      <c r="S367" s="348">
        <f t="shared" si="64"/>
        <v>0</v>
      </c>
    </row>
    <row r="368" spans="1:19">
      <c r="A368" s="146"/>
      <c r="B368" s="59"/>
      <c r="C368" s="24">
        <f t="shared" si="65"/>
        <v>1</v>
      </c>
      <c r="D368" s="707"/>
      <c r="E368" s="24">
        <f t="shared" si="66"/>
        <v>0.2</v>
      </c>
      <c r="F368" s="707"/>
      <c r="G368" s="24">
        <f t="shared" si="67"/>
        <v>1</v>
      </c>
      <c r="H368" s="707"/>
      <c r="I368" s="24">
        <f t="shared" si="68"/>
        <v>1</v>
      </c>
      <c r="J368" s="707"/>
      <c r="K368" s="24">
        <f t="shared" si="69"/>
        <v>1</v>
      </c>
      <c r="L368" s="707"/>
      <c r="M368" s="24">
        <f t="shared" si="70"/>
        <v>1</v>
      </c>
      <c r="N368" s="707"/>
      <c r="O368" s="24">
        <f t="shared" si="71"/>
        <v>1</v>
      </c>
      <c r="P368" s="707"/>
      <c r="Q368" s="24">
        <f t="shared" si="72"/>
        <v>1</v>
      </c>
      <c r="R368" s="703">
        <f t="shared" si="73"/>
        <v>0</v>
      </c>
      <c r="S368" s="348">
        <f t="shared" si="64"/>
        <v>0</v>
      </c>
    </row>
    <row r="369" spans="1:19">
      <c r="A369" s="146"/>
      <c r="B369" s="59"/>
      <c r="C369" s="24">
        <f t="shared" si="65"/>
        <v>1</v>
      </c>
      <c r="D369" s="707"/>
      <c r="E369" s="24">
        <f t="shared" si="66"/>
        <v>0.2</v>
      </c>
      <c r="F369" s="707"/>
      <c r="G369" s="24">
        <f t="shared" si="67"/>
        <v>1</v>
      </c>
      <c r="H369" s="707"/>
      <c r="I369" s="24">
        <f t="shared" si="68"/>
        <v>1</v>
      </c>
      <c r="J369" s="707"/>
      <c r="K369" s="24">
        <f t="shared" si="69"/>
        <v>1</v>
      </c>
      <c r="L369" s="707"/>
      <c r="M369" s="24">
        <f t="shared" si="70"/>
        <v>1</v>
      </c>
      <c r="N369" s="707"/>
      <c r="O369" s="24">
        <f t="shared" si="71"/>
        <v>1</v>
      </c>
      <c r="P369" s="707"/>
      <c r="Q369" s="24">
        <f t="shared" si="72"/>
        <v>1</v>
      </c>
      <c r="R369" s="703">
        <f t="shared" si="73"/>
        <v>0</v>
      </c>
      <c r="S369" s="348">
        <f t="shared" si="64"/>
        <v>0</v>
      </c>
    </row>
    <row r="370" spans="1:19">
      <c r="A370" s="146"/>
      <c r="B370" s="59"/>
      <c r="C370" s="24">
        <f t="shared" si="65"/>
        <v>1</v>
      </c>
      <c r="D370" s="707"/>
      <c r="E370" s="24">
        <f t="shared" si="66"/>
        <v>0.2</v>
      </c>
      <c r="F370" s="707"/>
      <c r="G370" s="24">
        <f t="shared" si="67"/>
        <v>1</v>
      </c>
      <c r="H370" s="707"/>
      <c r="I370" s="24">
        <f t="shared" si="68"/>
        <v>1</v>
      </c>
      <c r="J370" s="707"/>
      <c r="K370" s="24">
        <f t="shared" si="69"/>
        <v>1</v>
      </c>
      <c r="L370" s="707"/>
      <c r="M370" s="24">
        <f t="shared" si="70"/>
        <v>1</v>
      </c>
      <c r="N370" s="707"/>
      <c r="O370" s="24">
        <f t="shared" si="71"/>
        <v>1</v>
      </c>
      <c r="P370" s="707"/>
      <c r="Q370" s="24">
        <f t="shared" si="72"/>
        <v>1</v>
      </c>
      <c r="R370" s="703">
        <f t="shared" si="73"/>
        <v>0</v>
      </c>
      <c r="S370" s="348">
        <f t="shared" si="64"/>
        <v>0</v>
      </c>
    </row>
    <row r="371" spans="1:19">
      <c r="A371" s="146"/>
      <c r="B371" s="59"/>
      <c r="C371" s="24">
        <f t="shared" si="65"/>
        <v>1</v>
      </c>
      <c r="D371" s="707"/>
      <c r="E371" s="24">
        <f t="shared" si="66"/>
        <v>0.2</v>
      </c>
      <c r="F371" s="707"/>
      <c r="G371" s="24">
        <f t="shared" si="67"/>
        <v>1</v>
      </c>
      <c r="H371" s="707"/>
      <c r="I371" s="24">
        <f t="shared" si="68"/>
        <v>1</v>
      </c>
      <c r="J371" s="707"/>
      <c r="K371" s="24">
        <f t="shared" si="69"/>
        <v>1</v>
      </c>
      <c r="L371" s="707"/>
      <c r="M371" s="24">
        <f t="shared" si="70"/>
        <v>1</v>
      </c>
      <c r="N371" s="707"/>
      <c r="O371" s="24">
        <f t="shared" si="71"/>
        <v>1</v>
      </c>
      <c r="P371" s="707"/>
      <c r="Q371" s="24">
        <f t="shared" si="72"/>
        <v>1</v>
      </c>
      <c r="R371" s="703">
        <f t="shared" si="73"/>
        <v>0</v>
      </c>
      <c r="S371" s="348">
        <f t="shared" si="64"/>
        <v>0</v>
      </c>
    </row>
    <row r="372" spans="1:19">
      <c r="A372" s="146"/>
      <c r="B372" s="59"/>
      <c r="C372" s="24">
        <f t="shared" si="65"/>
        <v>1</v>
      </c>
      <c r="D372" s="707"/>
      <c r="E372" s="24">
        <f t="shared" si="66"/>
        <v>0.2</v>
      </c>
      <c r="F372" s="707"/>
      <c r="G372" s="24">
        <f t="shared" si="67"/>
        <v>1</v>
      </c>
      <c r="H372" s="707"/>
      <c r="I372" s="24">
        <f t="shared" si="68"/>
        <v>1</v>
      </c>
      <c r="J372" s="707"/>
      <c r="K372" s="24">
        <f t="shared" si="69"/>
        <v>1</v>
      </c>
      <c r="L372" s="707"/>
      <c r="M372" s="24">
        <f t="shared" si="70"/>
        <v>1</v>
      </c>
      <c r="N372" s="707"/>
      <c r="O372" s="24">
        <f t="shared" si="71"/>
        <v>1</v>
      </c>
      <c r="P372" s="707"/>
      <c r="Q372" s="24">
        <f t="shared" si="72"/>
        <v>1</v>
      </c>
      <c r="R372" s="703">
        <f t="shared" si="73"/>
        <v>0</v>
      </c>
      <c r="S372" s="348">
        <f t="shared" si="64"/>
        <v>0</v>
      </c>
    </row>
    <row r="373" spans="1:19">
      <c r="A373" s="146"/>
      <c r="B373" s="59"/>
      <c r="C373" s="24">
        <f t="shared" si="65"/>
        <v>1</v>
      </c>
      <c r="D373" s="707"/>
      <c r="E373" s="24">
        <f t="shared" si="66"/>
        <v>0.2</v>
      </c>
      <c r="F373" s="707"/>
      <c r="G373" s="24">
        <f t="shared" si="67"/>
        <v>1</v>
      </c>
      <c r="H373" s="707"/>
      <c r="I373" s="24">
        <f t="shared" si="68"/>
        <v>1</v>
      </c>
      <c r="J373" s="707"/>
      <c r="K373" s="24">
        <f t="shared" si="69"/>
        <v>1</v>
      </c>
      <c r="L373" s="707"/>
      <c r="M373" s="24">
        <f t="shared" si="70"/>
        <v>1</v>
      </c>
      <c r="N373" s="707"/>
      <c r="O373" s="24">
        <f t="shared" si="71"/>
        <v>1</v>
      </c>
      <c r="P373" s="707"/>
      <c r="Q373" s="24">
        <f t="shared" si="72"/>
        <v>1</v>
      </c>
      <c r="R373" s="703">
        <f t="shared" si="73"/>
        <v>0</v>
      </c>
      <c r="S373" s="348">
        <f t="shared" si="64"/>
        <v>0</v>
      </c>
    </row>
    <row r="374" spans="1:19">
      <c r="A374" s="146"/>
      <c r="B374" s="59"/>
      <c r="C374" s="24">
        <f t="shared" si="65"/>
        <v>1</v>
      </c>
      <c r="D374" s="707"/>
      <c r="E374" s="24">
        <f t="shared" si="66"/>
        <v>0.2</v>
      </c>
      <c r="F374" s="707"/>
      <c r="G374" s="24">
        <f t="shared" si="67"/>
        <v>1</v>
      </c>
      <c r="H374" s="707"/>
      <c r="I374" s="24">
        <f t="shared" si="68"/>
        <v>1</v>
      </c>
      <c r="J374" s="707"/>
      <c r="K374" s="24">
        <f t="shared" si="69"/>
        <v>1</v>
      </c>
      <c r="L374" s="707"/>
      <c r="M374" s="24">
        <f t="shared" si="70"/>
        <v>1</v>
      </c>
      <c r="N374" s="707"/>
      <c r="O374" s="24">
        <f t="shared" si="71"/>
        <v>1</v>
      </c>
      <c r="P374" s="707"/>
      <c r="Q374" s="24">
        <f t="shared" si="72"/>
        <v>1</v>
      </c>
      <c r="R374" s="703">
        <f t="shared" si="73"/>
        <v>0</v>
      </c>
      <c r="S374" s="348">
        <f t="shared" si="64"/>
        <v>0</v>
      </c>
    </row>
    <row r="375" spans="1:19">
      <c r="A375" s="146"/>
      <c r="B375" s="59"/>
      <c r="C375" s="24">
        <f t="shared" si="65"/>
        <v>1</v>
      </c>
      <c r="D375" s="707"/>
      <c r="E375" s="24">
        <f t="shared" si="66"/>
        <v>0.2</v>
      </c>
      <c r="F375" s="707"/>
      <c r="G375" s="24">
        <f t="shared" si="67"/>
        <v>1</v>
      </c>
      <c r="H375" s="707"/>
      <c r="I375" s="24">
        <f t="shared" si="68"/>
        <v>1</v>
      </c>
      <c r="J375" s="707"/>
      <c r="K375" s="24">
        <f t="shared" si="69"/>
        <v>1</v>
      </c>
      <c r="L375" s="707"/>
      <c r="M375" s="24">
        <f t="shared" si="70"/>
        <v>1</v>
      </c>
      <c r="N375" s="707"/>
      <c r="O375" s="24">
        <f t="shared" si="71"/>
        <v>1</v>
      </c>
      <c r="P375" s="707"/>
      <c r="Q375" s="24">
        <f t="shared" si="72"/>
        <v>1</v>
      </c>
      <c r="R375" s="703">
        <f t="shared" si="73"/>
        <v>0</v>
      </c>
      <c r="S375" s="348">
        <f t="shared" si="64"/>
        <v>0</v>
      </c>
    </row>
    <row r="376" spans="1:19">
      <c r="A376" s="146"/>
      <c r="B376" s="59"/>
      <c r="C376" s="24">
        <f t="shared" si="65"/>
        <v>1</v>
      </c>
      <c r="D376" s="707"/>
      <c r="E376" s="24">
        <f t="shared" si="66"/>
        <v>0.2</v>
      </c>
      <c r="F376" s="707"/>
      <c r="G376" s="24">
        <f t="shared" si="67"/>
        <v>1</v>
      </c>
      <c r="H376" s="707"/>
      <c r="I376" s="24">
        <f t="shared" si="68"/>
        <v>1</v>
      </c>
      <c r="J376" s="707"/>
      <c r="K376" s="24">
        <f t="shared" si="69"/>
        <v>1</v>
      </c>
      <c r="L376" s="707"/>
      <c r="M376" s="24">
        <f t="shared" si="70"/>
        <v>1</v>
      </c>
      <c r="N376" s="707"/>
      <c r="O376" s="24">
        <f t="shared" si="71"/>
        <v>1</v>
      </c>
      <c r="P376" s="707"/>
      <c r="Q376" s="24">
        <f t="shared" si="72"/>
        <v>1</v>
      </c>
      <c r="R376" s="703">
        <f t="shared" si="73"/>
        <v>0</v>
      </c>
      <c r="S376" s="348">
        <f t="shared" si="64"/>
        <v>0</v>
      </c>
    </row>
    <row r="377" spans="1:19">
      <c r="A377" s="146"/>
      <c r="B377" s="59"/>
      <c r="C377" s="24">
        <f t="shared" si="65"/>
        <v>1</v>
      </c>
      <c r="D377" s="707"/>
      <c r="E377" s="24">
        <f t="shared" si="66"/>
        <v>0.2</v>
      </c>
      <c r="F377" s="707"/>
      <c r="G377" s="24">
        <f t="shared" si="67"/>
        <v>1</v>
      </c>
      <c r="H377" s="707"/>
      <c r="I377" s="24">
        <f t="shared" si="68"/>
        <v>1</v>
      </c>
      <c r="J377" s="707"/>
      <c r="K377" s="24">
        <f t="shared" si="69"/>
        <v>1</v>
      </c>
      <c r="L377" s="707"/>
      <c r="M377" s="24">
        <f t="shared" si="70"/>
        <v>1</v>
      </c>
      <c r="N377" s="707"/>
      <c r="O377" s="24">
        <f t="shared" si="71"/>
        <v>1</v>
      </c>
      <c r="P377" s="707"/>
      <c r="Q377" s="24">
        <f t="shared" si="72"/>
        <v>1</v>
      </c>
      <c r="R377" s="703">
        <f t="shared" si="73"/>
        <v>0</v>
      </c>
      <c r="S377" s="348">
        <f t="shared" si="64"/>
        <v>0</v>
      </c>
    </row>
    <row r="378" spans="1:19">
      <c r="A378" s="146"/>
      <c r="B378" s="59"/>
      <c r="C378" s="24">
        <f t="shared" si="65"/>
        <v>1</v>
      </c>
      <c r="D378" s="707"/>
      <c r="E378" s="24">
        <f t="shared" si="66"/>
        <v>0.2</v>
      </c>
      <c r="F378" s="707"/>
      <c r="G378" s="24">
        <f t="shared" si="67"/>
        <v>1</v>
      </c>
      <c r="H378" s="707"/>
      <c r="I378" s="24">
        <f t="shared" si="68"/>
        <v>1</v>
      </c>
      <c r="J378" s="707"/>
      <c r="K378" s="24">
        <f t="shared" si="69"/>
        <v>1</v>
      </c>
      <c r="L378" s="707"/>
      <c r="M378" s="24">
        <f t="shared" si="70"/>
        <v>1</v>
      </c>
      <c r="N378" s="707"/>
      <c r="O378" s="24">
        <f t="shared" si="71"/>
        <v>1</v>
      </c>
      <c r="P378" s="707"/>
      <c r="Q378" s="24">
        <f t="shared" si="72"/>
        <v>1</v>
      </c>
      <c r="R378" s="703">
        <f t="shared" si="73"/>
        <v>0</v>
      </c>
      <c r="S378" s="348">
        <f t="shared" si="64"/>
        <v>0</v>
      </c>
    </row>
    <row r="379" spans="1:19">
      <c r="A379" s="146"/>
      <c r="B379" s="59"/>
      <c r="C379" s="24">
        <f t="shared" si="65"/>
        <v>1</v>
      </c>
      <c r="D379" s="707"/>
      <c r="E379" s="24">
        <f t="shared" si="66"/>
        <v>0.2</v>
      </c>
      <c r="F379" s="707"/>
      <c r="G379" s="24">
        <f t="shared" si="67"/>
        <v>1</v>
      </c>
      <c r="H379" s="707"/>
      <c r="I379" s="24">
        <f t="shared" si="68"/>
        <v>1</v>
      </c>
      <c r="J379" s="707"/>
      <c r="K379" s="24">
        <f t="shared" si="69"/>
        <v>1</v>
      </c>
      <c r="L379" s="707"/>
      <c r="M379" s="24">
        <f t="shared" si="70"/>
        <v>1</v>
      </c>
      <c r="N379" s="707"/>
      <c r="O379" s="24">
        <f t="shared" si="71"/>
        <v>1</v>
      </c>
      <c r="P379" s="707"/>
      <c r="Q379" s="24">
        <f t="shared" si="72"/>
        <v>1</v>
      </c>
      <c r="R379" s="703">
        <f t="shared" si="73"/>
        <v>0</v>
      </c>
      <c r="S379" s="348">
        <f t="shared" si="64"/>
        <v>0</v>
      </c>
    </row>
    <row r="380" spans="1:19">
      <c r="A380" s="146"/>
      <c r="B380" s="59"/>
      <c r="C380" s="24">
        <f t="shared" si="65"/>
        <v>1</v>
      </c>
      <c r="D380" s="707"/>
      <c r="E380" s="24">
        <f t="shared" si="66"/>
        <v>0.2</v>
      </c>
      <c r="F380" s="707"/>
      <c r="G380" s="24">
        <f t="shared" si="67"/>
        <v>1</v>
      </c>
      <c r="H380" s="707"/>
      <c r="I380" s="24">
        <f t="shared" si="68"/>
        <v>1</v>
      </c>
      <c r="J380" s="707"/>
      <c r="K380" s="24">
        <f t="shared" si="69"/>
        <v>1</v>
      </c>
      <c r="L380" s="707"/>
      <c r="M380" s="24">
        <f t="shared" si="70"/>
        <v>1</v>
      </c>
      <c r="N380" s="707"/>
      <c r="O380" s="24">
        <f t="shared" si="71"/>
        <v>1</v>
      </c>
      <c r="P380" s="707"/>
      <c r="Q380" s="24">
        <f t="shared" si="72"/>
        <v>1</v>
      </c>
      <c r="R380" s="703">
        <f t="shared" si="73"/>
        <v>0</v>
      </c>
      <c r="S380" s="348">
        <f t="shared" si="64"/>
        <v>0</v>
      </c>
    </row>
    <row r="381" spans="1:19">
      <c r="A381" s="146"/>
      <c r="B381" s="59"/>
      <c r="C381" s="24">
        <f t="shared" si="65"/>
        <v>1</v>
      </c>
      <c r="D381" s="707"/>
      <c r="E381" s="24">
        <f t="shared" si="66"/>
        <v>0.2</v>
      </c>
      <c r="F381" s="707"/>
      <c r="G381" s="24">
        <f t="shared" si="67"/>
        <v>1</v>
      </c>
      <c r="H381" s="707"/>
      <c r="I381" s="24">
        <f t="shared" si="68"/>
        <v>1</v>
      </c>
      <c r="J381" s="707"/>
      <c r="K381" s="24">
        <f t="shared" si="69"/>
        <v>1</v>
      </c>
      <c r="L381" s="707"/>
      <c r="M381" s="24">
        <f t="shared" si="70"/>
        <v>1</v>
      </c>
      <c r="N381" s="707"/>
      <c r="O381" s="24">
        <f t="shared" si="71"/>
        <v>1</v>
      </c>
      <c r="P381" s="707"/>
      <c r="Q381" s="24">
        <f t="shared" si="72"/>
        <v>1</v>
      </c>
      <c r="R381" s="703">
        <f t="shared" si="73"/>
        <v>0</v>
      </c>
      <c r="S381" s="348">
        <f t="shared" si="64"/>
        <v>0</v>
      </c>
    </row>
    <row r="382" spans="1:19">
      <c r="A382" s="146"/>
      <c r="B382" s="59"/>
      <c r="C382" s="24">
        <f t="shared" si="65"/>
        <v>1</v>
      </c>
      <c r="D382" s="707"/>
      <c r="E382" s="24">
        <f t="shared" si="66"/>
        <v>0.2</v>
      </c>
      <c r="F382" s="707"/>
      <c r="G382" s="24">
        <f t="shared" si="67"/>
        <v>1</v>
      </c>
      <c r="H382" s="707"/>
      <c r="I382" s="24">
        <f t="shared" si="68"/>
        <v>1</v>
      </c>
      <c r="J382" s="707"/>
      <c r="K382" s="24">
        <f t="shared" si="69"/>
        <v>1</v>
      </c>
      <c r="L382" s="707"/>
      <c r="M382" s="24">
        <f t="shared" si="70"/>
        <v>1</v>
      </c>
      <c r="N382" s="707"/>
      <c r="O382" s="24">
        <f t="shared" si="71"/>
        <v>1</v>
      </c>
      <c r="P382" s="707"/>
      <c r="Q382" s="24">
        <f t="shared" si="72"/>
        <v>1</v>
      </c>
      <c r="R382" s="703">
        <f t="shared" si="73"/>
        <v>0</v>
      </c>
      <c r="S382" s="348">
        <f t="shared" si="64"/>
        <v>0</v>
      </c>
    </row>
    <row r="383" spans="1:19">
      <c r="A383" s="146"/>
      <c r="B383" s="59"/>
      <c r="C383" s="24">
        <f t="shared" si="65"/>
        <v>1</v>
      </c>
      <c r="D383" s="707"/>
      <c r="E383" s="24">
        <f t="shared" si="66"/>
        <v>0.2</v>
      </c>
      <c r="F383" s="707"/>
      <c r="G383" s="24">
        <f t="shared" si="67"/>
        <v>1</v>
      </c>
      <c r="H383" s="707"/>
      <c r="I383" s="24">
        <f t="shared" si="68"/>
        <v>1</v>
      </c>
      <c r="J383" s="707"/>
      <c r="K383" s="24">
        <f t="shared" si="69"/>
        <v>1</v>
      </c>
      <c r="L383" s="707"/>
      <c r="M383" s="24">
        <f t="shared" si="70"/>
        <v>1</v>
      </c>
      <c r="N383" s="707"/>
      <c r="O383" s="24">
        <f t="shared" si="71"/>
        <v>1</v>
      </c>
      <c r="P383" s="707"/>
      <c r="Q383" s="24">
        <f t="shared" si="72"/>
        <v>1</v>
      </c>
      <c r="R383" s="703">
        <f t="shared" si="73"/>
        <v>0</v>
      </c>
      <c r="S383" s="348">
        <f t="shared" si="64"/>
        <v>0</v>
      </c>
    </row>
    <row r="384" spans="1:19">
      <c r="A384" s="146"/>
      <c r="B384" s="59"/>
      <c r="C384" s="24">
        <f t="shared" si="65"/>
        <v>1</v>
      </c>
      <c r="D384" s="707"/>
      <c r="E384" s="24">
        <f t="shared" si="66"/>
        <v>0.2</v>
      </c>
      <c r="F384" s="707"/>
      <c r="G384" s="24">
        <f t="shared" si="67"/>
        <v>1</v>
      </c>
      <c r="H384" s="707"/>
      <c r="I384" s="24">
        <f t="shared" si="68"/>
        <v>1</v>
      </c>
      <c r="J384" s="707"/>
      <c r="K384" s="24">
        <f t="shared" si="69"/>
        <v>1</v>
      </c>
      <c r="L384" s="707"/>
      <c r="M384" s="24">
        <f t="shared" si="70"/>
        <v>1</v>
      </c>
      <c r="N384" s="707"/>
      <c r="O384" s="24">
        <f t="shared" si="71"/>
        <v>1</v>
      </c>
      <c r="P384" s="707"/>
      <c r="Q384" s="24">
        <f t="shared" si="72"/>
        <v>1</v>
      </c>
      <c r="R384" s="703">
        <f t="shared" si="73"/>
        <v>0</v>
      </c>
      <c r="S384" s="348">
        <f t="shared" si="64"/>
        <v>0</v>
      </c>
    </row>
    <row r="385" spans="1:19">
      <c r="A385" s="146"/>
      <c r="B385" s="59"/>
      <c r="C385" s="24">
        <f t="shared" si="65"/>
        <v>1</v>
      </c>
      <c r="D385" s="707"/>
      <c r="E385" s="24">
        <f t="shared" si="66"/>
        <v>0.2</v>
      </c>
      <c r="F385" s="707"/>
      <c r="G385" s="24">
        <f t="shared" si="67"/>
        <v>1</v>
      </c>
      <c r="H385" s="707"/>
      <c r="I385" s="24">
        <f t="shared" si="68"/>
        <v>1</v>
      </c>
      <c r="J385" s="707"/>
      <c r="K385" s="24">
        <f t="shared" si="69"/>
        <v>1</v>
      </c>
      <c r="L385" s="707"/>
      <c r="M385" s="24">
        <f t="shared" si="70"/>
        <v>1</v>
      </c>
      <c r="N385" s="707"/>
      <c r="O385" s="24">
        <f t="shared" si="71"/>
        <v>1</v>
      </c>
      <c r="P385" s="707"/>
      <c r="Q385" s="24">
        <f t="shared" si="72"/>
        <v>1</v>
      </c>
      <c r="R385" s="703">
        <f t="shared" si="73"/>
        <v>0</v>
      </c>
      <c r="S385" s="348">
        <f t="shared" ref="S385:S422" si="74">ROUND(R385*B385/10000,0)</f>
        <v>0</v>
      </c>
    </row>
    <row r="386" spans="1:19">
      <c r="A386" s="146"/>
      <c r="B386" s="59"/>
      <c r="C386" s="24">
        <f t="shared" si="65"/>
        <v>1</v>
      </c>
      <c r="D386" s="707"/>
      <c r="E386" s="24">
        <f t="shared" si="66"/>
        <v>0.2</v>
      </c>
      <c r="F386" s="707"/>
      <c r="G386" s="24">
        <f t="shared" si="67"/>
        <v>1</v>
      </c>
      <c r="H386" s="707"/>
      <c r="I386" s="24">
        <f t="shared" si="68"/>
        <v>1</v>
      </c>
      <c r="J386" s="707"/>
      <c r="K386" s="24">
        <f t="shared" si="69"/>
        <v>1</v>
      </c>
      <c r="L386" s="707"/>
      <c r="M386" s="24">
        <f t="shared" si="70"/>
        <v>1</v>
      </c>
      <c r="N386" s="707"/>
      <c r="O386" s="24">
        <f t="shared" si="71"/>
        <v>1</v>
      </c>
      <c r="P386" s="707"/>
      <c r="Q386" s="24">
        <f t="shared" si="72"/>
        <v>1</v>
      </c>
      <c r="R386" s="703">
        <f t="shared" si="73"/>
        <v>0</v>
      </c>
      <c r="S386" s="348">
        <f t="shared" si="74"/>
        <v>0</v>
      </c>
    </row>
    <row r="387" spans="1:19">
      <c r="A387" s="146"/>
      <c r="B387" s="59"/>
      <c r="C387" s="24">
        <f t="shared" si="65"/>
        <v>1</v>
      </c>
      <c r="D387" s="707"/>
      <c r="E387" s="24">
        <f t="shared" si="66"/>
        <v>0.2</v>
      </c>
      <c r="F387" s="707"/>
      <c r="G387" s="24">
        <f t="shared" si="67"/>
        <v>1</v>
      </c>
      <c r="H387" s="707"/>
      <c r="I387" s="24">
        <f t="shared" si="68"/>
        <v>1</v>
      </c>
      <c r="J387" s="707"/>
      <c r="K387" s="24">
        <f t="shared" si="69"/>
        <v>1</v>
      </c>
      <c r="L387" s="707"/>
      <c r="M387" s="24">
        <f t="shared" si="70"/>
        <v>1</v>
      </c>
      <c r="N387" s="707"/>
      <c r="O387" s="24">
        <f t="shared" si="71"/>
        <v>1</v>
      </c>
      <c r="P387" s="707"/>
      <c r="Q387" s="24">
        <f t="shared" si="72"/>
        <v>1</v>
      </c>
      <c r="R387" s="703">
        <f t="shared" si="73"/>
        <v>0</v>
      </c>
      <c r="S387" s="348">
        <f t="shared" si="74"/>
        <v>0</v>
      </c>
    </row>
    <row r="388" spans="1:19">
      <c r="A388" s="146"/>
      <c r="B388" s="59"/>
      <c r="C388" s="24">
        <f t="shared" si="65"/>
        <v>1</v>
      </c>
      <c r="D388" s="707"/>
      <c r="E388" s="24">
        <f t="shared" si="66"/>
        <v>0.2</v>
      </c>
      <c r="F388" s="707"/>
      <c r="G388" s="24">
        <f t="shared" si="67"/>
        <v>1</v>
      </c>
      <c r="H388" s="707"/>
      <c r="I388" s="24">
        <f t="shared" si="68"/>
        <v>1</v>
      </c>
      <c r="J388" s="707"/>
      <c r="K388" s="24">
        <f t="shared" si="69"/>
        <v>1</v>
      </c>
      <c r="L388" s="707"/>
      <c r="M388" s="24">
        <f t="shared" si="70"/>
        <v>1</v>
      </c>
      <c r="N388" s="707"/>
      <c r="O388" s="24">
        <f t="shared" si="71"/>
        <v>1</v>
      </c>
      <c r="P388" s="707"/>
      <c r="Q388" s="24">
        <f t="shared" si="72"/>
        <v>1</v>
      </c>
      <c r="R388" s="703">
        <f t="shared" si="73"/>
        <v>0</v>
      </c>
      <c r="S388" s="348">
        <f t="shared" si="74"/>
        <v>0</v>
      </c>
    </row>
    <row r="389" spans="1:19">
      <c r="A389" s="146"/>
      <c r="B389" s="59"/>
      <c r="C389" s="24">
        <f t="shared" si="65"/>
        <v>1</v>
      </c>
      <c r="D389" s="707"/>
      <c r="E389" s="24">
        <f t="shared" si="66"/>
        <v>0.2</v>
      </c>
      <c r="F389" s="707"/>
      <c r="G389" s="24">
        <f t="shared" si="67"/>
        <v>1</v>
      </c>
      <c r="H389" s="707"/>
      <c r="I389" s="24">
        <f t="shared" si="68"/>
        <v>1</v>
      </c>
      <c r="J389" s="707"/>
      <c r="K389" s="24">
        <f t="shared" si="69"/>
        <v>1</v>
      </c>
      <c r="L389" s="707"/>
      <c r="M389" s="24">
        <f t="shared" si="70"/>
        <v>1</v>
      </c>
      <c r="N389" s="707"/>
      <c r="O389" s="24">
        <f t="shared" si="71"/>
        <v>1</v>
      </c>
      <c r="P389" s="707"/>
      <c r="Q389" s="24">
        <f t="shared" si="72"/>
        <v>1</v>
      </c>
      <c r="R389" s="703">
        <f t="shared" si="73"/>
        <v>0</v>
      </c>
      <c r="S389" s="348">
        <f t="shared" si="74"/>
        <v>0</v>
      </c>
    </row>
    <row r="390" spans="1:19">
      <c r="A390" s="146"/>
      <c r="B390" s="59"/>
      <c r="C390" s="24">
        <f t="shared" si="65"/>
        <v>1</v>
      </c>
      <c r="D390" s="707"/>
      <c r="E390" s="24">
        <f t="shared" si="66"/>
        <v>0.2</v>
      </c>
      <c r="F390" s="707"/>
      <c r="G390" s="24">
        <f t="shared" si="67"/>
        <v>1</v>
      </c>
      <c r="H390" s="707"/>
      <c r="I390" s="24">
        <f t="shared" si="68"/>
        <v>1</v>
      </c>
      <c r="J390" s="707"/>
      <c r="K390" s="24">
        <f t="shared" si="69"/>
        <v>1</v>
      </c>
      <c r="L390" s="707"/>
      <c r="M390" s="24">
        <f t="shared" si="70"/>
        <v>1</v>
      </c>
      <c r="N390" s="707"/>
      <c r="O390" s="24">
        <f t="shared" si="71"/>
        <v>1</v>
      </c>
      <c r="P390" s="707"/>
      <c r="Q390" s="24">
        <f t="shared" si="72"/>
        <v>1</v>
      </c>
      <c r="R390" s="703">
        <f t="shared" si="73"/>
        <v>0</v>
      </c>
      <c r="S390" s="348">
        <f t="shared" si="74"/>
        <v>0</v>
      </c>
    </row>
    <row r="391" spans="1:19">
      <c r="A391" s="146"/>
      <c r="B391" s="59"/>
      <c r="C391" s="24">
        <f t="shared" si="65"/>
        <v>1</v>
      </c>
      <c r="D391" s="707"/>
      <c r="E391" s="24">
        <f t="shared" si="66"/>
        <v>0.2</v>
      </c>
      <c r="F391" s="707"/>
      <c r="G391" s="24">
        <f t="shared" si="67"/>
        <v>1</v>
      </c>
      <c r="H391" s="707"/>
      <c r="I391" s="24">
        <f t="shared" si="68"/>
        <v>1</v>
      </c>
      <c r="J391" s="707"/>
      <c r="K391" s="24">
        <f t="shared" si="69"/>
        <v>1</v>
      </c>
      <c r="L391" s="707"/>
      <c r="M391" s="24">
        <f t="shared" si="70"/>
        <v>1</v>
      </c>
      <c r="N391" s="707"/>
      <c r="O391" s="24">
        <f t="shared" si="71"/>
        <v>1</v>
      </c>
      <c r="P391" s="707"/>
      <c r="Q391" s="24">
        <f t="shared" si="72"/>
        <v>1</v>
      </c>
      <c r="R391" s="703">
        <f t="shared" si="73"/>
        <v>0</v>
      </c>
      <c r="S391" s="348">
        <f t="shared" si="74"/>
        <v>0</v>
      </c>
    </row>
    <row r="392" spans="1:19">
      <c r="A392" s="146"/>
      <c r="B392" s="59"/>
      <c r="C392" s="24">
        <f t="shared" si="65"/>
        <v>1</v>
      </c>
      <c r="D392" s="707"/>
      <c r="E392" s="24">
        <f t="shared" si="66"/>
        <v>0.2</v>
      </c>
      <c r="F392" s="707"/>
      <c r="G392" s="24">
        <f t="shared" si="67"/>
        <v>1</v>
      </c>
      <c r="H392" s="707"/>
      <c r="I392" s="24">
        <f t="shared" si="68"/>
        <v>1</v>
      </c>
      <c r="J392" s="707"/>
      <c r="K392" s="24">
        <f t="shared" si="69"/>
        <v>1</v>
      </c>
      <c r="L392" s="707"/>
      <c r="M392" s="24">
        <f t="shared" si="70"/>
        <v>1</v>
      </c>
      <c r="N392" s="707"/>
      <c r="O392" s="24">
        <f t="shared" si="71"/>
        <v>1</v>
      </c>
      <c r="P392" s="707"/>
      <c r="Q392" s="24">
        <f t="shared" si="72"/>
        <v>1</v>
      </c>
      <c r="R392" s="703">
        <f t="shared" si="73"/>
        <v>0</v>
      </c>
      <c r="S392" s="348">
        <f t="shared" si="74"/>
        <v>0</v>
      </c>
    </row>
    <row r="393" spans="1:19">
      <c r="A393" s="146"/>
      <c r="B393" s="59"/>
      <c r="C393" s="24">
        <f t="shared" si="65"/>
        <v>1</v>
      </c>
      <c r="D393" s="707"/>
      <c r="E393" s="24">
        <f t="shared" si="66"/>
        <v>0.2</v>
      </c>
      <c r="F393" s="707"/>
      <c r="G393" s="24">
        <f t="shared" si="67"/>
        <v>1</v>
      </c>
      <c r="H393" s="707"/>
      <c r="I393" s="24">
        <f t="shared" si="68"/>
        <v>1</v>
      </c>
      <c r="J393" s="707"/>
      <c r="K393" s="24">
        <f t="shared" si="69"/>
        <v>1</v>
      </c>
      <c r="L393" s="707"/>
      <c r="M393" s="24">
        <f t="shared" si="70"/>
        <v>1</v>
      </c>
      <c r="N393" s="707"/>
      <c r="O393" s="24">
        <f t="shared" si="71"/>
        <v>1</v>
      </c>
      <c r="P393" s="707"/>
      <c r="Q393" s="24">
        <f t="shared" si="72"/>
        <v>1</v>
      </c>
      <c r="R393" s="703">
        <f t="shared" si="73"/>
        <v>0</v>
      </c>
      <c r="S393" s="348">
        <f t="shared" si="74"/>
        <v>0</v>
      </c>
    </row>
    <row r="394" spans="1:19">
      <c r="A394" s="146"/>
      <c r="B394" s="59"/>
      <c r="C394" s="24">
        <f t="shared" si="65"/>
        <v>1</v>
      </c>
      <c r="D394" s="707"/>
      <c r="E394" s="24">
        <f t="shared" si="66"/>
        <v>0.2</v>
      </c>
      <c r="F394" s="707"/>
      <c r="G394" s="24">
        <f t="shared" si="67"/>
        <v>1</v>
      </c>
      <c r="H394" s="707"/>
      <c r="I394" s="24">
        <f t="shared" si="68"/>
        <v>1</v>
      </c>
      <c r="J394" s="707"/>
      <c r="K394" s="24">
        <f t="shared" si="69"/>
        <v>1</v>
      </c>
      <c r="L394" s="707"/>
      <c r="M394" s="24">
        <f t="shared" si="70"/>
        <v>1</v>
      </c>
      <c r="N394" s="707"/>
      <c r="O394" s="24">
        <f t="shared" si="71"/>
        <v>1</v>
      </c>
      <c r="P394" s="707"/>
      <c r="Q394" s="24">
        <f t="shared" si="72"/>
        <v>1</v>
      </c>
      <c r="R394" s="703">
        <f t="shared" si="73"/>
        <v>0</v>
      </c>
      <c r="S394" s="348">
        <f t="shared" si="74"/>
        <v>0</v>
      </c>
    </row>
    <row r="395" spans="1:19">
      <c r="A395" s="146"/>
      <c r="B395" s="59"/>
      <c r="C395" s="24">
        <f t="shared" si="65"/>
        <v>1</v>
      </c>
      <c r="D395" s="707"/>
      <c r="E395" s="24">
        <f t="shared" si="66"/>
        <v>0.2</v>
      </c>
      <c r="F395" s="707"/>
      <c r="G395" s="24">
        <f t="shared" si="67"/>
        <v>1</v>
      </c>
      <c r="H395" s="707"/>
      <c r="I395" s="24">
        <f t="shared" si="68"/>
        <v>1</v>
      </c>
      <c r="J395" s="707"/>
      <c r="K395" s="24">
        <f t="shared" si="69"/>
        <v>1</v>
      </c>
      <c r="L395" s="707"/>
      <c r="M395" s="24">
        <f t="shared" si="70"/>
        <v>1</v>
      </c>
      <c r="N395" s="707"/>
      <c r="O395" s="24">
        <f t="shared" si="71"/>
        <v>1</v>
      </c>
      <c r="P395" s="707"/>
      <c r="Q395" s="24">
        <f t="shared" si="72"/>
        <v>1</v>
      </c>
      <c r="R395" s="703">
        <f t="shared" si="73"/>
        <v>0</v>
      </c>
      <c r="S395" s="348">
        <f t="shared" si="74"/>
        <v>0</v>
      </c>
    </row>
    <row r="396" spans="1:19">
      <c r="A396" s="146"/>
      <c r="B396" s="59"/>
      <c r="C396" s="24">
        <f t="shared" si="65"/>
        <v>1</v>
      </c>
      <c r="D396" s="707"/>
      <c r="E396" s="24">
        <f t="shared" si="66"/>
        <v>0.2</v>
      </c>
      <c r="F396" s="707"/>
      <c r="G396" s="24">
        <f t="shared" si="67"/>
        <v>1</v>
      </c>
      <c r="H396" s="707"/>
      <c r="I396" s="24">
        <f t="shared" si="68"/>
        <v>1</v>
      </c>
      <c r="J396" s="707"/>
      <c r="K396" s="24">
        <f t="shared" si="69"/>
        <v>1</v>
      </c>
      <c r="L396" s="707"/>
      <c r="M396" s="24">
        <f t="shared" si="70"/>
        <v>1</v>
      </c>
      <c r="N396" s="707"/>
      <c r="O396" s="24">
        <f t="shared" si="71"/>
        <v>1</v>
      </c>
      <c r="P396" s="707"/>
      <c r="Q396" s="24">
        <f t="shared" si="72"/>
        <v>1</v>
      </c>
      <c r="R396" s="703">
        <f t="shared" si="73"/>
        <v>0</v>
      </c>
      <c r="S396" s="348">
        <f t="shared" si="74"/>
        <v>0</v>
      </c>
    </row>
    <row r="397" spans="1:19">
      <c r="A397" s="146"/>
      <c r="B397" s="59"/>
      <c r="C397" s="24">
        <f t="shared" si="65"/>
        <v>1</v>
      </c>
      <c r="D397" s="707"/>
      <c r="E397" s="24">
        <f t="shared" si="66"/>
        <v>0.2</v>
      </c>
      <c r="F397" s="707"/>
      <c r="G397" s="24">
        <f t="shared" si="67"/>
        <v>1</v>
      </c>
      <c r="H397" s="707"/>
      <c r="I397" s="24">
        <f t="shared" si="68"/>
        <v>1</v>
      </c>
      <c r="J397" s="707"/>
      <c r="K397" s="24">
        <f t="shared" si="69"/>
        <v>1</v>
      </c>
      <c r="L397" s="707"/>
      <c r="M397" s="24">
        <f t="shared" si="70"/>
        <v>1</v>
      </c>
      <c r="N397" s="707"/>
      <c r="O397" s="24">
        <f t="shared" si="71"/>
        <v>1</v>
      </c>
      <c r="P397" s="707"/>
      <c r="Q397" s="24">
        <f t="shared" si="72"/>
        <v>1</v>
      </c>
      <c r="R397" s="703">
        <f t="shared" si="73"/>
        <v>0</v>
      </c>
      <c r="S397" s="348">
        <f t="shared" si="74"/>
        <v>0</v>
      </c>
    </row>
    <row r="398" spans="1:19">
      <c r="A398" s="146"/>
      <c r="B398" s="59"/>
      <c r="C398" s="24">
        <f t="shared" si="65"/>
        <v>1</v>
      </c>
      <c r="D398" s="707"/>
      <c r="E398" s="24">
        <f t="shared" si="66"/>
        <v>0.2</v>
      </c>
      <c r="F398" s="707"/>
      <c r="G398" s="24">
        <f t="shared" si="67"/>
        <v>1</v>
      </c>
      <c r="H398" s="707"/>
      <c r="I398" s="24">
        <f t="shared" si="68"/>
        <v>1</v>
      </c>
      <c r="J398" s="707"/>
      <c r="K398" s="24">
        <f t="shared" si="69"/>
        <v>1</v>
      </c>
      <c r="L398" s="707"/>
      <c r="M398" s="24">
        <f t="shared" si="70"/>
        <v>1</v>
      </c>
      <c r="N398" s="707"/>
      <c r="O398" s="24">
        <f t="shared" si="71"/>
        <v>1</v>
      </c>
      <c r="P398" s="707"/>
      <c r="Q398" s="24">
        <f t="shared" si="72"/>
        <v>1</v>
      </c>
      <c r="R398" s="703">
        <f t="shared" si="73"/>
        <v>0</v>
      </c>
      <c r="S398" s="348">
        <f t="shared" si="74"/>
        <v>0</v>
      </c>
    </row>
    <row r="399" spans="1:19">
      <c r="A399" s="146"/>
      <c r="B399" s="59"/>
      <c r="C399" s="24">
        <f t="shared" si="65"/>
        <v>1</v>
      </c>
      <c r="D399" s="707"/>
      <c r="E399" s="24">
        <f t="shared" si="66"/>
        <v>0.2</v>
      </c>
      <c r="F399" s="707"/>
      <c r="G399" s="24">
        <f t="shared" si="67"/>
        <v>1</v>
      </c>
      <c r="H399" s="707"/>
      <c r="I399" s="24">
        <f t="shared" si="68"/>
        <v>1</v>
      </c>
      <c r="J399" s="707"/>
      <c r="K399" s="24">
        <f t="shared" si="69"/>
        <v>1</v>
      </c>
      <c r="L399" s="707"/>
      <c r="M399" s="24">
        <f t="shared" si="70"/>
        <v>1</v>
      </c>
      <c r="N399" s="707"/>
      <c r="O399" s="24">
        <f t="shared" si="71"/>
        <v>1</v>
      </c>
      <c r="P399" s="707"/>
      <c r="Q399" s="24">
        <f t="shared" si="72"/>
        <v>1</v>
      </c>
      <c r="R399" s="703">
        <f t="shared" si="73"/>
        <v>0</v>
      </c>
      <c r="S399" s="348">
        <f t="shared" si="74"/>
        <v>0</v>
      </c>
    </row>
    <row r="400" spans="1:19">
      <c r="A400" s="146"/>
      <c r="B400" s="59"/>
      <c r="C400" s="24">
        <f t="shared" si="65"/>
        <v>1</v>
      </c>
      <c r="D400" s="707"/>
      <c r="E400" s="24">
        <f t="shared" si="66"/>
        <v>0.2</v>
      </c>
      <c r="F400" s="707"/>
      <c r="G400" s="24">
        <f t="shared" si="67"/>
        <v>1</v>
      </c>
      <c r="H400" s="707"/>
      <c r="I400" s="24">
        <f t="shared" si="68"/>
        <v>1</v>
      </c>
      <c r="J400" s="707"/>
      <c r="K400" s="24">
        <f t="shared" si="69"/>
        <v>1</v>
      </c>
      <c r="L400" s="707"/>
      <c r="M400" s="24">
        <f t="shared" si="70"/>
        <v>1</v>
      </c>
      <c r="N400" s="707"/>
      <c r="O400" s="24">
        <f t="shared" si="71"/>
        <v>1</v>
      </c>
      <c r="P400" s="707"/>
      <c r="Q400" s="24">
        <f t="shared" si="72"/>
        <v>1</v>
      </c>
      <c r="R400" s="703">
        <f t="shared" si="73"/>
        <v>0</v>
      </c>
      <c r="S400" s="348">
        <f t="shared" si="74"/>
        <v>0</v>
      </c>
    </row>
    <row r="401" spans="1:19">
      <c r="A401" s="146"/>
      <c r="B401" s="59"/>
      <c r="C401" s="24">
        <f t="shared" si="65"/>
        <v>1</v>
      </c>
      <c r="D401" s="707"/>
      <c r="E401" s="24">
        <f t="shared" si="66"/>
        <v>0.2</v>
      </c>
      <c r="F401" s="707"/>
      <c r="G401" s="24">
        <f t="shared" si="67"/>
        <v>1</v>
      </c>
      <c r="H401" s="707"/>
      <c r="I401" s="24">
        <f t="shared" si="68"/>
        <v>1</v>
      </c>
      <c r="J401" s="707"/>
      <c r="K401" s="24">
        <f t="shared" si="69"/>
        <v>1</v>
      </c>
      <c r="L401" s="707"/>
      <c r="M401" s="24">
        <f t="shared" si="70"/>
        <v>1</v>
      </c>
      <c r="N401" s="707"/>
      <c r="O401" s="24">
        <f t="shared" si="71"/>
        <v>1</v>
      </c>
      <c r="P401" s="707"/>
      <c r="Q401" s="24">
        <f t="shared" si="72"/>
        <v>1</v>
      </c>
      <c r="R401" s="703">
        <f t="shared" si="73"/>
        <v>0</v>
      </c>
      <c r="S401" s="348">
        <f t="shared" si="74"/>
        <v>0</v>
      </c>
    </row>
    <row r="402" spans="1:19">
      <c r="A402" s="146"/>
      <c r="B402" s="59"/>
      <c r="C402" s="24">
        <f t="shared" si="65"/>
        <v>1</v>
      </c>
      <c r="D402" s="707"/>
      <c r="E402" s="24">
        <f t="shared" si="66"/>
        <v>0.2</v>
      </c>
      <c r="F402" s="707"/>
      <c r="G402" s="24">
        <f t="shared" si="67"/>
        <v>1</v>
      </c>
      <c r="H402" s="707"/>
      <c r="I402" s="24">
        <f t="shared" si="68"/>
        <v>1</v>
      </c>
      <c r="J402" s="707"/>
      <c r="K402" s="24">
        <f t="shared" si="69"/>
        <v>1</v>
      </c>
      <c r="L402" s="707"/>
      <c r="M402" s="24">
        <f t="shared" si="70"/>
        <v>1</v>
      </c>
      <c r="N402" s="707"/>
      <c r="O402" s="24">
        <f t="shared" si="71"/>
        <v>1</v>
      </c>
      <c r="P402" s="707"/>
      <c r="Q402" s="24">
        <f t="shared" si="72"/>
        <v>1</v>
      </c>
      <c r="R402" s="703">
        <f t="shared" si="73"/>
        <v>0</v>
      </c>
      <c r="S402" s="348">
        <f t="shared" si="74"/>
        <v>0</v>
      </c>
    </row>
    <row r="403" spans="1:19">
      <c r="A403" s="146"/>
      <c r="B403" s="59"/>
      <c r="C403" s="24">
        <f t="shared" si="65"/>
        <v>1</v>
      </c>
      <c r="D403" s="707"/>
      <c r="E403" s="24">
        <f t="shared" si="66"/>
        <v>0.2</v>
      </c>
      <c r="F403" s="707"/>
      <c r="G403" s="24">
        <f t="shared" si="67"/>
        <v>1</v>
      </c>
      <c r="H403" s="707"/>
      <c r="I403" s="24">
        <f t="shared" si="68"/>
        <v>1</v>
      </c>
      <c r="J403" s="707"/>
      <c r="K403" s="24">
        <f t="shared" si="69"/>
        <v>1</v>
      </c>
      <c r="L403" s="707"/>
      <c r="M403" s="24">
        <f t="shared" si="70"/>
        <v>1</v>
      </c>
      <c r="N403" s="707"/>
      <c r="O403" s="24">
        <f t="shared" si="71"/>
        <v>1</v>
      </c>
      <c r="P403" s="707"/>
      <c r="Q403" s="24">
        <f t="shared" si="72"/>
        <v>1</v>
      </c>
      <c r="R403" s="703">
        <f t="shared" si="73"/>
        <v>0</v>
      </c>
      <c r="S403" s="348">
        <f t="shared" si="74"/>
        <v>0</v>
      </c>
    </row>
    <row r="404" spans="1:19">
      <c r="A404" s="146"/>
      <c r="B404" s="59"/>
      <c r="C404" s="24">
        <f t="shared" si="65"/>
        <v>1</v>
      </c>
      <c r="D404" s="707"/>
      <c r="E404" s="24">
        <f t="shared" si="66"/>
        <v>0.2</v>
      </c>
      <c r="F404" s="707"/>
      <c r="G404" s="24">
        <f t="shared" si="67"/>
        <v>1</v>
      </c>
      <c r="H404" s="707"/>
      <c r="I404" s="24">
        <f t="shared" si="68"/>
        <v>1</v>
      </c>
      <c r="J404" s="707"/>
      <c r="K404" s="24">
        <f t="shared" si="69"/>
        <v>1</v>
      </c>
      <c r="L404" s="707"/>
      <c r="M404" s="24">
        <f t="shared" si="70"/>
        <v>1</v>
      </c>
      <c r="N404" s="707"/>
      <c r="O404" s="24">
        <f t="shared" si="71"/>
        <v>1</v>
      </c>
      <c r="P404" s="707"/>
      <c r="Q404" s="24">
        <f t="shared" si="72"/>
        <v>1</v>
      </c>
      <c r="R404" s="703">
        <f t="shared" si="73"/>
        <v>0</v>
      </c>
      <c r="S404" s="348">
        <f t="shared" si="74"/>
        <v>0</v>
      </c>
    </row>
    <row r="405" spans="1:19">
      <c r="A405" s="146"/>
      <c r="B405" s="59"/>
      <c r="C405" s="24">
        <f t="shared" si="65"/>
        <v>1</v>
      </c>
      <c r="D405" s="707"/>
      <c r="E405" s="24">
        <f t="shared" si="66"/>
        <v>0.2</v>
      </c>
      <c r="F405" s="707"/>
      <c r="G405" s="24">
        <f t="shared" si="67"/>
        <v>1</v>
      </c>
      <c r="H405" s="707"/>
      <c r="I405" s="24">
        <f t="shared" si="68"/>
        <v>1</v>
      </c>
      <c r="J405" s="707"/>
      <c r="K405" s="24">
        <f t="shared" si="69"/>
        <v>1</v>
      </c>
      <c r="L405" s="707"/>
      <c r="M405" s="24">
        <f t="shared" si="70"/>
        <v>1</v>
      </c>
      <c r="N405" s="707"/>
      <c r="O405" s="24">
        <f t="shared" si="71"/>
        <v>1</v>
      </c>
      <c r="P405" s="707"/>
      <c r="Q405" s="24">
        <f t="shared" si="72"/>
        <v>1</v>
      </c>
      <c r="R405" s="703">
        <f t="shared" si="73"/>
        <v>0</v>
      </c>
      <c r="S405" s="348">
        <f t="shared" si="74"/>
        <v>0</v>
      </c>
    </row>
    <row r="406" spans="1:19">
      <c r="A406" s="146"/>
      <c r="B406" s="59"/>
      <c r="C406" s="24">
        <f t="shared" si="65"/>
        <v>1</v>
      </c>
      <c r="D406" s="707"/>
      <c r="E406" s="24">
        <f t="shared" si="66"/>
        <v>0.2</v>
      </c>
      <c r="F406" s="707"/>
      <c r="G406" s="24">
        <f t="shared" si="67"/>
        <v>1</v>
      </c>
      <c r="H406" s="707"/>
      <c r="I406" s="24">
        <f t="shared" si="68"/>
        <v>1</v>
      </c>
      <c r="J406" s="707"/>
      <c r="K406" s="24">
        <f t="shared" si="69"/>
        <v>1</v>
      </c>
      <c r="L406" s="707"/>
      <c r="M406" s="24">
        <f t="shared" si="70"/>
        <v>1</v>
      </c>
      <c r="N406" s="707"/>
      <c r="O406" s="24">
        <f t="shared" si="71"/>
        <v>1</v>
      </c>
      <c r="P406" s="707"/>
      <c r="Q406" s="24">
        <f t="shared" si="72"/>
        <v>1</v>
      </c>
      <c r="R406" s="703">
        <f t="shared" si="73"/>
        <v>0</v>
      </c>
      <c r="S406" s="348">
        <f t="shared" si="74"/>
        <v>0</v>
      </c>
    </row>
    <row r="407" spans="1:19">
      <c r="A407" s="146"/>
      <c r="B407" s="59"/>
      <c r="C407" s="24">
        <f t="shared" si="65"/>
        <v>1</v>
      </c>
      <c r="D407" s="707"/>
      <c r="E407" s="24">
        <f t="shared" si="66"/>
        <v>0.2</v>
      </c>
      <c r="F407" s="707"/>
      <c r="G407" s="24">
        <f t="shared" si="67"/>
        <v>1</v>
      </c>
      <c r="H407" s="707"/>
      <c r="I407" s="24">
        <f t="shared" si="68"/>
        <v>1</v>
      </c>
      <c r="J407" s="707"/>
      <c r="K407" s="24">
        <f t="shared" si="69"/>
        <v>1</v>
      </c>
      <c r="L407" s="707"/>
      <c r="M407" s="24">
        <f t="shared" si="70"/>
        <v>1</v>
      </c>
      <c r="N407" s="707"/>
      <c r="O407" s="24">
        <f t="shared" si="71"/>
        <v>1</v>
      </c>
      <c r="P407" s="707"/>
      <c r="Q407" s="24">
        <f t="shared" si="72"/>
        <v>1</v>
      </c>
      <c r="R407" s="703">
        <f t="shared" si="73"/>
        <v>0</v>
      </c>
      <c r="S407" s="348">
        <f t="shared" si="74"/>
        <v>0</v>
      </c>
    </row>
    <row r="408" spans="1:19">
      <c r="A408" s="146"/>
      <c r="B408" s="59"/>
      <c r="C408" s="24">
        <f t="shared" si="65"/>
        <v>1</v>
      </c>
      <c r="D408" s="707"/>
      <c r="E408" s="24">
        <f t="shared" si="66"/>
        <v>0.2</v>
      </c>
      <c r="F408" s="707"/>
      <c r="G408" s="24">
        <f t="shared" si="67"/>
        <v>1</v>
      </c>
      <c r="H408" s="707"/>
      <c r="I408" s="24">
        <f t="shared" si="68"/>
        <v>1</v>
      </c>
      <c r="J408" s="707"/>
      <c r="K408" s="24">
        <f t="shared" si="69"/>
        <v>1</v>
      </c>
      <c r="L408" s="707"/>
      <c r="M408" s="24">
        <f t="shared" si="70"/>
        <v>1</v>
      </c>
      <c r="N408" s="707"/>
      <c r="O408" s="24">
        <f t="shared" si="71"/>
        <v>1</v>
      </c>
      <c r="P408" s="707"/>
      <c r="Q408" s="24">
        <f t="shared" si="72"/>
        <v>1</v>
      </c>
      <c r="R408" s="703">
        <f t="shared" si="73"/>
        <v>0</v>
      </c>
      <c r="S408" s="348">
        <f t="shared" si="74"/>
        <v>0</v>
      </c>
    </row>
    <row r="409" spans="1:19">
      <c r="A409" s="146"/>
      <c r="B409" s="59"/>
      <c r="C409" s="24">
        <f t="shared" si="65"/>
        <v>1</v>
      </c>
      <c r="D409" s="707"/>
      <c r="E409" s="24">
        <f t="shared" si="66"/>
        <v>0.2</v>
      </c>
      <c r="F409" s="707"/>
      <c r="G409" s="24">
        <f t="shared" si="67"/>
        <v>1</v>
      </c>
      <c r="H409" s="707"/>
      <c r="I409" s="24">
        <f t="shared" si="68"/>
        <v>1</v>
      </c>
      <c r="J409" s="707"/>
      <c r="K409" s="24">
        <f t="shared" si="69"/>
        <v>1</v>
      </c>
      <c r="L409" s="707"/>
      <c r="M409" s="24">
        <f t="shared" si="70"/>
        <v>1</v>
      </c>
      <c r="N409" s="707"/>
      <c r="O409" s="24">
        <f t="shared" si="71"/>
        <v>1</v>
      </c>
      <c r="P409" s="707"/>
      <c r="Q409" s="24">
        <f t="shared" si="72"/>
        <v>1</v>
      </c>
      <c r="R409" s="703">
        <f t="shared" si="73"/>
        <v>0</v>
      </c>
      <c r="S409" s="348">
        <f t="shared" si="74"/>
        <v>0</v>
      </c>
    </row>
    <row r="410" spans="1:19">
      <c r="A410" s="146"/>
      <c r="B410" s="59"/>
      <c r="C410" s="24">
        <f t="shared" ref="C410:C473" si="75">IF(B410="",1,(LOOKUP(B410,$3:$3,$4:$4)-LOOKUP($B$24,$3:$3,$4:$4)+100)/100)</f>
        <v>1</v>
      </c>
      <c r="D410" s="707"/>
      <c r="E410" s="24">
        <f t="shared" ref="E410:E473" si="76">(SUMIF($5:$5,D410,$6:$6)-SUMIF($5:$5,$D$24,$6:$6)+100)/100</f>
        <v>0.2</v>
      </c>
      <c r="F410" s="707"/>
      <c r="G410" s="24">
        <f t="shared" ref="G410:G473" si="77">(SUMIF($7:$7,F410,$8:$8)-SUMIF($7:$7,$F$24,$8:$8)+100)/100</f>
        <v>1</v>
      </c>
      <c r="H410" s="707"/>
      <c r="I410" s="24">
        <f t="shared" ref="I410:I473" si="78">(SUMIF($9:$9,H410,$10:$10)-SUMIF($9:$9,$H$24,$10:$10)+100)/100</f>
        <v>1</v>
      </c>
      <c r="J410" s="707"/>
      <c r="K410" s="24">
        <f t="shared" ref="K410:K473" si="79">(SUMIF($11:$11,J410,$12:$12)-SUMIF($11:$11,$J$24,$12:$12)+100)/100</f>
        <v>1</v>
      </c>
      <c r="L410" s="707"/>
      <c r="M410" s="24">
        <f t="shared" ref="M410:M473" si="80">(SUMIF($13:$13,L410,$14:$14)-SUMIF($13:$13,$L$24,$14:$14)+100)/100</f>
        <v>1</v>
      </c>
      <c r="N410" s="707"/>
      <c r="O410" s="24">
        <f t="shared" ref="O410:O473" si="81">(SUMIF($15:$15,N410,$16:$16)-SUMIF($15:$15,$N$24,$16:$16)+100)/100</f>
        <v>1</v>
      </c>
      <c r="P410" s="707"/>
      <c r="Q410" s="24">
        <f t="shared" ref="Q410:Q473" si="82">(SUMIF($17:$17,P410,$18:$18)-SUMIF($17:$17,$P$24,$18:$18)+100)/100</f>
        <v>1</v>
      </c>
      <c r="R410" s="703">
        <f t="shared" ref="R410:R473" si="83">IF(B410="",0,ROUND($R$24*C410*E410*G410*I410*K410*M410*O410*Q410,0))</f>
        <v>0</v>
      </c>
      <c r="S410" s="348">
        <f t="shared" si="74"/>
        <v>0</v>
      </c>
    </row>
    <row r="411" spans="1:19">
      <c r="A411" s="146"/>
      <c r="B411" s="59"/>
      <c r="C411" s="24">
        <f t="shared" si="75"/>
        <v>1</v>
      </c>
      <c r="D411" s="707"/>
      <c r="E411" s="24">
        <f t="shared" si="76"/>
        <v>0.2</v>
      </c>
      <c r="F411" s="707"/>
      <c r="G411" s="24">
        <f t="shared" si="77"/>
        <v>1</v>
      </c>
      <c r="H411" s="707"/>
      <c r="I411" s="24">
        <f t="shared" si="78"/>
        <v>1</v>
      </c>
      <c r="J411" s="707"/>
      <c r="K411" s="24">
        <f t="shared" si="79"/>
        <v>1</v>
      </c>
      <c r="L411" s="707"/>
      <c r="M411" s="24">
        <f t="shared" si="80"/>
        <v>1</v>
      </c>
      <c r="N411" s="707"/>
      <c r="O411" s="24">
        <f t="shared" si="81"/>
        <v>1</v>
      </c>
      <c r="P411" s="707"/>
      <c r="Q411" s="24">
        <f t="shared" si="82"/>
        <v>1</v>
      </c>
      <c r="R411" s="703">
        <f t="shared" si="83"/>
        <v>0</v>
      </c>
      <c r="S411" s="348">
        <f t="shared" si="74"/>
        <v>0</v>
      </c>
    </row>
    <row r="412" spans="1:19">
      <c r="A412" s="146"/>
      <c r="B412" s="59"/>
      <c r="C412" s="24">
        <f t="shared" si="75"/>
        <v>1</v>
      </c>
      <c r="D412" s="707"/>
      <c r="E412" s="24">
        <f t="shared" si="76"/>
        <v>0.2</v>
      </c>
      <c r="F412" s="707"/>
      <c r="G412" s="24">
        <f t="shared" si="77"/>
        <v>1</v>
      </c>
      <c r="H412" s="707"/>
      <c r="I412" s="24">
        <f t="shared" si="78"/>
        <v>1</v>
      </c>
      <c r="J412" s="707"/>
      <c r="K412" s="24">
        <f t="shared" si="79"/>
        <v>1</v>
      </c>
      <c r="L412" s="707"/>
      <c r="M412" s="24">
        <f t="shared" si="80"/>
        <v>1</v>
      </c>
      <c r="N412" s="707"/>
      <c r="O412" s="24">
        <f t="shared" si="81"/>
        <v>1</v>
      </c>
      <c r="P412" s="707"/>
      <c r="Q412" s="24">
        <f t="shared" si="82"/>
        <v>1</v>
      </c>
      <c r="R412" s="703">
        <f t="shared" si="83"/>
        <v>0</v>
      </c>
      <c r="S412" s="348">
        <f t="shared" si="74"/>
        <v>0</v>
      </c>
    </row>
    <row r="413" spans="1:19">
      <c r="A413" s="146"/>
      <c r="B413" s="59"/>
      <c r="C413" s="24">
        <f t="shared" si="75"/>
        <v>1</v>
      </c>
      <c r="D413" s="707"/>
      <c r="E413" s="24">
        <f t="shared" si="76"/>
        <v>0.2</v>
      </c>
      <c r="F413" s="707"/>
      <c r="G413" s="24">
        <f t="shared" si="77"/>
        <v>1</v>
      </c>
      <c r="H413" s="707"/>
      <c r="I413" s="24">
        <f t="shared" si="78"/>
        <v>1</v>
      </c>
      <c r="J413" s="707"/>
      <c r="K413" s="24">
        <f t="shared" si="79"/>
        <v>1</v>
      </c>
      <c r="L413" s="707"/>
      <c r="M413" s="24">
        <f t="shared" si="80"/>
        <v>1</v>
      </c>
      <c r="N413" s="707"/>
      <c r="O413" s="24">
        <f t="shared" si="81"/>
        <v>1</v>
      </c>
      <c r="P413" s="707"/>
      <c r="Q413" s="24">
        <f t="shared" si="82"/>
        <v>1</v>
      </c>
      <c r="R413" s="703">
        <f t="shared" si="83"/>
        <v>0</v>
      </c>
      <c r="S413" s="348">
        <f t="shared" si="74"/>
        <v>0</v>
      </c>
    </row>
    <row r="414" spans="1:19">
      <c r="A414" s="146"/>
      <c r="B414" s="59"/>
      <c r="C414" s="24">
        <f t="shared" si="75"/>
        <v>1</v>
      </c>
      <c r="D414" s="707"/>
      <c r="E414" s="24">
        <f t="shared" si="76"/>
        <v>0.2</v>
      </c>
      <c r="F414" s="707"/>
      <c r="G414" s="24">
        <f t="shared" si="77"/>
        <v>1</v>
      </c>
      <c r="H414" s="707"/>
      <c r="I414" s="24">
        <f t="shared" si="78"/>
        <v>1</v>
      </c>
      <c r="J414" s="707"/>
      <c r="K414" s="24">
        <f t="shared" si="79"/>
        <v>1</v>
      </c>
      <c r="L414" s="707"/>
      <c r="M414" s="24">
        <f t="shared" si="80"/>
        <v>1</v>
      </c>
      <c r="N414" s="707"/>
      <c r="O414" s="24">
        <f t="shared" si="81"/>
        <v>1</v>
      </c>
      <c r="P414" s="707"/>
      <c r="Q414" s="24">
        <f t="shared" si="82"/>
        <v>1</v>
      </c>
      <c r="R414" s="703">
        <f t="shared" si="83"/>
        <v>0</v>
      </c>
      <c r="S414" s="348">
        <f t="shared" si="74"/>
        <v>0</v>
      </c>
    </row>
    <row r="415" spans="1:19">
      <c r="A415" s="146"/>
      <c r="B415" s="59"/>
      <c r="C415" s="24">
        <f t="shared" si="75"/>
        <v>1</v>
      </c>
      <c r="D415" s="707"/>
      <c r="E415" s="24">
        <f t="shared" si="76"/>
        <v>0.2</v>
      </c>
      <c r="F415" s="707"/>
      <c r="G415" s="24">
        <f t="shared" si="77"/>
        <v>1</v>
      </c>
      <c r="H415" s="707"/>
      <c r="I415" s="24">
        <f t="shared" si="78"/>
        <v>1</v>
      </c>
      <c r="J415" s="707"/>
      <c r="K415" s="24">
        <f t="shared" si="79"/>
        <v>1</v>
      </c>
      <c r="L415" s="707"/>
      <c r="M415" s="24">
        <f t="shared" si="80"/>
        <v>1</v>
      </c>
      <c r="N415" s="707"/>
      <c r="O415" s="24">
        <f t="shared" si="81"/>
        <v>1</v>
      </c>
      <c r="P415" s="707"/>
      <c r="Q415" s="24">
        <f t="shared" si="82"/>
        <v>1</v>
      </c>
      <c r="R415" s="703">
        <f t="shared" si="83"/>
        <v>0</v>
      </c>
      <c r="S415" s="348">
        <f t="shared" si="74"/>
        <v>0</v>
      </c>
    </row>
    <row r="416" spans="1:19">
      <c r="A416" s="146"/>
      <c r="B416" s="59"/>
      <c r="C416" s="24">
        <f t="shared" si="75"/>
        <v>1</v>
      </c>
      <c r="D416" s="707"/>
      <c r="E416" s="24">
        <f t="shared" si="76"/>
        <v>0.2</v>
      </c>
      <c r="F416" s="707"/>
      <c r="G416" s="24">
        <f t="shared" si="77"/>
        <v>1</v>
      </c>
      <c r="H416" s="707"/>
      <c r="I416" s="24">
        <f t="shared" si="78"/>
        <v>1</v>
      </c>
      <c r="J416" s="707"/>
      <c r="K416" s="24">
        <f t="shared" si="79"/>
        <v>1</v>
      </c>
      <c r="L416" s="707"/>
      <c r="M416" s="24">
        <f t="shared" si="80"/>
        <v>1</v>
      </c>
      <c r="N416" s="707"/>
      <c r="O416" s="24">
        <f t="shared" si="81"/>
        <v>1</v>
      </c>
      <c r="P416" s="707"/>
      <c r="Q416" s="24">
        <f t="shared" si="82"/>
        <v>1</v>
      </c>
      <c r="R416" s="703">
        <f t="shared" si="83"/>
        <v>0</v>
      </c>
      <c r="S416" s="348">
        <f t="shared" si="74"/>
        <v>0</v>
      </c>
    </row>
    <row r="417" spans="1:19">
      <c r="A417" s="146"/>
      <c r="B417" s="59"/>
      <c r="C417" s="24">
        <f t="shared" si="75"/>
        <v>1</v>
      </c>
      <c r="D417" s="707"/>
      <c r="E417" s="24">
        <f t="shared" si="76"/>
        <v>0.2</v>
      </c>
      <c r="F417" s="707"/>
      <c r="G417" s="24">
        <f t="shared" si="77"/>
        <v>1</v>
      </c>
      <c r="H417" s="707"/>
      <c r="I417" s="24">
        <f t="shared" si="78"/>
        <v>1</v>
      </c>
      <c r="J417" s="707"/>
      <c r="K417" s="24">
        <f t="shared" si="79"/>
        <v>1</v>
      </c>
      <c r="L417" s="707"/>
      <c r="M417" s="24">
        <f t="shared" si="80"/>
        <v>1</v>
      </c>
      <c r="N417" s="707"/>
      <c r="O417" s="24">
        <f t="shared" si="81"/>
        <v>1</v>
      </c>
      <c r="P417" s="707"/>
      <c r="Q417" s="24">
        <f t="shared" si="82"/>
        <v>1</v>
      </c>
      <c r="R417" s="703">
        <f t="shared" si="83"/>
        <v>0</v>
      </c>
      <c r="S417" s="348">
        <f t="shared" si="74"/>
        <v>0</v>
      </c>
    </row>
    <row r="418" spans="1:19">
      <c r="A418" s="146"/>
      <c r="B418" s="59"/>
      <c r="C418" s="24">
        <f t="shared" si="75"/>
        <v>1</v>
      </c>
      <c r="D418" s="707"/>
      <c r="E418" s="24">
        <f t="shared" si="76"/>
        <v>0.2</v>
      </c>
      <c r="F418" s="707"/>
      <c r="G418" s="24">
        <f t="shared" si="77"/>
        <v>1</v>
      </c>
      <c r="H418" s="707"/>
      <c r="I418" s="24">
        <f t="shared" si="78"/>
        <v>1</v>
      </c>
      <c r="J418" s="707"/>
      <c r="K418" s="24">
        <f t="shared" si="79"/>
        <v>1</v>
      </c>
      <c r="L418" s="707"/>
      <c r="M418" s="24">
        <f t="shared" si="80"/>
        <v>1</v>
      </c>
      <c r="N418" s="707"/>
      <c r="O418" s="24">
        <f t="shared" si="81"/>
        <v>1</v>
      </c>
      <c r="P418" s="707"/>
      <c r="Q418" s="24">
        <f t="shared" si="82"/>
        <v>1</v>
      </c>
      <c r="R418" s="703">
        <f t="shared" si="83"/>
        <v>0</v>
      </c>
      <c r="S418" s="348">
        <f t="shared" si="74"/>
        <v>0</v>
      </c>
    </row>
    <row r="419" spans="1:19">
      <c r="A419" s="146"/>
      <c r="B419" s="59"/>
      <c r="C419" s="24">
        <f t="shared" si="75"/>
        <v>1</v>
      </c>
      <c r="D419" s="707"/>
      <c r="E419" s="24">
        <f t="shared" si="76"/>
        <v>0.2</v>
      </c>
      <c r="F419" s="707"/>
      <c r="G419" s="24">
        <f t="shared" si="77"/>
        <v>1</v>
      </c>
      <c r="H419" s="707"/>
      <c r="I419" s="24">
        <f t="shared" si="78"/>
        <v>1</v>
      </c>
      <c r="J419" s="707"/>
      <c r="K419" s="24">
        <f t="shared" si="79"/>
        <v>1</v>
      </c>
      <c r="L419" s="707"/>
      <c r="M419" s="24">
        <f t="shared" si="80"/>
        <v>1</v>
      </c>
      <c r="N419" s="707"/>
      <c r="O419" s="24">
        <f t="shared" si="81"/>
        <v>1</v>
      </c>
      <c r="P419" s="707"/>
      <c r="Q419" s="24">
        <f t="shared" si="82"/>
        <v>1</v>
      </c>
      <c r="R419" s="703">
        <f t="shared" si="83"/>
        <v>0</v>
      </c>
      <c r="S419" s="348">
        <f t="shared" si="74"/>
        <v>0</v>
      </c>
    </row>
    <row r="420" spans="1:19">
      <c r="A420" s="146"/>
      <c r="B420" s="59"/>
      <c r="C420" s="24">
        <f t="shared" si="75"/>
        <v>1</v>
      </c>
      <c r="D420" s="707"/>
      <c r="E420" s="24">
        <f t="shared" si="76"/>
        <v>0.2</v>
      </c>
      <c r="F420" s="707"/>
      <c r="G420" s="24">
        <f t="shared" si="77"/>
        <v>1</v>
      </c>
      <c r="H420" s="707"/>
      <c r="I420" s="24">
        <f t="shared" si="78"/>
        <v>1</v>
      </c>
      <c r="J420" s="707"/>
      <c r="K420" s="24">
        <f t="shared" si="79"/>
        <v>1</v>
      </c>
      <c r="L420" s="707"/>
      <c r="M420" s="24">
        <f t="shared" si="80"/>
        <v>1</v>
      </c>
      <c r="N420" s="707"/>
      <c r="O420" s="24">
        <f t="shared" si="81"/>
        <v>1</v>
      </c>
      <c r="P420" s="707"/>
      <c r="Q420" s="24">
        <f t="shared" si="82"/>
        <v>1</v>
      </c>
      <c r="R420" s="703">
        <f t="shared" si="83"/>
        <v>0</v>
      </c>
      <c r="S420" s="348">
        <f t="shared" si="74"/>
        <v>0</v>
      </c>
    </row>
    <row r="421" spans="1:19">
      <c r="A421" s="146"/>
      <c r="B421" s="59"/>
      <c r="C421" s="24">
        <f t="shared" si="75"/>
        <v>1</v>
      </c>
      <c r="D421" s="707"/>
      <c r="E421" s="24">
        <f t="shared" si="76"/>
        <v>0.2</v>
      </c>
      <c r="F421" s="707"/>
      <c r="G421" s="24">
        <f t="shared" si="77"/>
        <v>1</v>
      </c>
      <c r="H421" s="707"/>
      <c r="I421" s="24">
        <f t="shared" si="78"/>
        <v>1</v>
      </c>
      <c r="J421" s="707"/>
      <c r="K421" s="24">
        <f t="shared" si="79"/>
        <v>1</v>
      </c>
      <c r="L421" s="707"/>
      <c r="M421" s="24">
        <f t="shared" si="80"/>
        <v>1</v>
      </c>
      <c r="N421" s="707"/>
      <c r="O421" s="24">
        <f t="shared" si="81"/>
        <v>1</v>
      </c>
      <c r="P421" s="707"/>
      <c r="Q421" s="24">
        <f t="shared" si="82"/>
        <v>1</v>
      </c>
      <c r="R421" s="703">
        <f t="shared" si="83"/>
        <v>0</v>
      </c>
      <c r="S421" s="348">
        <f t="shared" si="74"/>
        <v>0</v>
      </c>
    </row>
    <row r="422" spans="1:19">
      <c r="A422" s="146"/>
      <c r="B422" s="59"/>
      <c r="C422" s="24">
        <f t="shared" si="75"/>
        <v>1</v>
      </c>
      <c r="D422" s="707"/>
      <c r="E422" s="24">
        <f t="shared" si="76"/>
        <v>0.2</v>
      </c>
      <c r="F422" s="707"/>
      <c r="G422" s="24">
        <f t="shared" si="77"/>
        <v>1</v>
      </c>
      <c r="H422" s="707"/>
      <c r="I422" s="24">
        <f t="shared" si="78"/>
        <v>1</v>
      </c>
      <c r="J422" s="707"/>
      <c r="K422" s="24">
        <f t="shared" si="79"/>
        <v>1</v>
      </c>
      <c r="L422" s="707"/>
      <c r="M422" s="24">
        <f t="shared" si="80"/>
        <v>1</v>
      </c>
      <c r="N422" s="707"/>
      <c r="O422" s="24">
        <f t="shared" si="81"/>
        <v>1</v>
      </c>
      <c r="P422" s="707"/>
      <c r="Q422" s="24">
        <f t="shared" si="82"/>
        <v>1</v>
      </c>
      <c r="R422" s="703">
        <f t="shared" si="83"/>
        <v>0</v>
      </c>
      <c r="S422" s="348">
        <f t="shared" si="74"/>
        <v>0</v>
      </c>
    </row>
    <row r="423" spans="1:19">
      <c r="A423" s="146"/>
      <c r="B423" s="59"/>
      <c r="C423" s="24">
        <f t="shared" si="75"/>
        <v>1</v>
      </c>
      <c r="D423" s="707"/>
      <c r="E423" s="24">
        <f t="shared" si="76"/>
        <v>0.2</v>
      </c>
      <c r="F423" s="707"/>
      <c r="G423" s="24">
        <f t="shared" si="77"/>
        <v>1</v>
      </c>
      <c r="H423" s="707"/>
      <c r="I423" s="24">
        <f t="shared" si="78"/>
        <v>1</v>
      </c>
      <c r="J423" s="707"/>
      <c r="K423" s="24">
        <f t="shared" si="79"/>
        <v>1</v>
      </c>
      <c r="L423" s="707"/>
      <c r="M423" s="24">
        <f t="shared" si="80"/>
        <v>1</v>
      </c>
      <c r="N423" s="707"/>
      <c r="O423" s="24">
        <f t="shared" si="81"/>
        <v>1</v>
      </c>
      <c r="P423" s="707"/>
      <c r="Q423" s="24">
        <f t="shared" si="82"/>
        <v>1</v>
      </c>
      <c r="R423" s="703">
        <f t="shared" si="83"/>
        <v>0</v>
      </c>
      <c r="S423" s="348">
        <f t="shared" ref="S423:S467" si="84">ROUND(R423*B423/10000,0)</f>
        <v>0</v>
      </c>
    </row>
    <row r="424" spans="1:19">
      <c r="A424" s="146"/>
      <c r="B424" s="59"/>
      <c r="C424" s="24">
        <f t="shared" si="75"/>
        <v>1</v>
      </c>
      <c r="D424" s="707"/>
      <c r="E424" s="24">
        <f t="shared" si="76"/>
        <v>0.2</v>
      </c>
      <c r="F424" s="707"/>
      <c r="G424" s="24">
        <f t="shared" si="77"/>
        <v>1</v>
      </c>
      <c r="H424" s="707"/>
      <c r="I424" s="24">
        <f t="shared" si="78"/>
        <v>1</v>
      </c>
      <c r="J424" s="707"/>
      <c r="K424" s="24">
        <f t="shared" si="79"/>
        <v>1</v>
      </c>
      <c r="L424" s="707"/>
      <c r="M424" s="24">
        <f t="shared" si="80"/>
        <v>1</v>
      </c>
      <c r="N424" s="707"/>
      <c r="O424" s="24">
        <f t="shared" si="81"/>
        <v>1</v>
      </c>
      <c r="P424" s="707"/>
      <c r="Q424" s="24">
        <f t="shared" si="82"/>
        <v>1</v>
      </c>
      <c r="R424" s="703">
        <f t="shared" si="83"/>
        <v>0</v>
      </c>
      <c r="S424" s="348">
        <f t="shared" si="84"/>
        <v>0</v>
      </c>
    </row>
    <row r="425" spans="1:19">
      <c r="A425" s="146"/>
      <c r="B425" s="59"/>
      <c r="C425" s="24">
        <f t="shared" si="75"/>
        <v>1</v>
      </c>
      <c r="D425" s="707"/>
      <c r="E425" s="24">
        <f t="shared" si="76"/>
        <v>0.2</v>
      </c>
      <c r="F425" s="707"/>
      <c r="G425" s="24">
        <f t="shared" si="77"/>
        <v>1</v>
      </c>
      <c r="H425" s="707"/>
      <c r="I425" s="24">
        <f t="shared" si="78"/>
        <v>1</v>
      </c>
      <c r="J425" s="707"/>
      <c r="K425" s="24">
        <f t="shared" si="79"/>
        <v>1</v>
      </c>
      <c r="L425" s="707"/>
      <c r="M425" s="24">
        <f t="shared" si="80"/>
        <v>1</v>
      </c>
      <c r="N425" s="707"/>
      <c r="O425" s="24">
        <f t="shared" si="81"/>
        <v>1</v>
      </c>
      <c r="P425" s="707"/>
      <c r="Q425" s="24">
        <f t="shared" si="82"/>
        <v>1</v>
      </c>
      <c r="R425" s="703">
        <f t="shared" si="83"/>
        <v>0</v>
      </c>
      <c r="S425" s="348">
        <f t="shared" si="84"/>
        <v>0</v>
      </c>
    </row>
    <row r="426" spans="1:19">
      <c r="A426" s="146"/>
      <c r="B426" s="59"/>
      <c r="C426" s="24">
        <f t="shared" si="75"/>
        <v>1</v>
      </c>
      <c r="D426" s="707"/>
      <c r="E426" s="24">
        <f t="shared" si="76"/>
        <v>0.2</v>
      </c>
      <c r="F426" s="707"/>
      <c r="G426" s="24">
        <f t="shared" si="77"/>
        <v>1</v>
      </c>
      <c r="H426" s="707"/>
      <c r="I426" s="24">
        <f t="shared" si="78"/>
        <v>1</v>
      </c>
      <c r="J426" s="707"/>
      <c r="K426" s="24">
        <f t="shared" si="79"/>
        <v>1</v>
      </c>
      <c r="L426" s="707"/>
      <c r="M426" s="24">
        <f t="shared" si="80"/>
        <v>1</v>
      </c>
      <c r="N426" s="707"/>
      <c r="O426" s="24">
        <f t="shared" si="81"/>
        <v>1</v>
      </c>
      <c r="P426" s="707"/>
      <c r="Q426" s="24">
        <f t="shared" si="82"/>
        <v>1</v>
      </c>
      <c r="R426" s="703">
        <f t="shared" si="83"/>
        <v>0</v>
      </c>
      <c r="S426" s="348">
        <f t="shared" si="84"/>
        <v>0</v>
      </c>
    </row>
    <row r="427" spans="1:19">
      <c r="A427" s="146"/>
      <c r="B427" s="59"/>
      <c r="C427" s="24">
        <f t="shared" si="75"/>
        <v>1</v>
      </c>
      <c r="D427" s="707"/>
      <c r="E427" s="24">
        <f t="shared" si="76"/>
        <v>0.2</v>
      </c>
      <c r="F427" s="707"/>
      <c r="G427" s="24">
        <f t="shared" si="77"/>
        <v>1</v>
      </c>
      <c r="H427" s="707"/>
      <c r="I427" s="24">
        <f t="shared" si="78"/>
        <v>1</v>
      </c>
      <c r="J427" s="707"/>
      <c r="K427" s="24">
        <f t="shared" si="79"/>
        <v>1</v>
      </c>
      <c r="L427" s="707"/>
      <c r="M427" s="24">
        <f t="shared" si="80"/>
        <v>1</v>
      </c>
      <c r="N427" s="707"/>
      <c r="O427" s="24">
        <f t="shared" si="81"/>
        <v>1</v>
      </c>
      <c r="P427" s="707"/>
      <c r="Q427" s="24">
        <f t="shared" si="82"/>
        <v>1</v>
      </c>
      <c r="R427" s="703">
        <f t="shared" si="83"/>
        <v>0</v>
      </c>
      <c r="S427" s="348">
        <f t="shared" si="84"/>
        <v>0</v>
      </c>
    </row>
    <row r="428" spans="1:19">
      <c r="A428" s="146"/>
      <c r="B428" s="59"/>
      <c r="C428" s="24">
        <f t="shared" si="75"/>
        <v>1</v>
      </c>
      <c r="D428" s="707"/>
      <c r="E428" s="24">
        <f t="shared" si="76"/>
        <v>0.2</v>
      </c>
      <c r="F428" s="707"/>
      <c r="G428" s="24">
        <f t="shared" si="77"/>
        <v>1</v>
      </c>
      <c r="H428" s="707"/>
      <c r="I428" s="24">
        <f t="shared" si="78"/>
        <v>1</v>
      </c>
      <c r="J428" s="707"/>
      <c r="K428" s="24">
        <f t="shared" si="79"/>
        <v>1</v>
      </c>
      <c r="L428" s="707"/>
      <c r="M428" s="24">
        <f t="shared" si="80"/>
        <v>1</v>
      </c>
      <c r="N428" s="707"/>
      <c r="O428" s="24">
        <f t="shared" si="81"/>
        <v>1</v>
      </c>
      <c r="P428" s="707"/>
      <c r="Q428" s="24">
        <f t="shared" si="82"/>
        <v>1</v>
      </c>
      <c r="R428" s="703">
        <f t="shared" si="83"/>
        <v>0</v>
      </c>
      <c r="S428" s="348">
        <f t="shared" si="84"/>
        <v>0</v>
      </c>
    </row>
    <row r="429" spans="1:19">
      <c r="A429" s="146"/>
      <c r="B429" s="59"/>
      <c r="C429" s="24">
        <f t="shared" si="75"/>
        <v>1</v>
      </c>
      <c r="D429" s="707"/>
      <c r="E429" s="24">
        <f t="shared" si="76"/>
        <v>0.2</v>
      </c>
      <c r="F429" s="707"/>
      <c r="G429" s="24">
        <f t="shared" si="77"/>
        <v>1</v>
      </c>
      <c r="H429" s="707"/>
      <c r="I429" s="24">
        <f t="shared" si="78"/>
        <v>1</v>
      </c>
      <c r="J429" s="707"/>
      <c r="K429" s="24">
        <f t="shared" si="79"/>
        <v>1</v>
      </c>
      <c r="L429" s="707"/>
      <c r="M429" s="24">
        <f t="shared" si="80"/>
        <v>1</v>
      </c>
      <c r="N429" s="707"/>
      <c r="O429" s="24">
        <f t="shared" si="81"/>
        <v>1</v>
      </c>
      <c r="P429" s="707"/>
      <c r="Q429" s="24">
        <f t="shared" si="82"/>
        <v>1</v>
      </c>
      <c r="R429" s="703">
        <f t="shared" si="83"/>
        <v>0</v>
      </c>
      <c r="S429" s="348">
        <f t="shared" si="84"/>
        <v>0</v>
      </c>
    </row>
    <row r="430" spans="1:19">
      <c r="A430" s="146"/>
      <c r="B430" s="59"/>
      <c r="C430" s="24">
        <f t="shared" si="75"/>
        <v>1</v>
      </c>
      <c r="D430" s="707"/>
      <c r="E430" s="24">
        <f t="shared" si="76"/>
        <v>0.2</v>
      </c>
      <c r="F430" s="707"/>
      <c r="G430" s="24">
        <f t="shared" si="77"/>
        <v>1</v>
      </c>
      <c r="H430" s="707"/>
      <c r="I430" s="24">
        <f t="shared" si="78"/>
        <v>1</v>
      </c>
      <c r="J430" s="707"/>
      <c r="K430" s="24">
        <f t="shared" si="79"/>
        <v>1</v>
      </c>
      <c r="L430" s="707"/>
      <c r="M430" s="24">
        <f t="shared" si="80"/>
        <v>1</v>
      </c>
      <c r="N430" s="707"/>
      <c r="O430" s="24">
        <f t="shared" si="81"/>
        <v>1</v>
      </c>
      <c r="P430" s="707"/>
      <c r="Q430" s="24">
        <f t="shared" si="82"/>
        <v>1</v>
      </c>
      <c r="R430" s="703">
        <f t="shared" si="83"/>
        <v>0</v>
      </c>
      <c r="S430" s="348">
        <f t="shared" si="84"/>
        <v>0</v>
      </c>
    </row>
    <row r="431" spans="1:19">
      <c r="A431" s="146"/>
      <c r="B431" s="59"/>
      <c r="C431" s="24">
        <f t="shared" si="75"/>
        <v>1</v>
      </c>
      <c r="D431" s="707"/>
      <c r="E431" s="24">
        <f t="shared" si="76"/>
        <v>0.2</v>
      </c>
      <c r="F431" s="707"/>
      <c r="G431" s="24">
        <f t="shared" si="77"/>
        <v>1</v>
      </c>
      <c r="H431" s="707"/>
      <c r="I431" s="24">
        <f t="shared" si="78"/>
        <v>1</v>
      </c>
      <c r="J431" s="707"/>
      <c r="K431" s="24">
        <f t="shared" si="79"/>
        <v>1</v>
      </c>
      <c r="L431" s="707"/>
      <c r="M431" s="24">
        <f t="shared" si="80"/>
        <v>1</v>
      </c>
      <c r="N431" s="707"/>
      <c r="O431" s="24">
        <f t="shared" si="81"/>
        <v>1</v>
      </c>
      <c r="P431" s="707"/>
      <c r="Q431" s="24">
        <f t="shared" si="82"/>
        <v>1</v>
      </c>
      <c r="R431" s="703">
        <f t="shared" si="83"/>
        <v>0</v>
      </c>
      <c r="S431" s="348">
        <f t="shared" si="84"/>
        <v>0</v>
      </c>
    </row>
    <row r="432" spans="1:19">
      <c r="A432" s="146"/>
      <c r="B432" s="59"/>
      <c r="C432" s="24">
        <f t="shared" si="75"/>
        <v>1</v>
      </c>
      <c r="D432" s="707"/>
      <c r="E432" s="24">
        <f t="shared" si="76"/>
        <v>0.2</v>
      </c>
      <c r="F432" s="707"/>
      <c r="G432" s="24">
        <f t="shared" si="77"/>
        <v>1</v>
      </c>
      <c r="H432" s="707"/>
      <c r="I432" s="24">
        <f t="shared" si="78"/>
        <v>1</v>
      </c>
      <c r="J432" s="707"/>
      <c r="K432" s="24">
        <f t="shared" si="79"/>
        <v>1</v>
      </c>
      <c r="L432" s="707"/>
      <c r="M432" s="24">
        <f t="shared" si="80"/>
        <v>1</v>
      </c>
      <c r="N432" s="707"/>
      <c r="O432" s="24">
        <f t="shared" si="81"/>
        <v>1</v>
      </c>
      <c r="P432" s="707"/>
      <c r="Q432" s="24">
        <f t="shared" si="82"/>
        <v>1</v>
      </c>
      <c r="R432" s="703">
        <f t="shared" si="83"/>
        <v>0</v>
      </c>
      <c r="S432" s="348">
        <f t="shared" si="84"/>
        <v>0</v>
      </c>
    </row>
    <row r="433" spans="1:19">
      <c r="A433" s="146"/>
      <c r="B433" s="59"/>
      <c r="C433" s="24">
        <f t="shared" si="75"/>
        <v>1</v>
      </c>
      <c r="D433" s="707"/>
      <c r="E433" s="24">
        <f t="shared" si="76"/>
        <v>0.2</v>
      </c>
      <c r="F433" s="707"/>
      <c r="G433" s="24">
        <f t="shared" si="77"/>
        <v>1</v>
      </c>
      <c r="H433" s="707"/>
      <c r="I433" s="24">
        <f t="shared" si="78"/>
        <v>1</v>
      </c>
      <c r="J433" s="707"/>
      <c r="K433" s="24">
        <f t="shared" si="79"/>
        <v>1</v>
      </c>
      <c r="L433" s="707"/>
      <c r="M433" s="24">
        <f t="shared" si="80"/>
        <v>1</v>
      </c>
      <c r="N433" s="707"/>
      <c r="O433" s="24">
        <f t="shared" si="81"/>
        <v>1</v>
      </c>
      <c r="P433" s="707"/>
      <c r="Q433" s="24">
        <f t="shared" si="82"/>
        <v>1</v>
      </c>
      <c r="R433" s="703">
        <f t="shared" si="83"/>
        <v>0</v>
      </c>
      <c r="S433" s="348">
        <f t="shared" si="84"/>
        <v>0</v>
      </c>
    </row>
    <row r="434" spans="1:19">
      <c r="A434" s="146"/>
      <c r="B434" s="59"/>
      <c r="C434" s="24">
        <f t="shared" si="75"/>
        <v>1</v>
      </c>
      <c r="D434" s="707"/>
      <c r="E434" s="24">
        <f t="shared" si="76"/>
        <v>0.2</v>
      </c>
      <c r="F434" s="707"/>
      <c r="G434" s="24">
        <f t="shared" si="77"/>
        <v>1</v>
      </c>
      <c r="H434" s="707"/>
      <c r="I434" s="24">
        <f t="shared" si="78"/>
        <v>1</v>
      </c>
      <c r="J434" s="707"/>
      <c r="K434" s="24">
        <f t="shared" si="79"/>
        <v>1</v>
      </c>
      <c r="L434" s="707"/>
      <c r="M434" s="24">
        <f t="shared" si="80"/>
        <v>1</v>
      </c>
      <c r="N434" s="707"/>
      <c r="O434" s="24">
        <f t="shared" si="81"/>
        <v>1</v>
      </c>
      <c r="P434" s="707"/>
      <c r="Q434" s="24">
        <f t="shared" si="82"/>
        <v>1</v>
      </c>
      <c r="R434" s="703">
        <f t="shared" si="83"/>
        <v>0</v>
      </c>
      <c r="S434" s="348">
        <f t="shared" si="84"/>
        <v>0</v>
      </c>
    </row>
    <row r="435" spans="1:19">
      <c r="A435" s="146"/>
      <c r="B435" s="59"/>
      <c r="C435" s="24">
        <f t="shared" si="75"/>
        <v>1</v>
      </c>
      <c r="D435" s="707"/>
      <c r="E435" s="24">
        <f t="shared" si="76"/>
        <v>0.2</v>
      </c>
      <c r="F435" s="707"/>
      <c r="G435" s="24">
        <f t="shared" si="77"/>
        <v>1</v>
      </c>
      <c r="H435" s="707"/>
      <c r="I435" s="24">
        <f t="shared" si="78"/>
        <v>1</v>
      </c>
      <c r="J435" s="707"/>
      <c r="K435" s="24">
        <f t="shared" si="79"/>
        <v>1</v>
      </c>
      <c r="L435" s="707"/>
      <c r="M435" s="24">
        <f t="shared" si="80"/>
        <v>1</v>
      </c>
      <c r="N435" s="707"/>
      <c r="O435" s="24">
        <f t="shared" si="81"/>
        <v>1</v>
      </c>
      <c r="P435" s="707"/>
      <c r="Q435" s="24">
        <f t="shared" si="82"/>
        <v>1</v>
      </c>
      <c r="R435" s="703">
        <f t="shared" si="83"/>
        <v>0</v>
      </c>
      <c r="S435" s="348">
        <f t="shared" si="84"/>
        <v>0</v>
      </c>
    </row>
    <row r="436" spans="1:19">
      <c r="A436" s="146"/>
      <c r="B436" s="59"/>
      <c r="C436" s="24">
        <f t="shared" si="75"/>
        <v>1</v>
      </c>
      <c r="D436" s="707"/>
      <c r="E436" s="24">
        <f t="shared" si="76"/>
        <v>0.2</v>
      </c>
      <c r="F436" s="707"/>
      <c r="G436" s="24">
        <f t="shared" si="77"/>
        <v>1</v>
      </c>
      <c r="H436" s="707"/>
      <c r="I436" s="24">
        <f t="shared" si="78"/>
        <v>1</v>
      </c>
      <c r="J436" s="707"/>
      <c r="K436" s="24">
        <f t="shared" si="79"/>
        <v>1</v>
      </c>
      <c r="L436" s="707"/>
      <c r="M436" s="24">
        <f t="shared" si="80"/>
        <v>1</v>
      </c>
      <c r="N436" s="707"/>
      <c r="O436" s="24">
        <f t="shared" si="81"/>
        <v>1</v>
      </c>
      <c r="P436" s="707"/>
      <c r="Q436" s="24">
        <f t="shared" si="82"/>
        <v>1</v>
      </c>
      <c r="R436" s="703">
        <f t="shared" si="83"/>
        <v>0</v>
      </c>
      <c r="S436" s="348">
        <f t="shared" si="84"/>
        <v>0</v>
      </c>
    </row>
    <row r="437" spans="1:19">
      <c r="A437" s="146"/>
      <c r="B437" s="59"/>
      <c r="C437" s="24">
        <f t="shared" si="75"/>
        <v>1</v>
      </c>
      <c r="D437" s="707"/>
      <c r="E437" s="24">
        <f t="shared" si="76"/>
        <v>0.2</v>
      </c>
      <c r="F437" s="707"/>
      <c r="G437" s="24">
        <f t="shared" si="77"/>
        <v>1</v>
      </c>
      <c r="H437" s="707"/>
      <c r="I437" s="24">
        <f t="shared" si="78"/>
        <v>1</v>
      </c>
      <c r="J437" s="707"/>
      <c r="K437" s="24">
        <f t="shared" si="79"/>
        <v>1</v>
      </c>
      <c r="L437" s="707"/>
      <c r="M437" s="24">
        <f t="shared" si="80"/>
        <v>1</v>
      </c>
      <c r="N437" s="707"/>
      <c r="O437" s="24">
        <f t="shared" si="81"/>
        <v>1</v>
      </c>
      <c r="P437" s="707"/>
      <c r="Q437" s="24">
        <f t="shared" si="82"/>
        <v>1</v>
      </c>
      <c r="R437" s="703">
        <f t="shared" si="83"/>
        <v>0</v>
      </c>
      <c r="S437" s="348">
        <f t="shared" si="84"/>
        <v>0</v>
      </c>
    </row>
    <row r="438" spans="1:19">
      <c r="A438" s="146"/>
      <c r="B438" s="59"/>
      <c r="C438" s="24">
        <f t="shared" si="75"/>
        <v>1</v>
      </c>
      <c r="D438" s="707"/>
      <c r="E438" s="24">
        <f t="shared" si="76"/>
        <v>0.2</v>
      </c>
      <c r="F438" s="707"/>
      <c r="G438" s="24">
        <f t="shared" si="77"/>
        <v>1</v>
      </c>
      <c r="H438" s="707"/>
      <c r="I438" s="24">
        <f t="shared" si="78"/>
        <v>1</v>
      </c>
      <c r="J438" s="707"/>
      <c r="K438" s="24">
        <f t="shared" si="79"/>
        <v>1</v>
      </c>
      <c r="L438" s="707"/>
      <c r="M438" s="24">
        <f t="shared" si="80"/>
        <v>1</v>
      </c>
      <c r="N438" s="707"/>
      <c r="O438" s="24">
        <f t="shared" si="81"/>
        <v>1</v>
      </c>
      <c r="P438" s="707"/>
      <c r="Q438" s="24">
        <f t="shared" si="82"/>
        <v>1</v>
      </c>
      <c r="R438" s="703">
        <f t="shared" si="83"/>
        <v>0</v>
      </c>
      <c r="S438" s="348">
        <f t="shared" si="84"/>
        <v>0</v>
      </c>
    </row>
    <row r="439" spans="1:19">
      <c r="A439" s="146"/>
      <c r="B439" s="59"/>
      <c r="C439" s="24">
        <f t="shared" si="75"/>
        <v>1</v>
      </c>
      <c r="D439" s="707"/>
      <c r="E439" s="24">
        <f t="shared" si="76"/>
        <v>0.2</v>
      </c>
      <c r="F439" s="707"/>
      <c r="G439" s="24">
        <f t="shared" si="77"/>
        <v>1</v>
      </c>
      <c r="H439" s="707"/>
      <c r="I439" s="24">
        <f t="shared" si="78"/>
        <v>1</v>
      </c>
      <c r="J439" s="707"/>
      <c r="K439" s="24">
        <f t="shared" si="79"/>
        <v>1</v>
      </c>
      <c r="L439" s="707"/>
      <c r="M439" s="24">
        <f t="shared" si="80"/>
        <v>1</v>
      </c>
      <c r="N439" s="707"/>
      <c r="O439" s="24">
        <f t="shared" si="81"/>
        <v>1</v>
      </c>
      <c r="P439" s="707"/>
      <c r="Q439" s="24">
        <f t="shared" si="82"/>
        <v>1</v>
      </c>
      <c r="R439" s="703">
        <f t="shared" si="83"/>
        <v>0</v>
      </c>
      <c r="S439" s="348">
        <f t="shared" si="84"/>
        <v>0</v>
      </c>
    </row>
    <row r="440" spans="1:19">
      <c r="A440" s="146"/>
      <c r="B440" s="59"/>
      <c r="C440" s="24">
        <f t="shared" si="75"/>
        <v>1</v>
      </c>
      <c r="D440" s="707"/>
      <c r="E440" s="24">
        <f t="shared" si="76"/>
        <v>0.2</v>
      </c>
      <c r="F440" s="707"/>
      <c r="G440" s="24">
        <f t="shared" si="77"/>
        <v>1</v>
      </c>
      <c r="H440" s="707"/>
      <c r="I440" s="24">
        <f t="shared" si="78"/>
        <v>1</v>
      </c>
      <c r="J440" s="707"/>
      <c r="K440" s="24">
        <f t="shared" si="79"/>
        <v>1</v>
      </c>
      <c r="L440" s="707"/>
      <c r="M440" s="24">
        <f t="shared" si="80"/>
        <v>1</v>
      </c>
      <c r="N440" s="707"/>
      <c r="O440" s="24">
        <f t="shared" si="81"/>
        <v>1</v>
      </c>
      <c r="P440" s="707"/>
      <c r="Q440" s="24">
        <f t="shared" si="82"/>
        <v>1</v>
      </c>
      <c r="R440" s="703">
        <f t="shared" si="83"/>
        <v>0</v>
      </c>
      <c r="S440" s="348">
        <f t="shared" si="84"/>
        <v>0</v>
      </c>
    </row>
    <row r="441" spans="1:19">
      <c r="A441" s="146"/>
      <c r="B441" s="59"/>
      <c r="C441" s="24">
        <f t="shared" si="75"/>
        <v>1</v>
      </c>
      <c r="D441" s="707"/>
      <c r="E441" s="24">
        <f t="shared" si="76"/>
        <v>0.2</v>
      </c>
      <c r="F441" s="707"/>
      <c r="G441" s="24">
        <f t="shared" si="77"/>
        <v>1</v>
      </c>
      <c r="H441" s="707"/>
      <c r="I441" s="24">
        <f t="shared" si="78"/>
        <v>1</v>
      </c>
      <c r="J441" s="707"/>
      <c r="K441" s="24">
        <f t="shared" si="79"/>
        <v>1</v>
      </c>
      <c r="L441" s="707"/>
      <c r="M441" s="24">
        <f t="shared" si="80"/>
        <v>1</v>
      </c>
      <c r="N441" s="707"/>
      <c r="O441" s="24">
        <f t="shared" si="81"/>
        <v>1</v>
      </c>
      <c r="P441" s="707"/>
      <c r="Q441" s="24">
        <f t="shared" si="82"/>
        <v>1</v>
      </c>
      <c r="R441" s="703">
        <f t="shared" si="83"/>
        <v>0</v>
      </c>
      <c r="S441" s="348">
        <f t="shared" si="84"/>
        <v>0</v>
      </c>
    </row>
    <row r="442" spans="1:19">
      <c r="A442" s="146"/>
      <c r="B442" s="59"/>
      <c r="C442" s="24">
        <f t="shared" si="75"/>
        <v>1</v>
      </c>
      <c r="D442" s="707"/>
      <c r="E442" s="24">
        <f t="shared" si="76"/>
        <v>0.2</v>
      </c>
      <c r="F442" s="707"/>
      <c r="G442" s="24">
        <f t="shared" si="77"/>
        <v>1</v>
      </c>
      <c r="H442" s="707"/>
      <c r="I442" s="24">
        <f t="shared" si="78"/>
        <v>1</v>
      </c>
      <c r="J442" s="707"/>
      <c r="K442" s="24">
        <f t="shared" si="79"/>
        <v>1</v>
      </c>
      <c r="L442" s="707"/>
      <c r="M442" s="24">
        <f t="shared" si="80"/>
        <v>1</v>
      </c>
      <c r="N442" s="707"/>
      <c r="O442" s="24">
        <f t="shared" si="81"/>
        <v>1</v>
      </c>
      <c r="P442" s="707"/>
      <c r="Q442" s="24">
        <f t="shared" si="82"/>
        <v>1</v>
      </c>
      <c r="R442" s="703">
        <f t="shared" si="83"/>
        <v>0</v>
      </c>
      <c r="S442" s="348">
        <f t="shared" si="84"/>
        <v>0</v>
      </c>
    </row>
    <row r="443" spans="1:19">
      <c r="A443" s="146"/>
      <c r="B443" s="59"/>
      <c r="C443" s="24">
        <f t="shared" si="75"/>
        <v>1</v>
      </c>
      <c r="D443" s="707"/>
      <c r="E443" s="24">
        <f t="shared" si="76"/>
        <v>0.2</v>
      </c>
      <c r="F443" s="707"/>
      <c r="G443" s="24">
        <f t="shared" si="77"/>
        <v>1</v>
      </c>
      <c r="H443" s="707"/>
      <c r="I443" s="24">
        <f t="shared" si="78"/>
        <v>1</v>
      </c>
      <c r="J443" s="707"/>
      <c r="K443" s="24">
        <f t="shared" si="79"/>
        <v>1</v>
      </c>
      <c r="L443" s="707"/>
      <c r="M443" s="24">
        <f t="shared" si="80"/>
        <v>1</v>
      </c>
      <c r="N443" s="707"/>
      <c r="O443" s="24">
        <f t="shared" si="81"/>
        <v>1</v>
      </c>
      <c r="P443" s="707"/>
      <c r="Q443" s="24">
        <f t="shared" si="82"/>
        <v>1</v>
      </c>
      <c r="R443" s="703">
        <f t="shared" si="83"/>
        <v>0</v>
      </c>
      <c r="S443" s="348">
        <f t="shared" si="84"/>
        <v>0</v>
      </c>
    </row>
    <row r="444" spans="1:19">
      <c r="A444" s="146"/>
      <c r="B444" s="59"/>
      <c r="C444" s="24">
        <f t="shared" si="75"/>
        <v>1</v>
      </c>
      <c r="D444" s="707"/>
      <c r="E444" s="24">
        <f t="shared" si="76"/>
        <v>0.2</v>
      </c>
      <c r="F444" s="707"/>
      <c r="G444" s="24">
        <f t="shared" si="77"/>
        <v>1</v>
      </c>
      <c r="H444" s="707"/>
      <c r="I444" s="24">
        <f t="shared" si="78"/>
        <v>1</v>
      </c>
      <c r="J444" s="707"/>
      <c r="K444" s="24">
        <f t="shared" si="79"/>
        <v>1</v>
      </c>
      <c r="L444" s="707"/>
      <c r="M444" s="24">
        <f t="shared" si="80"/>
        <v>1</v>
      </c>
      <c r="N444" s="707"/>
      <c r="O444" s="24">
        <f t="shared" si="81"/>
        <v>1</v>
      </c>
      <c r="P444" s="707"/>
      <c r="Q444" s="24">
        <f t="shared" si="82"/>
        <v>1</v>
      </c>
      <c r="R444" s="703">
        <f t="shared" si="83"/>
        <v>0</v>
      </c>
      <c r="S444" s="348">
        <f t="shared" si="84"/>
        <v>0</v>
      </c>
    </row>
    <row r="445" spans="1:19">
      <c r="A445" s="146"/>
      <c r="B445" s="59"/>
      <c r="C445" s="24">
        <f t="shared" si="75"/>
        <v>1</v>
      </c>
      <c r="D445" s="707"/>
      <c r="E445" s="24">
        <f t="shared" si="76"/>
        <v>0.2</v>
      </c>
      <c r="F445" s="707"/>
      <c r="G445" s="24">
        <f t="shared" si="77"/>
        <v>1</v>
      </c>
      <c r="H445" s="707"/>
      <c r="I445" s="24">
        <f t="shared" si="78"/>
        <v>1</v>
      </c>
      <c r="J445" s="707"/>
      <c r="K445" s="24">
        <f t="shared" si="79"/>
        <v>1</v>
      </c>
      <c r="L445" s="707"/>
      <c r="M445" s="24">
        <f t="shared" si="80"/>
        <v>1</v>
      </c>
      <c r="N445" s="707"/>
      <c r="O445" s="24">
        <f t="shared" si="81"/>
        <v>1</v>
      </c>
      <c r="P445" s="707"/>
      <c r="Q445" s="24">
        <f t="shared" si="82"/>
        <v>1</v>
      </c>
      <c r="R445" s="703">
        <f t="shared" si="83"/>
        <v>0</v>
      </c>
      <c r="S445" s="348">
        <f t="shared" si="84"/>
        <v>0</v>
      </c>
    </row>
    <row r="446" spans="1:19">
      <c r="A446" s="146"/>
      <c r="B446" s="59"/>
      <c r="C446" s="24">
        <f t="shared" si="75"/>
        <v>1</v>
      </c>
      <c r="D446" s="707"/>
      <c r="E446" s="24">
        <f t="shared" si="76"/>
        <v>0.2</v>
      </c>
      <c r="F446" s="707"/>
      <c r="G446" s="24">
        <f t="shared" si="77"/>
        <v>1</v>
      </c>
      <c r="H446" s="707"/>
      <c r="I446" s="24">
        <f t="shared" si="78"/>
        <v>1</v>
      </c>
      <c r="J446" s="707"/>
      <c r="K446" s="24">
        <f t="shared" si="79"/>
        <v>1</v>
      </c>
      <c r="L446" s="707"/>
      <c r="M446" s="24">
        <f t="shared" si="80"/>
        <v>1</v>
      </c>
      <c r="N446" s="707"/>
      <c r="O446" s="24">
        <f t="shared" si="81"/>
        <v>1</v>
      </c>
      <c r="P446" s="707"/>
      <c r="Q446" s="24">
        <f t="shared" si="82"/>
        <v>1</v>
      </c>
      <c r="R446" s="703">
        <f t="shared" si="83"/>
        <v>0</v>
      </c>
      <c r="S446" s="348">
        <f t="shared" si="84"/>
        <v>0</v>
      </c>
    </row>
    <row r="447" spans="1:19">
      <c r="A447" s="146"/>
      <c r="B447" s="59"/>
      <c r="C447" s="24">
        <f t="shared" si="75"/>
        <v>1</v>
      </c>
      <c r="D447" s="707"/>
      <c r="E447" s="24">
        <f t="shared" si="76"/>
        <v>0.2</v>
      </c>
      <c r="F447" s="707"/>
      <c r="G447" s="24">
        <f t="shared" si="77"/>
        <v>1</v>
      </c>
      <c r="H447" s="707"/>
      <c r="I447" s="24">
        <f t="shared" si="78"/>
        <v>1</v>
      </c>
      <c r="J447" s="707"/>
      <c r="K447" s="24">
        <f t="shared" si="79"/>
        <v>1</v>
      </c>
      <c r="L447" s="707"/>
      <c r="M447" s="24">
        <f t="shared" si="80"/>
        <v>1</v>
      </c>
      <c r="N447" s="707"/>
      <c r="O447" s="24">
        <f t="shared" si="81"/>
        <v>1</v>
      </c>
      <c r="P447" s="707"/>
      <c r="Q447" s="24">
        <f t="shared" si="82"/>
        <v>1</v>
      </c>
      <c r="R447" s="703">
        <f t="shared" si="83"/>
        <v>0</v>
      </c>
      <c r="S447" s="348">
        <f t="shared" si="84"/>
        <v>0</v>
      </c>
    </row>
    <row r="448" spans="1:19">
      <c r="A448" s="146"/>
      <c r="B448" s="59"/>
      <c r="C448" s="24">
        <f t="shared" si="75"/>
        <v>1</v>
      </c>
      <c r="D448" s="707"/>
      <c r="E448" s="24">
        <f t="shared" si="76"/>
        <v>0.2</v>
      </c>
      <c r="F448" s="707"/>
      <c r="G448" s="24">
        <f t="shared" si="77"/>
        <v>1</v>
      </c>
      <c r="H448" s="707"/>
      <c r="I448" s="24">
        <f t="shared" si="78"/>
        <v>1</v>
      </c>
      <c r="J448" s="707"/>
      <c r="K448" s="24">
        <f t="shared" si="79"/>
        <v>1</v>
      </c>
      <c r="L448" s="707"/>
      <c r="M448" s="24">
        <f t="shared" si="80"/>
        <v>1</v>
      </c>
      <c r="N448" s="707"/>
      <c r="O448" s="24">
        <f t="shared" si="81"/>
        <v>1</v>
      </c>
      <c r="P448" s="707"/>
      <c r="Q448" s="24">
        <f t="shared" si="82"/>
        <v>1</v>
      </c>
      <c r="R448" s="703">
        <f t="shared" si="83"/>
        <v>0</v>
      </c>
      <c r="S448" s="348">
        <f t="shared" si="84"/>
        <v>0</v>
      </c>
    </row>
    <row r="449" spans="1:19">
      <c r="A449" s="146"/>
      <c r="B449" s="59"/>
      <c r="C449" s="24">
        <f t="shared" si="75"/>
        <v>1</v>
      </c>
      <c r="D449" s="707"/>
      <c r="E449" s="24">
        <f t="shared" si="76"/>
        <v>0.2</v>
      </c>
      <c r="F449" s="707"/>
      <c r="G449" s="24">
        <f t="shared" si="77"/>
        <v>1</v>
      </c>
      <c r="H449" s="707"/>
      <c r="I449" s="24">
        <f t="shared" si="78"/>
        <v>1</v>
      </c>
      <c r="J449" s="707"/>
      <c r="K449" s="24">
        <f t="shared" si="79"/>
        <v>1</v>
      </c>
      <c r="L449" s="707"/>
      <c r="M449" s="24">
        <f t="shared" si="80"/>
        <v>1</v>
      </c>
      <c r="N449" s="707"/>
      <c r="O449" s="24">
        <f t="shared" si="81"/>
        <v>1</v>
      </c>
      <c r="P449" s="707"/>
      <c r="Q449" s="24">
        <f t="shared" si="82"/>
        <v>1</v>
      </c>
      <c r="R449" s="703">
        <f t="shared" si="83"/>
        <v>0</v>
      </c>
      <c r="S449" s="348">
        <f t="shared" si="84"/>
        <v>0</v>
      </c>
    </row>
    <row r="450" spans="1:19">
      <c r="A450" s="146"/>
      <c r="B450" s="59"/>
      <c r="C450" s="24">
        <f t="shared" si="75"/>
        <v>1</v>
      </c>
      <c r="D450" s="707"/>
      <c r="E450" s="24">
        <f t="shared" si="76"/>
        <v>0.2</v>
      </c>
      <c r="F450" s="707"/>
      <c r="G450" s="24">
        <f t="shared" si="77"/>
        <v>1</v>
      </c>
      <c r="H450" s="707"/>
      <c r="I450" s="24">
        <f t="shared" si="78"/>
        <v>1</v>
      </c>
      <c r="J450" s="707"/>
      <c r="K450" s="24">
        <f t="shared" si="79"/>
        <v>1</v>
      </c>
      <c r="L450" s="707"/>
      <c r="M450" s="24">
        <f t="shared" si="80"/>
        <v>1</v>
      </c>
      <c r="N450" s="707"/>
      <c r="O450" s="24">
        <f t="shared" si="81"/>
        <v>1</v>
      </c>
      <c r="P450" s="707"/>
      <c r="Q450" s="24">
        <f t="shared" si="82"/>
        <v>1</v>
      </c>
      <c r="R450" s="703">
        <f t="shared" si="83"/>
        <v>0</v>
      </c>
      <c r="S450" s="348">
        <f t="shared" si="84"/>
        <v>0</v>
      </c>
    </row>
    <row r="451" spans="1:19">
      <c r="A451" s="146"/>
      <c r="B451" s="59"/>
      <c r="C451" s="24">
        <f t="shared" si="75"/>
        <v>1</v>
      </c>
      <c r="D451" s="707"/>
      <c r="E451" s="24">
        <f t="shared" si="76"/>
        <v>0.2</v>
      </c>
      <c r="F451" s="707"/>
      <c r="G451" s="24">
        <f t="shared" si="77"/>
        <v>1</v>
      </c>
      <c r="H451" s="707"/>
      <c r="I451" s="24">
        <f t="shared" si="78"/>
        <v>1</v>
      </c>
      <c r="J451" s="707"/>
      <c r="K451" s="24">
        <f t="shared" si="79"/>
        <v>1</v>
      </c>
      <c r="L451" s="707"/>
      <c r="M451" s="24">
        <f t="shared" si="80"/>
        <v>1</v>
      </c>
      <c r="N451" s="707"/>
      <c r="O451" s="24">
        <f t="shared" si="81"/>
        <v>1</v>
      </c>
      <c r="P451" s="707"/>
      <c r="Q451" s="24">
        <f t="shared" si="82"/>
        <v>1</v>
      </c>
      <c r="R451" s="703">
        <f t="shared" si="83"/>
        <v>0</v>
      </c>
      <c r="S451" s="348">
        <f t="shared" si="84"/>
        <v>0</v>
      </c>
    </row>
    <row r="452" spans="1:19">
      <c r="A452" s="146"/>
      <c r="B452" s="59"/>
      <c r="C452" s="24">
        <f t="shared" si="75"/>
        <v>1</v>
      </c>
      <c r="D452" s="707"/>
      <c r="E452" s="24">
        <f t="shared" si="76"/>
        <v>0.2</v>
      </c>
      <c r="F452" s="707"/>
      <c r="G452" s="24">
        <f t="shared" si="77"/>
        <v>1</v>
      </c>
      <c r="H452" s="707"/>
      <c r="I452" s="24">
        <f t="shared" si="78"/>
        <v>1</v>
      </c>
      <c r="J452" s="707"/>
      <c r="K452" s="24">
        <f t="shared" si="79"/>
        <v>1</v>
      </c>
      <c r="L452" s="707"/>
      <c r="M452" s="24">
        <f t="shared" si="80"/>
        <v>1</v>
      </c>
      <c r="N452" s="707"/>
      <c r="O452" s="24">
        <f t="shared" si="81"/>
        <v>1</v>
      </c>
      <c r="P452" s="707"/>
      <c r="Q452" s="24">
        <f t="shared" si="82"/>
        <v>1</v>
      </c>
      <c r="R452" s="703">
        <f t="shared" si="83"/>
        <v>0</v>
      </c>
      <c r="S452" s="348">
        <f t="shared" si="84"/>
        <v>0</v>
      </c>
    </row>
    <row r="453" spans="1:19">
      <c r="A453" s="146"/>
      <c r="B453" s="59"/>
      <c r="C453" s="24">
        <f t="shared" si="75"/>
        <v>1</v>
      </c>
      <c r="D453" s="707"/>
      <c r="E453" s="24">
        <f t="shared" si="76"/>
        <v>0.2</v>
      </c>
      <c r="F453" s="707"/>
      <c r="G453" s="24">
        <f t="shared" si="77"/>
        <v>1</v>
      </c>
      <c r="H453" s="707"/>
      <c r="I453" s="24">
        <f t="shared" si="78"/>
        <v>1</v>
      </c>
      <c r="J453" s="707"/>
      <c r="K453" s="24">
        <f t="shared" si="79"/>
        <v>1</v>
      </c>
      <c r="L453" s="707"/>
      <c r="M453" s="24">
        <f t="shared" si="80"/>
        <v>1</v>
      </c>
      <c r="N453" s="707"/>
      <c r="O453" s="24">
        <f t="shared" si="81"/>
        <v>1</v>
      </c>
      <c r="P453" s="707"/>
      <c r="Q453" s="24">
        <f t="shared" si="82"/>
        <v>1</v>
      </c>
      <c r="R453" s="703">
        <f t="shared" si="83"/>
        <v>0</v>
      </c>
      <c r="S453" s="348">
        <f t="shared" si="84"/>
        <v>0</v>
      </c>
    </row>
    <row r="454" spans="1:19">
      <c r="A454" s="146"/>
      <c r="B454" s="59"/>
      <c r="C454" s="24">
        <f t="shared" si="75"/>
        <v>1</v>
      </c>
      <c r="D454" s="707"/>
      <c r="E454" s="24">
        <f t="shared" si="76"/>
        <v>0.2</v>
      </c>
      <c r="F454" s="707"/>
      <c r="G454" s="24">
        <f t="shared" si="77"/>
        <v>1</v>
      </c>
      <c r="H454" s="707"/>
      <c r="I454" s="24">
        <f t="shared" si="78"/>
        <v>1</v>
      </c>
      <c r="J454" s="707"/>
      <c r="K454" s="24">
        <f t="shared" si="79"/>
        <v>1</v>
      </c>
      <c r="L454" s="707"/>
      <c r="M454" s="24">
        <f t="shared" si="80"/>
        <v>1</v>
      </c>
      <c r="N454" s="707"/>
      <c r="O454" s="24">
        <f t="shared" si="81"/>
        <v>1</v>
      </c>
      <c r="P454" s="707"/>
      <c r="Q454" s="24">
        <f t="shared" si="82"/>
        <v>1</v>
      </c>
      <c r="R454" s="703">
        <f t="shared" si="83"/>
        <v>0</v>
      </c>
      <c r="S454" s="348">
        <f t="shared" si="84"/>
        <v>0</v>
      </c>
    </row>
    <row r="455" spans="1:19">
      <c r="A455" s="146"/>
      <c r="B455" s="59"/>
      <c r="C455" s="24">
        <f t="shared" si="75"/>
        <v>1</v>
      </c>
      <c r="D455" s="707"/>
      <c r="E455" s="24">
        <f t="shared" si="76"/>
        <v>0.2</v>
      </c>
      <c r="F455" s="707"/>
      <c r="G455" s="24">
        <f t="shared" si="77"/>
        <v>1</v>
      </c>
      <c r="H455" s="707"/>
      <c r="I455" s="24">
        <f t="shared" si="78"/>
        <v>1</v>
      </c>
      <c r="J455" s="707"/>
      <c r="K455" s="24">
        <f t="shared" si="79"/>
        <v>1</v>
      </c>
      <c r="L455" s="707"/>
      <c r="M455" s="24">
        <f t="shared" si="80"/>
        <v>1</v>
      </c>
      <c r="N455" s="707"/>
      <c r="O455" s="24">
        <f t="shared" si="81"/>
        <v>1</v>
      </c>
      <c r="P455" s="707"/>
      <c r="Q455" s="24">
        <f t="shared" si="82"/>
        <v>1</v>
      </c>
      <c r="R455" s="703">
        <f t="shared" si="83"/>
        <v>0</v>
      </c>
      <c r="S455" s="348">
        <f t="shared" si="84"/>
        <v>0</v>
      </c>
    </row>
    <row r="456" spans="1:19">
      <c r="A456" s="146"/>
      <c r="B456" s="59"/>
      <c r="C456" s="24">
        <f t="shared" si="75"/>
        <v>1</v>
      </c>
      <c r="D456" s="707"/>
      <c r="E456" s="24">
        <f t="shared" si="76"/>
        <v>0.2</v>
      </c>
      <c r="F456" s="707"/>
      <c r="G456" s="24">
        <f t="shared" si="77"/>
        <v>1</v>
      </c>
      <c r="H456" s="707"/>
      <c r="I456" s="24">
        <f t="shared" si="78"/>
        <v>1</v>
      </c>
      <c r="J456" s="707"/>
      <c r="K456" s="24">
        <f t="shared" si="79"/>
        <v>1</v>
      </c>
      <c r="L456" s="707"/>
      <c r="M456" s="24">
        <f t="shared" si="80"/>
        <v>1</v>
      </c>
      <c r="N456" s="707"/>
      <c r="O456" s="24">
        <f t="shared" si="81"/>
        <v>1</v>
      </c>
      <c r="P456" s="707"/>
      <c r="Q456" s="24">
        <f t="shared" si="82"/>
        <v>1</v>
      </c>
      <c r="R456" s="703">
        <f t="shared" si="83"/>
        <v>0</v>
      </c>
      <c r="S456" s="348">
        <f t="shared" si="84"/>
        <v>0</v>
      </c>
    </row>
    <row r="457" spans="1:19">
      <c r="A457" s="146"/>
      <c r="B457" s="59"/>
      <c r="C457" s="24">
        <f t="shared" si="75"/>
        <v>1</v>
      </c>
      <c r="D457" s="707"/>
      <c r="E457" s="24">
        <f t="shared" si="76"/>
        <v>0.2</v>
      </c>
      <c r="F457" s="707"/>
      <c r="G457" s="24">
        <f t="shared" si="77"/>
        <v>1</v>
      </c>
      <c r="H457" s="707"/>
      <c r="I457" s="24">
        <f t="shared" si="78"/>
        <v>1</v>
      </c>
      <c r="J457" s="707"/>
      <c r="K457" s="24">
        <f t="shared" si="79"/>
        <v>1</v>
      </c>
      <c r="L457" s="707"/>
      <c r="M457" s="24">
        <f t="shared" si="80"/>
        <v>1</v>
      </c>
      <c r="N457" s="707"/>
      <c r="O457" s="24">
        <f t="shared" si="81"/>
        <v>1</v>
      </c>
      <c r="P457" s="707"/>
      <c r="Q457" s="24">
        <f t="shared" si="82"/>
        <v>1</v>
      </c>
      <c r="R457" s="703">
        <f t="shared" si="83"/>
        <v>0</v>
      </c>
      <c r="S457" s="348">
        <f t="shared" si="84"/>
        <v>0</v>
      </c>
    </row>
    <row r="458" spans="1:19">
      <c r="A458" s="146"/>
      <c r="B458" s="59"/>
      <c r="C458" s="24">
        <f t="shared" si="75"/>
        <v>1</v>
      </c>
      <c r="D458" s="707"/>
      <c r="E458" s="24">
        <f t="shared" si="76"/>
        <v>0.2</v>
      </c>
      <c r="F458" s="707"/>
      <c r="G458" s="24">
        <f t="shared" si="77"/>
        <v>1</v>
      </c>
      <c r="H458" s="707"/>
      <c r="I458" s="24">
        <f t="shared" si="78"/>
        <v>1</v>
      </c>
      <c r="J458" s="707"/>
      <c r="K458" s="24">
        <f t="shared" si="79"/>
        <v>1</v>
      </c>
      <c r="L458" s="707"/>
      <c r="M458" s="24">
        <f t="shared" si="80"/>
        <v>1</v>
      </c>
      <c r="N458" s="707"/>
      <c r="O458" s="24">
        <f t="shared" si="81"/>
        <v>1</v>
      </c>
      <c r="P458" s="707"/>
      <c r="Q458" s="24">
        <f t="shared" si="82"/>
        <v>1</v>
      </c>
      <c r="R458" s="703">
        <f t="shared" si="83"/>
        <v>0</v>
      </c>
      <c r="S458" s="348">
        <f t="shared" si="84"/>
        <v>0</v>
      </c>
    </row>
    <row r="459" spans="1:19">
      <c r="A459" s="146"/>
      <c r="B459" s="59"/>
      <c r="C459" s="24">
        <f t="shared" si="75"/>
        <v>1</v>
      </c>
      <c r="D459" s="707"/>
      <c r="E459" s="24">
        <f t="shared" si="76"/>
        <v>0.2</v>
      </c>
      <c r="F459" s="707"/>
      <c r="G459" s="24">
        <f t="shared" si="77"/>
        <v>1</v>
      </c>
      <c r="H459" s="707"/>
      <c r="I459" s="24">
        <f t="shared" si="78"/>
        <v>1</v>
      </c>
      <c r="J459" s="707"/>
      <c r="K459" s="24">
        <f t="shared" si="79"/>
        <v>1</v>
      </c>
      <c r="L459" s="707"/>
      <c r="M459" s="24">
        <f t="shared" si="80"/>
        <v>1</v>
      </c>
      <c r="N459" s="707"/>
      <c r="O459" s="24">
        <f t="shared" si="81"/>
        <v>1</v>
      </c>
      <c r="P459" s="707"/>
      <c r="Q459" s="24">
        <f t="shared" si="82"/>
        <v>1</v>
      </c>
      <c r="R459" s="703">
        <f t="shared" si="83"/>
        <v>0</v>
      </c>
      <c r="S459" s="348">
        <f t="shared" si="84"/>
        <v>0</v>
      </c>
    </row>
    <row r="460" spans="1:19">
      <c r="A460" s="146"/>
      <c r="B460" s="59"/>
      <c r="C460" s="24">
        <f t="shared" si="75"/>
        <v>1</v>
      </c>
      <c r="D460" s="707"/>
      <c r="E460" s="24">
        <f t="shared" si="76"/>
        <v>0.2</v>
      </c>
      <c r="F460" s="707"/>
      <c r="G460" s="24">
        <f t="shared" si="77"/>
        <v>1</v>
      </c>
      <c r="H460" s="707"/>
      <c r="I460" s="24">
        <f t="shared" si="78"/>
        <v>1</v>
      </c>
      <c r="J460" s="707"/>
      <c r="K460" s="24">
        <f t="shared" si="79"/>
        <v>1</v>
      </c>
      <c r="L460" s="707"/>
      <c r="M460" s="24">
        <f t="shared" si="80"/>
        <v>1</v>
      </c>
      <c r="N460" s="707"/>
      <c r="O460" s="24">
        <f t="shared" si="81"/>
        <v>1</v>
      </c>
      <c r="P460" s="707"/>
      <c r="Q460" s="24">
        <f t="shared" si="82"/>
        <v>1</v>
      </c>
      <c r="R460" s="703">
        <f t="shared" si="83"/>
        <v>0</v>
      </c>
      <c r="S460" s="348">
        <f t="shared" si="84"/>
        <v>0</v>
      </c>
    </row>
    <row r="461" spans="1:19">
      <c r="A461" s="146"/>
      <c r="B461" s="59"/>
      <c r="C461" s="24">
        <f t="shared" si="75"/>
        <v>1</v>
      </c>
      <c r="D461" s="707"/>
      <c r="E461" s="24">
        <f t="shared" si="76"/>
        <v>0.2</v>
      </c>
      <c r="F461" s="707"/>
      <c r="G461" s="24">
        <f t="shared" si="77"/>
        <v>1</v>
      </c>
      <c r="H461" s="707"/>
      <c r="I461" s="24">
        <f t="shared" si="78"/>
        <v>1</v>
      </c>
      <c r="J461" s="707"/>
      <c r="K461" s="24">
        <f t="shared" si="79"/>
        <v>1</v>
      </c>
      <c r="L461" s="707"/>
      <c r="M461" s="24">
        <f t="shared" si="80"/>
        <v>1</v>
      </c>
      <c r="N461" s="707"/>
      <c r="O461" s="24">
        <f t="shared" si="81"/>
        <v>1</v>
      </c>
      <c r="P461" s="707"/>
      <c r="Q461" s="24">
        <f t="shared" si="82"/>
        <v>1</v>
      </c>
      <c r="R461" s="703">
        <f t="shared" si="83"/>
        <v>0</v>
      </c>
      <c r="S461" s="348">
        <f t="shared" si="84"/>
        <v>0</v>
      </c>
    </row>
    <row r="462" spans="1:19">
      <c r="A462" s="146"/>
      <c r="B462" s="59"/>
      <c r="C462" s="24">
        <f t="shared" si="75"/>
        <v>1</v>
      </c>
      <c r="D462" s="707"/>
      <c r="E462" s="24">
        <f t="shared" si="76"/>
        <v>0.2</v>
      </c>
      <c r="F462" s="707"/>
      <c r="G462" s="24">
        <f t="shared" si="77"/>
        <v>1</v>
      </c>
      <c r="H462" s="707"/>
      <c r="I462" s="24">
        <f t="shared" si="78"/>
        <v>1</v>
      </c>
      <c r="J462" s="707"/>
      <c r="K462" s="24">
        <f t="shared" si="79"/>
        <v>1</v>
      </c>
      <c r="L462" s="707"/>
      <c r="M462" s="24">
        <f t="shared" si="80"/>
        <v>1</v>
      </c>
      <c r="N462" s="707"/>
      <c r="O462" s="24">
        <f t="shared" si="81"/>
        <v>1</v>
      </c>
      <c r="P462" s="707"/>
      <c r="Q462" s="24">
        <f t="shared" si="82"/>
        <v>1</v>
      </c>
      <c r="R462" s="703">
        <f t="shared" si="83"/>
        <v>0</v>
      </c>
      <c r="S462" s="348">
        <f t="shared" si="84"/>
        <v>0</v>
      </c>
    </row>
    <row r="463" spans="1:19">
      <c r="A463" s="146"/>
      <c r="B463" s="59"/>
      <c r="C463" s="24">
        <f t="shared" si="75"/>
        <v>1</v>
      </c>
      <c r="D463" s="707"/>
      <c r="E463" s="24">
        <f t="shared" si="76"/>
        <v>0.2</v>
      </c>
      <c r="F463" s="707"/>
      <c r="G463" s="24">
        <f t="shared" si="77"/>
        <v>1</v>
      </c>
      <c r="H463" s="707"/>
      <c r="I463" s="24">
        <f t="shared" si="78"/>
        <v>1</v>
      </c>
      <c r="J463" s="707"/>
      <c r="K463" s="24">
        <f t="shared" si="79"/>
        <v>1</v>
      </c>
      <c r="L463" s="707"/>
      <c r="M463" s="24">
        <f t="shared" si="80"/>
        <v>1</v>
      </c>
      <c r="N463" s="707"/>
      <c r="O463" s="24">
        <f t="shared" si="81"/>
        <v>1</v>
      </c>
      <c r="P463" s="707"/>
      <c r="Q463" s="24">
        <f t="shared" si="82"/>
        <v>1</v>
      </c>
      <c r="R463" s="703">
        <f t="shared" si="83"/>
        <v>0</v>
      </c>
      <c r="S463" s="348">
        <f t="shared" si="84"/>
        <v>0</v>
      </c>
    </row>
    <row r="464" spans="1:19">
      <c r="A464" s="146"/>
      <c r="B464" s="59"/>
      <c r="C464" s="24">
        <f t="shared" si="75"/>
        <v>1</v>
      </c>
      <c r="D464" s="707"/>
      <c r="E464" s="24">
        <f t="shared" si="76"/>
        <v>0.2</v>
      </c>
      <c r="F464" s="707"/>
      <c r="G464" s="24">
        <f t="shared" si="77"/>
        <v>1</v>
      </c>
      <c r="H464" s="707"/>
      <c r="I464" s="24">
        <f t="shared" si="78"/>
        <v>1</v>
      </c>
      <c r="J464" s="707"/>
      <c r="K464" s="24">
        <f t="shared" si="79"/>
        <v>1</v>
      </c>
      <c r="L464" s="707"/>
      <c r="M464" s="24">
        <f t="shared" si="80"/>
        <v>1</v>
      </c>
      <c r="N464" s="707"/>
      <c r="O464" s="24">
        <f t="shared" si="81"/>
        <v>1</v>
      </c>
      <c r="P464" s="707"/>
      <c r="Q464" s="24">
        <f t="shared" si="82"/>
        <v>1</v>
      </c>
      <c r="R464" s="703">
        <f t="shared" si="83"/>
        <v>0</v>
      </c>
      <c r="S464" s="348">
        <f t="shared" si="84"/>
        <v>0</v>
      </c>
    </row>
    <row r="465" spans="1:19">
      <c r="A465" s="146"/>
      <c r="B465" s="59"/>
      <c r="C465" s="24">
        <f t="shared" si="75"/>
        <v>1</v>
      </c>
      <c r="D465" s="707"/>
      <c r="E465" s="24">
        <f t="shared" si="76"/>
        <v>0.2</v>
      </c>
      <c r="F465" s="707"/>
      <c r="G465" s="24">
        <f t="shared" si="77"/>
        <v>1</v>
      </c>
      <c r="H465" s="707"/>
      <c r="I465" s="24">
        <f t="shared" si="78"/>
        <v>1</v>
      </c>
      <c r="J465" s="707"/>
      <c r="K465" s="24">
        <f t="shared" si="79"/>
        <v>1</v>
      </c>
      <c r="L465" s="707"/>
      <c r="M465" s="24">
        <f t="shared" si="80"/>
        <v>1</v>
      </c>
      <c r="N465" s="707"/>
      <c r="O465" s="24">
        <f t="shared" si="81"/>
        <v>1</v>
      </c>
      <c r="P465" s="707"/>
      <c r="Q465" s="24">
        <f t="shared" si="82"/>
        <v>1</v>
      </c>
      <c r="R465" s="703">
        <f t="shared" si="83"/>
        <v>0</v>
      </c>
      <c r="S465" s="348">
        <f t="shared" si="84"/>
        <v>0</v>
      </c>
    </row>
    <row r="466" spans="1:19">
      <c r="A466" s="146"/>
      <c r="B466" s="59"/>
      <c r="C466" s="24">
        <f t="shared" si="75"/>
        <v>1</v>
      </c>
      <c r="D466" s="707"/>
      <c r="E466" s="24">
        <f t="shared" si="76"/>
        <v>0.2</v>
      </c>
      <c r="F466" s="707"/>
      <c r="G466" s="24">
        <f t="shared" si="77"/>
        <v>1</v>
      </c>
      <c r="H466" s="707"/>
      <c r="I466" s="24">
        <f t="shared" si="78"/>
        <v>1</v>
      </c>
      <c r="J466" s="707"/>
      <c r="K466" s="24">
        <f t="shared" si="79"/>
        <v>1</v>
      </c>
      <c r="L466" s="707"/>
      <c r="M466" s="24">
        <f t="shared" si="80"/>
        <v>1</v>
      </c>
      <c r="N466" s="707"/>
      <c r="O466" s="24">
        <f t="shared" si="81"/>
        <v>1</v>
      </c>
      <c r="P466" s="707"/>
      <c r="Q466" s="24">
        <f t="shared" si="82"/>
        <v>1</v>
      </c>
      <c r="R466" s="703">
        <f t="shared" si="83"/>
        <v>0</v>
      </c>
      <c r="S466" s="348">
        <f t="shared" si="84"/>
        <v>0</v>
      </c>
    </row>
    <row r="467" spans="1:19">
      <c r="A467" s="146"/>
      <c r="B467" s="59"/>
      <c r="C467" s="24">
        <f t="shared" si="75"/>
        <v>1</v>
      </c>
      <c r="D467" s="707"/>
      <c r="E467" s="24">
        <f t="shared" si="76"/>
        <v>0.2</v>
      </c>
      <c r="F467" s="707"/>
      <c r="G467" s="24">
        <f t="shared" si="77"/>
        <v>1</v>
      </c>
      <c r="H467" s="707"/>
      <c r="I467" s="24">
        <f t="shared" si="78"/>
        <v>1</v>
      </c>
      <c r="J467" s="707"/>
      <c r="K467" s="24">
        <f t="shared" si="79"/>
        <v>1</v>
      </c>
      <c r="L467" s="707"/>
      <c r="M467" s="24">
        <f t="shared" si="80"/>
        <v>1</v>
      </c>
      <c r="N467" s="707"/>
      <c r="O467" s="24">
        <f t="shared" si="81"/>
        <v>1</v>
      </c>
      <c r="P467" s="707"/>
      <c r="Q467" s="24">
        <f t="shared" si="82"/>
        <v>1</v>
      </c>
      <c r="R467" s="703">
        <f t="shared" si="83"/>
        <v>0</v>
      </c>
      <c r="S467" s="348">
        <f t="shared" si="84"/>
        <v>0</v>
      </c>
    </row>
    <row r="468" spans="1:19">
      <c r="A468" s="146"/>
      <c r="B468" s="59"/>
      <c r="C468" s="24">
        <f t="shared" si="75"/>
        <v>1</v>
      </c>
      <c r="D468" s="707"/>
      <c r="E468" s="24">
        <f t="shared" si="76"/>
        <v>0.2</v>
      </c>
      <c r="F468" s="707"/>
      <c r="G468" s="24">
        <f t="shared" si="77"/>
        <v>1</v>
      </c>
      <c r="H468" s="707"/>
      <c r="I468" s="24">
        <f t="shared" si="78"/>
        <v>1</v>
      </c>
      <c r="J468" s="707"/>
      <c r="K468" s="24">
        <f t="shared" si="79"/>
        <v>1</v>
      </c>
      <c r="L468" s="707"/>
      <c r="M468" s="24">
        <f t="shared" si="80"/>
        <v>1</v>
      </c>
      <c r="N468" s="707"/>
      <c r="O468" s="24">
        <f t="shared" si="81"/>
        <v>1</v>
      </c>
      <c r="P468" s="707"/>
      <c r="Q468" s="24">
        <f t="shared" si="82"/>
        <v>1</v>
      </c>
      <c r="R468" s="703">
        <f t="shared" si="83"/>
        <v>0</v>
      </c>
      <c r="S468" s="348">
        <f t="shared" ref="S468:S497" si="85">ROUND(R468*B468/10000,0)</f>
        <v>0</v>
      </c>
    </row>
    <row r="469" spans="1:19">
      <c r="A469" s="146"/>
      <c r="B469" s="59"/>
      <c r="C469" s="24">
        <f t="shared" si="75"/>
        <v>1</v>
      </c>
      <c r="D469" s="707"/>
      <c r="E469" s="24">
        <f t="shared" si="76"/>
        <v>0.2</v>
      </c>
      <c r="F469" s="707"/>
      <c r="G469" s="24">
        <f t="shared" si="77"/>
        <v>1</v>
      </c>
      <c r="H469" s="707"/>
      <c r="I469" s="24">
        <f t="shared" si="78"/>
        <v>1</v>
      </c>
      <c r="J469" s="707"/>
      <c r="K469" s="24">
        <f t="shared" si="79"/>
        <v>1</v>
      </c>
      <c r="L469" s="707"/>
      <c r="M469" s="24">
        <f t="shared" si="80"/>
        <v>1</v>
      </c>
      <c r="N469" s="707"/>
      <c r="O469" s="24">
        <f t="shared" si="81"/>
        <v>1</v>
      </c>
      <c r="P469" s="707"/>
      <c r="Q469" s="24">
        <f t="shared" si="82"/>
        <v>1</v>
      </c>
      <c r="R469" s="703">
        <f t="shared" si="83"/>
        <v>0</v>
      </c>
      <c r="S469" s="348">
        <f t="shared" si="85"/>
        <v>0</v>
      </c>
    </row>
    <row r="470" spans="1:19">
      <c r="A470" s="146"/>
      <c r="B470" s="59"/>
      <c r="C470" s="24">
        <f t="shared" si="75"/>
        <v>1</v>
      </c>
      <c r="D470" s="707"/>
      <c r="E470" s="24">
        <f t="shared" si="76"/>
        <v>0.2</v>
      </c>
      <c r="F470" s="707"/>
      <c r="G470" s="24">
        <f t="shared" si="77"/>
        <v>1</v>
      </c>
      <c r="H470" s="707"/>
      <c r="I470" s="24">
        <f t="shared" si="78"/>
        <v>1</v>
      </c>
      <c r="J470" s="707"/>
      <c r="K470" s="24">
        <f t="shared" si="79"/>
        <v>1</v>
      </c>
      <c r="L470" s="707"/>
      <c r="M470" s="24">
        <f t="shared" si="80"/>
        <v>1</v>
      </c>
      <c r="N470" s="707"/>
      <c r="O470" s="24">
        <f t="shared" si="81"/>
        <v>1</v>
      </c>
      <c r="P470" s="707"/>
      <c r="Q470" s="24">
        <f t="shared" si="82"/>
        <v>1</v>
      </c>
      <c r="R470" s="703">
        <f t="shared" si="83"/>
        <v>0</v>
      </c>
      <c r="S470" s="348">
        <f t="shared" si="85"/>
        <v>0</v>
      </c>
    </row>
    <row r="471" spans="1:19">
      <c r="A471" s="146"/>
      <c r="B471" s="59"/>
      <c r="C471" s="24">
        <f t="shared" si="75"/>
        <v>1</v>
      </c>
      <c r="D471" s="707"/>
      <c r="E471" s="24">
        <f t="shared" si="76"/>
        <v>0.2</v>
      </c>
      <c r="F471" s="707"/>
      <c r="G471" s="24">
        <f t="shared" si="77"/>
        <v>1</v>
      </c>
      <c r="H471" s="707"/>
      <c r="I471" s="24">
        <f t="shared" si="78"/>
        <v>1</v>
      </c>
      <c r="J471" s="707"/>
      <c r="K471" s="24">
        <f t="shared" si="79"/>
        <v>1</v>
      </c>
      <c r="L471" s="707"/>
      <c r="M471" s="24">
        <f t="shared" si="80"/>
        <v>1</v>
      </c>
      <c r="N471" s="707"/>
      <c r="O471" s="24">
        <f t="shared" si="81"/>
        <v>1</v>
      </c>
      <c r="P471" s="707"/>
      <c r="Q471" s="24">
        <f t="shared" si="82"/>
        <v>1</v>
      </c>
      <c r="R471" s="703">
        <f t="shared" si="83"/>
        <v>0</v>
      </c>
      <c r="S471" s="348">
        <f t="shared" si="85"/>
        <v>0</v>
      </c>
    </row>
    <row r="472" spans="1:19">
      <c r="A472" s="146"/>
      <c r="B472" s="59"/>
      <c r="C472" s="24">
        <f t="shared" si="75"/>
        <v>1</v>
      </c>
      <c r="D472" s="707"/>
      <c r="E472" s="24">
        <f t="shared" si="76"/>
        <v>0.2</v>
      </c>
      <c r="F472" s="707"/>
      <c r="G472" s="24">
        <f t="shared" si="77"/>
        <v>1</v>
      </c>
      <c r="H472" s="707"/>
      <c r="I472" s="24">
        <f t="shared" si="78"/>
        <v>1</v>
      </c>
      <c r="J472" s="707"/>
      <c r="K472" s="24">
        <f t="shared" si="79"/>
        <v>1</v>
      </c>
      <c r="L472" s="707"/>
      <c r="M472" s="24">
        <f t="shared" si="80"/>
        <v>1</v>
      </c>
      <c r="N472" s="707"/>
      <c r="O472" s="24">
        <f t="shared" si="81"/>
        <v>1</v>
      </c>
      <c r="P472" s="707"/>
      <c r="Q472" s="24">
        <f t="shared" si="82"/>
        <v>1</v>
      </c>
      <c r="R472" s="703">
        <f t="shared" si="83"/>
        <v>0</v>
      </c>
      <c r="S472" s="348">
        <f t="shared" si="85"/>
        <v>0</v>
      </c>
    </row>
    <row r="473" spans="1:19">
      <c r="A473" s="146"/>
      <c r="B473" s="59"/>
      <c r="C473" s="24">
        <f t="shared" si="75"/>
        <v>1</v>
      </c>
      <c r="D473" s="707"/>
      <c r="E473" s="24">
        <f t="shared" si="76"/>
        <v>0.2</v>
      </c>
      <c r="F473" s="707"/>
      <c r="G473" s="24">
        <f t="shared" si="77"/>
        <v>1</v>
      </c>
      <c r="H473" s="707"/>
      <c r="I473" s="24">
        <f t="shared" si="78"/>
        <v>1</v>
      </c>
      <c r="J473" s="707"/>
      <c r="K473" s="24">
        <f t="shared" si="79"/>
        <v>1</v>
      </c>
      <c r="L473" s="707"/>
      <c r="M473" s="24">
        <f t="shared" si="80"/>
        <v>1</v>
      </c>
      <c r="N473" s="707"/>
      <c r="O473" s="24">
        <f t="shared" si="81"/>
        <v>1</v>
      </c>
      <c r="P473" s="707"/>
      <c r="Q473" s="24">
        <f t="shared" si="82"/>
        <v>1</v>
      </c>
      <c r="R473" s="703">
        <f t="shared" si="83"/>
        <v>0</v>
      </c>
      <c r="S473" s="348">
        <f t="shared" si="85"/>
        <v>0</v>
      </c>
    </row>
    <row r="474" spans="1:19">
      <c r="A474" s="146"/>
      <c r="B474" s="59"/>
      <c r="C474" s="24">
        <f t="shared" ref="C474:C524" si="86">IF(B474="",1,(LOOKUP(B474,$3:$3,$4:$4)-LOOKUP($B$24,$3:$3,$4:$4)+100)/100)</f>
        <v>1</v>
      </c>
      <c r="D474" s="707"/>
      <c r="E474" s="24">
        <f t="shared" ref="E474:E524" si="87">(SUMIF($5:$5,D474,$6:$6)-SUMIF($5:$5,$D$24,$6:$6)+100)/100</f>
        <v>0.2</v>
      </c>
      <c r="F474" s="707"/>
      <c r="G474" s="24">
        <f t="shared" ref="G474:G524" si="88">(SUMIF($7:$7,F474,$8:$8)-SUMIF($7:$7,$F$24,$8:$8)+100)/100</f>
        <v>1</v>
      </c>
      <c r="H474" s="707"/>
      <c r="I474" s="24">
        <f t="shared" ref="I474:I524" si="89">(SUMIF($9:$9,H474,$10:$10)-SUMIF($9:$9,$H$24,$10:$10)+100)/100</f>
        <v>1</v>
      </c>
      <c r="J474" s="707"/>
      <c r="K474" s="24">
        <f t="shared" ref="K474:K524" si="90">(SUMIF($11:$11,J474,$12:$12)-SUMIF($11:$11,$J$24,$12:$12)+100)/100</f>
        <v>1</v>
      </c>
      <c r="L474" s="707"/>
      <c r="M474" s="24">
        <f t="shared" ref="M474:M524" si="91">(SUMIF($13:$13,L474,$14:$14)-SUMIF($13:$13,$L$24,$14:$14)+100)/100</f>
        <v>1</v>
      </c>
      <c r="N474" s="707"/>
      <c r="O474" s="24">
        <f t="shared" ref="O474:O524" si="92">(SUMIF($15:$15,N474,$16:$16)-SUMIF($15:$15,$N$24,$16:$16)+100)/100</f>
        <v>1</v>
      </c>
      <c r="P474" s="707"/>
      <c r="Q474" s="24">
        <f t="shared" ref="Q474:Q524" si="93">(SUMIF($17:$17,P474,$18:$18)-SUMIF($17:$17,$P$24,$18:$18)+100)/100</f>
        <v>1</v>
      </c>
      <c r="R474" s="703">
        <f t="shared" ref="R474:R524" si="94">IF(B474="",0,ROUND($R$24*C474*E474*G474*I474*K474*M474*O474*Q474,0))</f>
        <v>0</v>
      </c>
      <c r="S474" s="348">
        <f t="shared" si="85"/>
        <v>0</v>
      </c>
    </row>
    <row r="475" spans="1:19">
      <c r="A475" s="146"/>
      <c r="B475" s="59"/>
      <c r="C475" s="24">
        <f t="shared" si="86"/>
        <v>1</v>
      </c>
      <c r="D475" s="707"/>
      <c r="E475" s="24">
        <f t="shared" si="87"/>
        <v>0.2</v>
      </c>
      <c r="F475" s="707"/>
      <c r="G475" s="24">
        <f t="shared" si="88"/>
        <v>1</v>
      </c>
      <c r="H475" s="707"/>
      <c r="I475" s="24">
        <f t="shared" si="89"/>
        <v>1</v>
      </c>
      <c r="J475" s="707"/>
      <c r="K475" s="24">
        <f t="shared" si="90"/>
        <v>1</v>
      </c>
      <c r="L475" s="707"/>
      <c r="M475" s="24">
        <f t="shared" si="91"/>
        <v>1</v>
      </c>
      <c r="N475" s="707"/>
      <c r="O475" s="24">
        <f t="shared" si="92"/>
        <v>1</v>
      </c>
      <c r="P475" s="707"/>
      <c r="Q475" s="24">
        <f t="shared" si="93"/>
        <v>1</v>
      </c>
      <c r="R475" s="703">
        <f t="shared" si="94"/>
        <v>0</v>
      </c>
      <c r="S475" s="348">
        <f t="shared" si="85"/>
        <v>0</v>
      </c>
    </row>
    <row r="476" spans="1:19">
      <c r="A476" s="146"/>
      <c r="B476" s="59"/>
      <c r="C476" s="24">
        <f t="shared" si="86"/>
        <v>1</v>
      </c>
      <c r="D476" s="707"/>
      <c r="E476" s="24">
        <f t="shared" si="87"/>
        <v>0.2</v>
      </c>
      <c r="F476" s="707"/>
      <c r="G476" s="24">
        <f t="shared" si="88"/>
        <v>1</v>
      </c>
      <c r="H476" s="707"/>
      <c r="I476" s="24">
        <f t="shared" si="89"/>
        <v>1</v>
      </c>
      <c r="J476" s="707"/>
      <c r="K476" s="24">
        <f t="shared" si="90"/>
        <v>1</v>
      </c>
      <c r="L476" s="707"/>
      <c r="M476" s="24">
        <f t="shared" si="91"/>
        <v>1</v>
      </c>
      <c r="N476" s="707"/>
      <c r="O476" s="24">
        <f t="shared" si="92"/>
        <v>1</v>
      </c>
      <c r="P476" s="707"/>
      <c r="Q476" s="24">
        <f t="shared" si="93"/>
        <v>1</v>
      </c>
      <c r="R476" s="703">
        <f t="shared" si="94"/>
        <v>0</v>
      </c>
      <c r="S476" s="348">
        <f t="shared" si="85"/>
        <v>0</v>
      </c>
    </row>
    <row r="477" spans="1:19">
      <c r="A477" s="146"/>
      <c r="B477" s="59"/>
      <c r="C477" s="24">
        <f t="shared" si="86"/>
        <v>1</v>
      </c>
      <c r="D477" s="707"/>
      <c r="E477" s="24">
        <f t="shared" si="87"/>
        <v>0.2</v>
      </c>
      <c r="F477" s="707"/>
      <c r="G477" s="24">
        <f t="shared" si="88"/>
        <v>1</v>
      </c>
      <c r="H477" s="707"/>
      <c r="I477" s="24">
        <f t="shared" si="89"/>
        <v>1</v>
      </c>
      <c r="J477" s="707"/>
      <c r="K477" s="24">
        <f t="shared" si="90"/>
        <v>1</v>
      </c>
      <c r="L477" s="707"/>
      <c r="M477" s="24">
        <f t="shared" si="91"/>
        <v>1</v>
      </c>
      <c r="N477" s="707"/>
      <c r="O477" s="24">
        <f t="shared" si="92"/>
        <v>1</v>
      </c>
      <c r="P477" s="707"/>
      <c r="Q477" s="24">
        <f t="shared" si="93"/>
        <v>1</v>
      </c>
      <c r="R477" s="703">
        <f t="shared" si="94"/>
        <v>0</v>
      </c>
      <c r="S477" s="348">
        <f t="shared" si="85"/>
        <v>0</v>
      </c>
    </row>
    <row r="478" spans="1:19">
      <c r="A478" s="146"/>
      <c r="B478" s="59"/>
      <c r="C478" s="24">
        <f t="shared" si="86"/>
        <v>1</v>
      </c>
      <c r="D478" s="707"/>
      <c r="E478" s="24">
        <f t="shared" si="87"/>
        <v>0.2</v>
      </c>
      <c r="F478" s="707"/>
      <c r="G478" s="24">
        <f t="shared" si="88"/>
        <v>1</v>
      </c>
      <c r="H478" s="707"/>
      <c r="I478" s="24">
        <f t="shared" si="89"/>
        <v>1</v>
      </c>
      <c r="J478" s="707"/>
      <c r="K478" s="24">
        <f t="shared" si="90"/>
        <v>1</v>
      </c>
      <c r="L478" s="707"/>
      <c r="M478" s="24">
        <f t="shared" si="91"/>
        <v>1</v>
      </c>
      <c r="N478" s="707"/>
      <c r="O478" s="24">
        <f t="shared" si="92"/>
        <v>1</v>
      </c>
      <c r="P478" s="707"/>
      <c r="Q478" s="24">
        <f t="shared" si="93"/>
        <v>1</v>
      </c>
      <c r="R478" s="703">
        <f t="shared" si="94"/>
        <v>0</v>
      </c>
      <c r="S478" s="348">
        <f t="shared" si="85"/>
        <v>0</v>
      </c>
    </row>
    <row r="479" spans="1:19">
      <c r="A479" s="146"/>
      <c r="B479" s="59"/>
      <c r="C479" s="24">
        <f t="shared" si="86"/>
        <v>1</v>
      </c>
      <c r="D479" s="707"/>
      <c r="E479" s="24">
        <f t="shared" si="87"/>
        <v>0.2</v>
      </c>
      <c r="F479" s="707"/>
      <c r="G479" s="24">
        <f t="shared" si="88"/>
        <v>1</v>
      </c>
      <c r="H479" s="707"/>
      <c r="I479" s="24">
        <f t="shared" si="89"/>
        <v>1</v>
      </c>
      <c r="J479" s="707"/>
      <c r="K479" s="24">
        <f t="shared" si="90"/>
        <v>1</v>
      </c>
      <c r="L479" s="707"/>
      <c r="M479" s="24">
        <f t="shared" si="91"/>
        <v>1</v>
      </c>
      <c r="N479" s="707"/>
      <c r="O479" s="24">
        <f t="shared" si="92"/>
        <v>1</v>
      </c>
      <c r="P479" s="707"/>
      <c r="Q479" s="24">
        <f t="shared" si="93"/>
        <v>1</v>
      </c>
      <c r="R479" s="703">
        <f t="shared" si="94"/>
        <v>0</v>
      </c>
      <c r="S479" s="348">
        <f t="shared" si="85"/>
        <v>0</v>
      </c>
    </row>
    <row r="480" spans="1:19">
      <c r="A480" s="146"/>
      <c r="B480" s="59"/>
      <c r="C480" s="24">
        <f t="shared" si="86"/>
        <v>1</v>
      </c>
      <c r="D480" s="707"/>
      <c r="E480" s="24">
        <f t="shared" si="87"/>
        <v>0.2</v>
      </c>
      <c r="F480" s="707"/>
      <c r="G480" s="24">
        <f t="shared" si="88"/>
        <v>1</v>
      </c>
      <c r="H480" s="707"/>
      <c r="I480" s="24">
        <f t="shared" si="89"/>
        <v>1</v>
      </c>
      <c r="J480" s="707"/>
      <c r="K480" s="24">
        <f t="shared" si="90"/>
        <v>1</v>
      </c>
      <c r="L480" s="707"/>
      <c r="M480" s="24">
        <f t="shared" si="91"/>
        <v>1</v>
      </c>
      <c r="N480" s="707"/>
      <c r="O480" s="24">
        <f t="shared" si="92"/>
        <v>1</v>
      </c>
      <c r="P480" s="707"/>
      <c r="Q480" s="24">
        <f t="shared" si="93"/>
        <v>1</v>
      </c>
      <c r="R480" s="703">
        <f t="shared" si="94"/>
        <v>0</v>
      </c>
      <c r="S480" s="348">
        <f t="shared" si="85"/>
        <v>0</v>
      </c>
    </row>
    <row r="481" spans="1:19">
      <c r="A481" s="146"/>
      <c r="B481" s="59"/>
      <c r="C481" s="24">
        <f t="shared" si="86"/>
        <v>1</v>
      </c>
      <c r="D481" s="707"/>
      <c r="E481" s="24">
        <f t="shared" si="87"/>
        <v>0.2</v>
      </c>
      <c r="F481" s="707"/>
      <c r="G481" s="24">
        <f t="shared" si="88"/>
        <v>1</v>
      </c>
      <c r="H481" s="707"/>
      <c r="I481" s="24">
        <f t="shared" si="89"/>
        <v>1</v>
      </c>
      <c r="J481" s="707"/>
      <c r="K481" s="24">
        <f t="shared" si="90"/>
        <v>1</v>
      </c>
      <c r="L481" s="707"/>
      <c r="M481" s="24">
        <f t="shared" si="91"/>
        <v>1</v>
      </c>
      <c r="N481" s="707"/>
      <c r="O481" s="24">
        <f t="shared" si="92"/>
        <v>1</v>
      </c>
      <c r="P481" s="707"/>
      <c r="Q481" s="24">
        <f t="shared" si="93"/>
        <v>1</v>
      </c>
      <c r="R481" s="703">
        <f t="shared" si="94"/>
        <v>0</v>
      </c>
      <c r="S481" s="348">
        <f t="shared" si="85"/>
        <v>0</v>
      </c>
    </row>
    <row r="482" spans="1:19">
      <c r="A482" s="146"/>
      <c r="B482" s="59"/>
      <c r="C482" s="24">
        <f t="shared" si="86"/>
        <v>1</v>
      </c>
      <c r="D482" s="707"/>
      <c r="E482" s="24">
        <f t="shared" si="87"/>
        <v>0.2</v>
      </c>
      <c r="F482" s="707"/>
      <c r="G482" s="24">
        <f t="shared" si="88"/>
        <v>1</v>
      </c>
      <c r="H482" s="707"/>
      <c r="I482" s="24">
        <f t="shared" si="89"/>
        <v>1</v>
      </c>
      <c r="J482" s="707"/>
      <c r="K482" s="24">
        <f t="shared" si="90"/>
        <v>1</v>
      </c>
      <c r="L482" s="707"/>
      <c r="M482" s="24">
        <f t="shared" si="91"/>
        <v>1</v>
      </c>
      <c r="N482" s="707"/>
      <c r="O482" s="24">
        <f t="shared" si="92"/>
        <v>1</v>
      </c>
      <c r="P482" s="707"/>
      <c r="Q482" s="24">
        <f t="shared" si="93"/>
        <v>1</v>
      </c>
      <c r="R482" s="703">
        <f t="shared" si="94"/>
        <v>0</v>
      </c>
      <c r="S482" s="348">
        <f t="shared" si="85"/>
        <v>0</v>
      </c>
    </row>
    <row r="483" spans="1:19">
      <c r="A483" s="146"/>
      <c r="B483" s="59"/>
      <c r="C483" s="24">
        <f t="shared" si="86"/>
        <v>1</v>
      </c>
      <c r="D483" s="707"/>
      <c r="E483" s="24">
        <f t="shared" si="87"/>
        <v>0.2</v>
      </c>
      <c r="F483" s="707"/>
      <c r="G483" s="24">
        <f t="shared" si="88"/>
        <v>1</v>
      </c>
      <c r="H483" s="707"/>
      <c r="I483" s="24">
        <f t="shared" si="89"/>
        <v>1</v>
      </c>
      <c r="J483" s="707"/>
      <c r="K483" s="24">
        <f t="shared" si="90"/>
        <v>1</v>
      </c>
      <c r="L483" s="707"/>
      <c r="M483" s="24">
        <f t="shared" si="91"/>
        <v>1</v>
      </c>
      <c r="N483" s="707"/>
      <c r="O483" s="24">
        <f t="shared" si="92"/>
        <v>1</v>
      </c>
      <c r="P483" s="707"/>
      <c r="Q483" s="24">
        <f t="shared" si="93"/>
        <v>1</v>
      </c>
      <c r="R483" s="703">
        <f t="shared" si="94"/>
        <v>0</v>
      </c>
      <c r="S483" s="348">
        <f t="shared" si="85"/>
        <v>0</v>
      </c>
    </row>
    <row r="484" spans="1:19">
      <c r="A484" s="146"/>
      <c r="B484" s="59"/>
      <c r="C484" s="24">
        <f t="shared" si="86"/>
        <v>1</v>
      </c>
      <c r="D484" s="707"/>
      <c r="E484" s="24">
        <f t="shared" si="87"/>
        <v>0.2</v>
      </c>
      <c r="F484" s="707"/>
      <c r="G484" s="24">
        <f t="shared" si="88"/>
        <v>1</v>
      </c>
      <c r="H484" s="707"/>
      <c r="I484" s="24">
        <f t="shared" si="89"/>
        <v>1</v>
      </c>
      <c r="J484" s="707"/>
      <c r="K484" s="24">
        <f t="shared" si="90"/>
        <v>1</v>
      </c>
      <c r="L484" s="707"/>
      <c r="M484" s="24">
        <f t="shared" si="91"/>
        <v>1</v>
      </c>
      <c r="N484" s="707"/>
      <c r="O484" s="24">
        <f t="shared" si="92"/>
        <v>1</v>
      </c>
      <c r="P484" s="707"/>
      <c r="Q484" s="24">
        <f t="shared" si="93"/>
        <v>1</v>
      </c>
      <c r="R484" s="703">
        <f t="shared" si="94"/>
        <v>0</v>
      </c>
      <c r="S484" s="348">
        <f t="shared" si="85"/>
        <v>0</v>
      </c>
    </row>
    <row r="485" spans="1:19">
      <c r="A485" s="146"/>
      <c r="B485" s="59"/>
      <c r="C485" s="24">
        <f t="shared" si="86"/>
        <v>1</v>
      </c>
      <c r="D485" s="707"/>
      <c r="E485" s="24">
        <f t="shared" si="87"/>
        <v>0.2</v>
      </c>
      <c r="F485" s="707"/>
      <c r="G485" s="24">
        <f t="shared" si="88"/>
        <v>1</v>
      </c>
      <c r="H485" s="707"/>
      <c r="I485" s="24">
        <f t="shared" si="89"/>
        <v>1</v>
      </c>
      <c r="J485" s="707"/>
      <c r="K485" s="24">
        <f t="shared" si="90"/>
        <v>1</v>
      </c>
      <c r="L485" s="707"/>
      <c r="M485" s="24">
        <f t="shared" si="91"/>
        <v>1</v>
      </c>
      <c r="N485" s="707"/>
      <c r="O485" s="24">
        <f t="shared" si="92"/>
        <v>1</v>
      </c>
      <c r="P485" s="707"/>
      <c r="Q485" s="24">
        <f t="shared" si="93"/>
        <v>1</v>
      </c>
      <c r="R485" s="703">
        <f t="shared" si="94"/>
        <v>0</v>
      </c>
      <c r="S485" s="348">
        <f t="shared" si="85"/>
        <v>0</v>
      </c>
    </row>
    <row r="486" spans="1:19">
      <c r="A486" s="146"/>
      <c r="B486" s="59"/>
      <c r="C486" s="24">
        <f t="shared" si="86"/>
        <v>1</v>
      </c>
      <c r="D486" s="707"/>
      <c r="E486" s="24">
        <f t="shared" si="87"/>
        <v>0.2</v>
      </c>
      <c r="F486" s="707"/>
      <c r="G486" s="24">
        <f t="shared" si="88"/>
        <v>1</v>
      </c>
      <c r="H486" s="707"/>
      <c r="I486" s="24">
        <f t="shared" si="89"/>
        <v>1</v>
      </c>
      <c r="J486" s="707"/>
      <c r="K486" s="24">
        <f t="shared" si="90"/>
        <v>1</v>
      </c>
      <c r="L486" s="707"/>
      <c r="M486" s="24">
        <f t="shared" si="91"/>
        <v>1</v>
      </c>
      <c r="N486" s="707"/>
      <c r="O486" s="24">
        <f t="shared" si="92"/>
        <v>1</v>
      </c>
      <c r="P486" s="707"/>
      <c r="Q486" s="24">
        <f t="shared" si="93"/>
        <v>1</v>
      </c>
      <c r="R486" s="703">
        <f t="shared" si="94"/>
        <v>0</v>
      </c>
      <c r="S486" s="348">
        <f t="shared" si="85"/>
        <v>0</v>
      </c>
    </row>
    <row r="487" spans="1:19">
      <c r="A487" s="146"/>
      <c r="B487" s="59"/>
      <c r="C487" s="24">
        <f t="shared" si="86"/>
        <v>1</v>
      </c>
      <c r="D487" s="707"/>
      <c r="E487" s="24">
        <f t="shared" si="87"/>
        <v>0.2</v>
      </c>
      <c r="F487" s="707"/>
      <c r="G487" s="24">
        <f t="shared" si="88"/>
        <v>1</v>
      </c>
      <c r="H487" s="707"/>
      <c r="I487" s="24">
        <f t="shared" si="89"/>
        <v>1</v>
      </c>
      <c r="J487" s="707"/>
      <c r="K487" s="24">
        <f t="shared" si="90"/>
        <v>1</v>
      </c>
      <c r="L487" s="707"/>
      <c r="M487" s="24">
        <f t="shared" si="91"/>
        <v>1</v>
      </c>
      <c r="N487" s="707"/>
      <c r="O487" s="24">
        <f t="shared" si="92"/>
        <v>1</v>
      </c>
      <c r="P487" s="707"/>
      <c r="Q487" s="24">
        <f t="shared" si="93"/>
        <v>1</v>
      </c>
      <c r="R487" s="703">
        <f t="shared" si="94"/>
        <v>0</v>
      </c>
      <c r="S487" s="348">
        <f t="shared" si="85"/>
        <v>0</v>
      </c>
    </row>
    <row r="488" spans="1:19">
      <c r="A488" s="146"/>
      <c r="B488" s="59"/>
      <c r="C488" s="24">
        <f t="shared" si="86"/>
        <v>1</v>
      </c>
      <c r="D488" s="707"/>
      <c r="E488" s="24">
        <f t="shared" si="87"/>
        <v>0.2</v>
      </c>
      <c r="F488" s="707"/>
      <c r="G488" s="24">
        <f t="shared" si="88"/>
        <v>1</v>
      </c>
      <c r="H488" s="707"/>
      <c r="I488" s="24">
        <f t="shared" si="89"/>
        <v>1</v>
      </c>
      <c r="J488" s="707"/>
      <c r="K488" s="24">
        <f t="shared" si="90"/>
        <v>1</v>
      </c>
      <c r="L488" s="707"/>
      <c r="M488" s="24">
        <f t="shared" si="91"/>
        <v>1</v>
      </c>
      <c r="N488" s="707"/>
      <c r="O488" s="24">
        <f t="shared" si="92"/>
        <v>1</v>
      </c>
      <c r="P488" s="707"/>
      <c r="Q488" s="24">
        <f t="shared" si="93"/>
        <v>1</v>
      </c>
      <c r="R488" s="703">
        <f t="shared" si="94"/>
        <v>0</v>
      </c>
      <c r="S488" s="348">
        <f t="shared" si="85"/>
        <v>0</v>
      </c>
    </row>
    <row r="489" spans="1:19">
      <c r="A489" s="146"/>
      <c r="B489" s="59"/>
      <c r="C489" s="24">
        <f t="shared" si="86"/>
        <v>1</v>
      </c>
      <c r="D489" s="707"/>
      <c r="E489" s="24">
        <f t="shared" si="87"/>
        <v>0.2</v>
      </c>
      <c r="F489" s="707"/>
      <c r="G489" s="24">
        <f t="shared" si="88"/>
        <v>1</v>
      </c>
      <c r="H489" s="707"/>
      <c r="I489" s="24">
        <f t="shared" si="89"/>
        <v>1</v>
      </c>
      <c r="J489" s="707"/>
      <c r="K489" s="24">
        <f t="shared" si="90"/>
        <v>1</v>
      </c>
      <c r="L489" s="707"/>
      <c r="M489" s="24">
        <f t="shared" si="91"/>
        <v>1</v>
      </c>
      <c r="N489" s="707"/>
      <c r="O489" s="24">
        <f t="shared" si="92"/>
        <v>1</v>
      </c>
      <c r="P489" s="707"/>
      <c r="Q489" s="24">
        <f t="shared" si="93"/>
        <v>1</v>
      </c>
      <c r="R489" s="703">
        <f t="shared" si="94"/>
        <v>0</v>
      </c>
      <c r="S489" s="348">
        <f t="shared" si="85"/>
        <v>0</v>
      </c>
    </row>
    <row r="490" spans="1:19">
      <c r="A490" s="146"/>
      <c r="B490" s="59"/>
      <c r="C490" s="24">
        <f t="shared" si="86"/>
        <v>1</v>
      </c>
      <c r="D490" s="707"/>
      <c r="E490" s="24">
        <f t="shared" si="87"/>
        <v>0.2</v>
      </c>
      <c r="F490" s="707"/>
      <c r="G490" s="24">
        <f t="shared" si="88"/>
        <v>1</v>
      </c>
      <c r="H490" s="707"/>
      <c r="I490" s="24">
        <f t="shared" si="89"/>
        <v>1</v>
      </c>
      <c r="J490" s="707"/>
      <c r="K490" s="24">
        <f t="shared" si="90"/>
        <v>1</v>
      </c>
      <c r="L490" s="707"/>
      <c r="M490" s="24">
        <f t="shared" si="91"/>
        <v>1</v>
      </c>
      <c r="N490" s="707"/>
      <c r="O490" s="24">
        <f t="shared" si="92"/>
        <v>1</v>
      </c>
      <c r="P490" s="707"/>
      <c r="Q490" s="24">
        <f t="shared" si="93"/>
        <v>1</v>
      </c>
      <c r="R490" s="703">
        <f t="shared" si="94"/>
        <v>0</v>
      </c>
      <c r="S490" s="348">
        <f t="shared" si="85"/>
        <v>0</v>
      </c>
    </row>
    <row r="491" spans="1:19">
      <c r="A491" s="146"/>
      <c r="B491" s="59"/>
      <c r="C491" s="24">
        <f t="shared" si="86"/>
        <v>1</v>
      </c>
      <c r="D491" s="707"/>
      <c r="E491" s="24">
        <f t="shared" si="87"/>
        <v>0.2</v>
      </c>
      <c r="F491" s="707"/>
      <c r="G491" s="24">
        <f t="shared" si="88"/>
        <v>1</v>
      </c>
      <c r="H491" s="707"/>
      <c r="I491" s="24">
        <f t="shared" si="89"/>
        <v>1</v>
      </c>
      <c r="J491" s="707"/>
      <c r="K491" s="24">
        <f t="shared" si="90"/>
        <v>1</v>
      </c>
      <c r="L491" s="707"/>
      <c r="M491" s="24">
        <f t="shared" si="91"/>
        <v>1</v>
      </c>
      <c r="N491" s="707"/>
      <c r="O491" s="24">
        <f t="shared" si="92"/>
        <v>1</v>
      </c>
      <c r="P491" s="707"/>
      <c r="Q491" s="24">
        <f t="shared" si="93"/>
        <v>1</v>
      </c>
      <c r="R491" s="703">
        <f t="shared" si="94"/>
        <v>0</v>
      </c>
      <c r="S491" s="348">
        <f t="shared" si="85"/>
        <v>0</v>
      </c>
    </row>
    <row r="492" spans="1:19">
      <c r="A492" s="146"/>
      <c r="B492" s="59"/>
      <c r="C492" s="24">
        <f t="shared" si="86"/>
        <v>1</v>
      </c>
      <c r="D492" s="707"/>
      <c r="E492" s="24">
        <f t="shared" si="87"/>
        <v>0.2</v>
      </c>
      <c r="F492" s="707"/>
      <c r="G492" s="24">
        <f t="shared" si="88"/>
        <v>1</v>
      </c>
      <c r="H492" s="707"/>
      <c r="I492" s="24">
        <f t="shared" si="89"/>
        <v>1</v>
      </c>
      <c r="J492" s="707"/>
      <c r="K492" s="24">
        <f t="shared" si="90"/>
        <v>1</v>
      </c>
      <c r="L492" s="707"/>
      <c r="M492" s="24">
        <f t="shared" si="91"/>
        <v>1</v>
      </c>
      <c r="N492" s="707"/>
      <c r="O492" s="24">
        <f t="shared" si="92"/>
        <v>1</v>
      </c>
      <c r="P492" s="707"/>
      <c r="Q492" s="24">
        <f t="shared" si="93"/>
        <v>1</v>
      </c>
      <c r="R492" s="703">
        <f t="shared" si="94"/>
        <v>0</v>
      </c>
      <c r="S492" s="348">
        <f t="shared" si="85"/>
        <v>0</v>
      </c>
    </row>
    <row r="493" spans="1:19">
      <c r="A493" s="146"/>
      <c r="B493" s="59"/>
      <c r="C493" s="24">
        <f t="shared" si="86"/>
        <v>1</v>
      </c>
      <c r="D493" s="707"/>
      <c r="E493" s="24">
        <f t="shared" si="87"/>
        <v>0.2</v>
      </c>
      <c r="F493" s="707"/>
      <c r="G493" s="24">
        <f t="shared" si="88"/>
        <v>1</v>
      </c>
      <c r="H493" s="707"/>
      <c r="I493" s="24">
        <f t="shared" si="89"/>
        <v>1</v>
      </c>
      <c r="J493" s="707"/>
      <c r="K493" s="24">
        <f t="shared" si="90"/>
        <v>1</v>
      </c>
      <c r="L493" s="707"/>
      <c r="M493" s="24">
        <f t="shared" si="91"/>
        <v>1</v>
      </c>
      <c r="N493" s="707"/>
      <c r="O493" s="24">
        <f t="shared" si="92"/>
        <v>1</v>
      </c>
      <c r="P493" s="707"/>
      <c r="Q493" s="24">
        <f t="shared" si="93"/>
        <v>1</v>
      </c>
      <c r="R493" s="703">
        <f t="shared" si="94"/>
        <v>0</v>
      </c>
      <c r="S493" s="348">
        <f t="shared" si="85"/>
        <v>0</v>
      </c>
    </row>
    <row r="494" spans="1:19">
      <c r="A494" s="146"/>
      <c r="B494" s="59"/>
      <c r="C494" s="24">
        <f t="shared" si="86"/>
        <v>1</v>
      </c>
      <c r="D494" s="707"/>
      <c r="E494" s="24">
        <f t="shared" si="87"/>
        <v>0.2</v>
      </c>
      <c r="F494" s="707"/>
      <c r="G494" s="24">
        <f t="shared" si="88"/>
        <v>1</v>
      </c>
      <c r="H494" s="707"/>
      <c r="I494" s="24">
        <f t="shared" si="89"/>
        <v>1</v>
      </c>
      <c r="J494" s="707"/>
      <c r="K494" s="24">
        <f t="shared" si="90"/>
        <v>1</v>
      </c>
      <c r="L494" s="707"/>
      <c r="M494" s="24">
        <f t="shared" si="91"/>
        <v>1</v>
      </c>
      <c r="N494" s="707"/>
      <c r="O494" s="24">
        <f t="shared" si="92"/>
        <v>1</v>
      </c>
      <c r="P494" s="707"/>
      <c r="Q494" s="24">
        <f t="shared" si="93"/>
        <v>1</v>
      </c>
      <c r="R494" s="703">
        <f t="shared" si="94"/>
        <v>0</v>
      </c>
      <c r="S494" s="348">
        <f t="shared" si="85"/>
        <v>0</v>
      </c>
    </row>
    <row r="495" spans="1:19">
      <c r="A495" s="146"/>
      <c r="B495" s="59"/>
      <c r="C495" s="24">
        <f t="shared" si="86"/>
        <v>1</v>
      </c>
      <c r="D495" s="707"/>
      <c r="E495" s="24">
        <f t="shared" si="87"/>
        <v>0.2</v>
      </c>
      <c r="F495" s="707"/>
      <c r="G495" s="24">
        <f t="shared" si="88"/>
        <v>1</v>
      </c>
      <c r="H495" s="707"/>
      <c r="I495" s="24">
        <f t="shared" si="89"/>
        <v>1</v>
      </c>
      <c r="J495" s="707"/>
      <c r="K495" s="24">
        <f t="shared" si="90"/>
        <v>1</v>
      </c>
      <c r="L495" s="707"/>
      <c r="M495" s="24">
        <f t="shared" si="91"/>
        <v>1</v>
      </c>
      <c r="N495" s="707"/>
      <c r="O495" s="24">
        <f t="shared" si="92"/>
        <v>1</v>
      </c>
      <c r="P495" s="707"/>
      <c r="Q495" s="24">
        <f t="shared" si="93"/>
        <v>1</v>
      </c>
      <c r="R495" s="703">
        <f t="shared" si="94"/>
        <v>0</v>
      </c>
      <c r="S495" s="348">
        <f t="shared" si="85"/>
        <v>0</v>
      </c>
    </row>
    <row r="496" spans="1:19">
      <c r="A496" s="146"/>
      <c r="B496" s="59"/>
      <c r="C496" s="24">
        <f t="shared" si="86"/>
        <v>1</v>
      </c>
      <c r="D496" s="707"/>
      <c r="E496" s="24">
        <f t="shared" si="87"/>
        <v>0.2</v>
      </c>
      <c r="F496" s="707"/>
      <c r="G496" s="24">
        <f t="shared" si="88"/>
        <v>1</v>
      </c>
      <c r="H496" s="707"/>
      <c r="I496" s="24">
        <f t="shared" si="89"/>
        <v>1</v>
      </c>
      <c r="J496" s="707"/>
      <c r="K496" s="24">
        <f t="shared" si="90"/>
        <v>1</v>
      </c>
      <c r="L496" s="707"/>
      <c r="M496" s="24">
        <f t="shared" si="91"/>
        <v>1</v>
      </c>
      <c r="N496" s="707"/>
      <c r="O496" s="24">
        <f t="shared" si="92"/>
        <v>1</v>
      </c>
      <c r="P496" s="707"/>
      <c r="Q496" s="24">
        <f t="shared" si="93"/>
        <v>1</v>
      </c>
      <c r="R496" s="703">
        <f t="shared" si="94"/>
        <v>0</v>
      </c>
      <c r="S496" s="348">
        <f t="shared" si="85"/>
        <v>0</v>
      </c>
    </row>
    <row r="497" spans="1:19">
      <c r="A497" s="146"/>
      <c r="B497" s="59"/>
      <c r="C497" s="24">
        <f t="shared" si="86"/>
        <v>1</v>
      </c>
      <c r="D497" s="707"/>
      <c r="E497" s="24">
        <f t="shared" si="87"/>
        <v>0.2</v>
      </c>
      <c r="F497" s="707"/>
      <c r="G497" s="24">
        <f t="shared" si="88"/>
        <v>1</v>
      </c>
      <c r="H497" s="707"/>
      <c r="I497" s="24">
        <f t="shared" si="89"/>
        <v>1</v>
      </c>
      <c r="J497" s="707"/>
      <c r="K497" s="24">
        <f t="shared" si="90"/>
        <v>1</v>
      </c>
      <c r="L497" s="707"/>
      <c r="M497" s="24">
        <f t="shared" si="91"/>
        <v>1</v>
      </c>
      <c r="N497" s="707"/>
      <c r="O497" s="24">
        <f t="shared" si="92"/>
        <v>1</v>
      </c>
      <c r="P497" s="707"/>
      <c r="Q497" s="24">
        <f t="shared" si="93"/>
        <v>1</v>
      </c>
      <c r="R497" s="703">
        <f t="shared" si="94"/>
        <v>0</v>
      </c>
      <c r="S497" s="348">
        <f t="shared" si="85"/>
        <v>0</v>
      </c>
    </row>
    <row r="498" spans="1:19">
      <c r="A498" s="146"/>
      <c r="B498" s="59"/>
      <c r="C498" s="24">
        <f t="shared" si="86"/>
        <v>1</v>
      </c>
      <c r="D498" s="707"/>
      <c r="E498" s="24">
        <f t="shared" si="87"/>
        <v>0.2</v>
      </c>
      <c r="F498" s="707"/>
      <c r="G498" s="24">
        <f t="shared" si="88"/>
        <v>1</v>
      </c>
      <c r="H498" s="707"/>
      <c r="I498" s="24">
        <f t="shared" si="89"/>
        <v>1</v>
      </c>
      <c r="J498" s="707"/>
      <c r="K498" s="24">
        <f t="shared" si="90"/>
        <v>1</v>
      </c>
      <c r="L498" s="707"/>
      <c r="M498" s="24">
        <f t="shared" si="91"/>
        <v>1</v>
      </c>
      <c r="N498" s="707"/>
      <c r="O498" s="24">
        <f t="shared" si="92"/>
        <v>1</v>
      </c>
      <c r="P498" s="707"/>
      <c r="Q498" s="24">
        <f t="shared" si="93"/>
        <v>1</v>
      </c>
      <c r="R498" s="703">
        <f t="shared" si="94"/>
        <v>0</v>
      </c>
      <c r="S498" s="348">
        <f t="shared" ref="S498:S524" si="95">ROUND(R498*B498/10000,0)</f>
        <v>0</v>
      </c>
    </row>
    <row r="499" spans="1:19">
      <c r="A499" s="146"/>
      <c r="B499" s="59"/>
      <c r="C499" s="24">
        <f t="shared" si="86"/>
        <v>1</v>
      </c>
      <c r="D499" s="707"/>
      <c r="E499" s="24">
        <f t="shared" si="87"/>
        <v>0.2</v>
      </c>
      <c r="F499" s="707"/>
      <c r="G499" s="24">
        <f t="shared" si="88"/>
        <v>1</v>
      </c>
      <c r="H499" s="707"/>
      <c r="I499" s="24">
        <f t="shared" si="89"/>
        <v>1</v>
      </c>
      <c r="J499" s="707"/>
      <c r="K499" s="24">
        <f t="shared" si="90"/>
        <v>1</v>
      </c>
      <c r="L499" s="707"/>
      <c r="M499" s="24">
        <f t="shared" si="91"/>
        <v>1</v>
      </c>
      <c r="N499" s="707"/>
      <c r="O499" s="24">
        <f t="shared" si="92"/>
        <v>1</v>
      </c>
      <c r="P499" s="707"/>
      <c r="Q499" s="24">
        <f t="shared" si="93"/>
        <v>1</v>
      </c>
      <c r="R499" s="703">
        <f t="shared" si="94"/>
        <v>0</v>
      </c>
      <c r="S499" s="348">
        <f t="shared" si="95"/>
        <v>0</v>
      </c>
    </row>
    <row r="500" spans="1:19">
      <c r="A500" s="146"/>
      <c r="B500" s="59"/>
      <c r="C500" s="24">
        <f t="shared" si="86"/>
        <v>1</v>
      </c>
      <c r="D500" s="707"/>
      <c r="E500" s="24">
        <f t="shared" si="87"/>
        <v>0.2</v>
      </c>
      <c r="F500" s="707"/>
      <c r="G500" s="24">
        <f t="shared" si="88"/>
        <v>1</v>
      </c>
      <c r="H500" s="707"/>
      <c r="I500" s="24">
        <f t="shared" si="89"/>
        <v>1</v>
      </c>
      <c r="J500" s="707"/>
      <c r="K500" s="24">
        <f t="shared" si="90"/>
        <v>1</v>
      </c>
      <c r="L500" s="707"/>
      <c r="M500" s="24">
        <f t="shared" si="91"/>
        <v>1</v>
      </c>
      <c r="N500" s="707"/>
      <c r="O500" s="24">
        <f t="shared" si="92"/>
        <v>1</v>
      </c>
      <c r="P500" s="707"/>
      <c r="Q500" s="24">
        <f t="shared" si="93"/>
        <v>1</v>
      </c>
      <c r="R500" s="703">
        <f t="shared" si="94"/>
        <v>0</v>
      </c>
      <c r="S500" s="348">
        <f t="shared" si="95"/>
        <v>0</v>
      </c>
    </row>
    <row r="501" spans="1:19">
      <c r="A501" s="146"/>
      <c r="B501" s="59"/>
      <c r="C501" s="24">
        <f t="shared" si="86"/>
        <v>1</v>
      </c>
      <c r="D501" s="707"/>
      <c r="E501" s="24">
        <f t="shared" si="87"/>
        <v>0.2</v>
      </c>
      <c r="F501" s="707"/>
      <c r="G501" s="24">
        <f t="shared" si="88"/>
        <v>1</v>
      </c>
      <c r="H501" s="707"/>
      <c r="I501" s="24">
        <f t="shared" si="89"/>
        <v>1</v>
      </c>
      <c r="J501" s="707"/>
      <c r="K501" s="24">
        <f t="shared" si="90"/>
        <v>1</v>
      </c>
      <c r="L501" s="707"/>
      <c r="M501" s="24">
        <f t="shared" si="91"/>
        <v>1</v>
      </c>
      <c r="N501" s="707"/>
      <c r="O501" s="24">
        <f t="shared" si="92"/>
        <v>1</v>
      </c>
      <c r="P501" s="707"/>
      <c r="Q501" s="24">
        <f t="shared" si="93"/>
        <v>1</v>
      </c>
      <c r="R501" s="703">
        <f t="shared" si="94"/>
        <v>0</v>
      </c>
      <c r="S501" s="348">
        <f t="shared" si="95"/>
        <v>0</v>
      </c>
    </row>
    <row r="502" spans="1:19">
      <c r="A502" s="146"/>
      <c r="B502" s="59"/>
      <c r="C502" s="24">
        <f t="shared" si="86"/>
        <v>1</v>
      </c>
      <c r="D502" s="707"/>
      <c r="E502" s="24">
        <f t="shared" si="87"/>
        <v>0.2</v>
      </c>
      <c r="F502" s="707"/>
      <c r="G502" s="24">
        <f t="shared" si="88"/>
        <v>1</v>
      </c>
      <c r="H502" s="707"/>
      <c r="I502" s="24">
        <f t="shared" si="89"/>
        <v>1</v>
      </c>
      <c r="J502" s="707"/>
      <c r="K502" s="24">
        <f t="shared" si="90"/>
        <v>1</v>
      </c>
      <c r="L502" s="707"/>
      <c r="M502" s="24">
        <f t="shared" si="91"/>
        <v>1</v>
      </c>
      <c r="N502" s="707"/>
      <c r="O502" s="24">
        <f t="shared" si="92"/>
        <v>1</v>
      </c>
      <c r="P502" s="707"/>
      <c r="Q502" s="24">
        <f t="shared" si="93"/>
        <v>1</v>
      </c>
      <c r="R502" s="703">
        <f t="shared" si="94"/>
        <v>0</v>
      </c>
      <c r="S502" s="348">
        <f t="shared" si="95"/>
        <v>0</v>
      </c>
    </row>
    <row r="503" spans="1:19">
      <c r="A503" s="146"/>
      <c r="B503" s="59"/>
      <c r="C503" s="24">
        <f t="shared" si="86"/>
        <v>1</v>
      </c>
      <c r="D503" s="707"/>
      <c r="E503" s="24">
        <f t="shared" si="87"/>
        <v>0.2</v>
      </c>
      <c r="F503" s="707"/>
      <c r="G503" s="24">
        <f t="shared" si="88"/>
        <v>1</v>
      </c>
      <c r="H503" s="707"/>
      <c r="I503" s="24">
        <f t="shared" si="89"/>
        <v>1</v>
      </c>
      <c r="J503" s="707"/>
      <c r="K503" s="24">
        <f t="shared" si="90"/>
        <v>1</v>
      </c>
      <c r="L503" s="707"/>
      <c r="M503" s="24">
        <f t="shared" si="91"/>
        <v>1</v>
      </c>
      <c r="N503" s="707"/>
      <c r="O503" s="24">
        <f t="shared" si="92"/>
        <v>1</v>
      </c>
      <c r="P503" s="707"/>
      <c r="Q503" s="24">
        <f t="shared" si="93"/>
        <v>1</v>
      </c>
      <c r="R503" s="703">
        <f t="shared" si="94"/>
        <v>0</v>
      </c>
      <c r="S503" s="348">
        <f t="shared" si="95"/>
        <v>0</v>
      </c>
    </row>
    <row r="504" spans="1:19">
      <c r="A504" s="146"/>
      <c r="B504" s="59"/>
      <c r="C504" s="24">
        <f t="shared" si="86"/>
        <v>1</v>
      </c>
      <c r="D504" s="707"/>
      <c r="E504" s="24">
        <f t="shared" si="87"/>
        <v>0.2</v>
      </c>
      <c r="F504" s="707"/>
      <c r="G504" s="24">
        <f t="shared" si="88"/>
        <v>1</v>
      </c>
      <c r="H504" s="707"/>
      <c r="I504" s="24">
        <f t="shared" si="89"/>
        <v>1</v>
      </c>
      <c r="J504" s="707"/>
      <c r="K504" s="24">
        <f t="shared" si="90"/>
        <v>1</v>
      </c>
      <c r="L504" s="707"/>
      <c r="M504" s="24">
        <f t="shared" si="91"/>
        <v>1</v>
      </c>
      <c r="N504" s="707"/>
      <c r="O504" s="24">
        <f t="shared" si="92"/>
        <v>1</v>
      </c>
      <c r="P504" s="707"/>
      <c r="Q504" s="24">
        <f t="shared" si="93"/>
        <v>1</v>
      </c>
      <c r="R504" s="703">
        <f t="shared" si="94"/>
        <v>0</v>
      </c>
      <c r="S504" s="348">
        <f t="shared" si="95"/>
        <v>0</v>
      </c>
    </row>
    <row r="505" spans="1:19">
      <c r="A505" s="146"/>
      <c r="B505" s="59"/>
      <c r="C505" s="24">
        <f t="shared" si="86"/>
        <v>1</v>
      </c>
      <c r="D505" s="707"/>
      <c r="E505" s="24">
        <f t="shared" si="87"/>
        <v>0.2</v>
      </c>
      <c r="F505" s="707"/>
      <c r="G505" s="24">
        <f t="shared" si="88"/>
        <v>1</v>
      </c>
      <c r="H505" s="707"/>
      <c r="I505" s="24">
        <f t="shared" si="89"/>
        <v>1</v>
      </c>
      <c r="J505" s="707"/>
      <c r="K505" s="24">
        <f t="shared" si="90"/>
        <v>1</v>
      </c>
      <c r="L505" s="707"/>
      <c r="M505" s="24">
        <f t="shared" si="91"/>
        <v>1</v>
      </c>
      <c r="N505" s="707"/>
      <c r="O505" s="24">
        <f t="shared" si="92"/>
        <v>1</v>
      </c>
      <c r="P505" s="707"/>
      <c r="Q505" s="24">
        <f t="shared" si="93"/>
        <v>1</v>
      </c>
      <c r="R505" s="703">
        <f t="shared" si="94"/>
        <v>0</v>
      </c>
      <c r="S505" s="348">
        <f t="shared" si="95"/>
        <v>0</v>
      </c>
    </row>
    <row r="506" spans="1:19">
      <c r="A506" s="146"/>
      <c r="B506" s="59"/>
      <c r="C506" s="24">
        <f t="shared" si="86"/>
        <v>1</v>
      </c>
      <c r="D506" s="707"/>
      <c r="E506" s="24">
        <f t="shared" si="87"/>
        <v>0.2</v>
      </c>
      <c r="F506" s="707"/>
      <c r="G506" s="24">
        <f t="shared" si="88"/>
        <v>1</v>
      </c>
      <c r="H506" s="707"/>
      <c r="I506" s="24">
        <f t="shared" si="89"/>
        <v>1</v>
      </c>
      <c r="J506" s="707"/>
      <c r="K506" s="24">
        <f t="shared" si="90"/>
        <v>1</v>
      </c>
      <c r="L506" s="707"/>
      <c r="M506" s="24">
        <f t="shared" si="91"/>
        <v>1</v>
      </c>
      <c r="N506" s="707"/>
      <c r="O506" s="24">
        <f t="shared" si="92"/>
        <v>1</v>
      </c>
      <c r="P506" s="707"/>
      <c r="Q506" s="24">
        <f t="shared" si="93"/>
        <v>1</v>
      </c>
      <c r="R506" s="703">
        <f t="shared" si="94"/>
        <v>0</v>
      </c>
      <c r="S506" s="348">
        <f t="shared" si="95"/>
        <v>0</v>
      </c>
    </row>
    <row r="507" spans="1:19">
      <c r="A507" s="146"/>
      <c r="B507" s="59"/>
      <c r="C507" s="24">
        <f t="shared" si="86"/>
        <v>1</v>
      </c>
      <c r="D507" s="707"/>
      <c r="E507" s="24">
        <f t="shared" si="87"/>
        <v>0.2</v>
      </c>
      <c r="F507" s="707"/>
      <c r="G507" s="24">
        <f t="shared" si="88"/>
        <v>1</v>
      </c>
      <c r="H507" s="707"/>
      <c r="I507" s="24">
        <f t="shared" si="89"/>
        <v>1</v>
      </c>
      <c r="J507" s="707"/>
      <c r="K507" s="24">
        <f t="shared" si="90"/>
        <v>1</v>
      </c>
      <c r="L507" s="707"/>
      <c r="M507" s="24">
        <f t="shared" si="91"/>
        <v>1</v>
      </c>
      <c r="N507" s="707"/>
      <c r="O507" s="24">
        <f t="shared" si="92"/>
        <v>1</v>
      </c>
      <c r="P507" s="707"/>
      <c r="Q507" s="24">
        <f t="shared" si="93"/>
        <v>1</v>
      </c>
      <c r="R507" s="703">
        <f t="shared" si="94"/>
        <v>0</v>
      </c>
      <c r="S507" s="348">
        <f t="shared" si="95"/>
        <v>0</v>
      </c>
    </row>
    <row r="508" spans="1:19">
      <c r="A508" s="146"/>
      <c r="B508" s="59"/>
      <c r="C508" s="24">
        <f t="shared" si="86"/>
        <v>1</v>
      </c>
      <c r="D508" s="707"/>
      <c r="E508" s="24">
        <f t="shared" si="87"/>
        <v>0.2</v>
      </c>
      <c r="F508" s="707"/>
      <c r="G508" s="24">
        <f t="shared" si="88"/>
        <v>1</v>
      </c>
      <c r="H508" s="707"/>
      <c r="I508" s="24">
        <f t="shared" si="89"/>
        <v>1</v>
      </c>
      <c r="J508" s="707"/>
      <c r="K508" s="24">
        <f t="shared" si="90"/>
        <v>1</v>
      </c>
      <c r="L508" s="707"/>
      <c r="M508" s="24">
        <f t="shared" si="91"/>
        <v>1</v>
      </c>
      <c r="N508" s="707"/>
      <c r="O508" s="24">
        <f t="shared" si="92"/>
        <v>1</v>
      </c>
      <c r="P508" s="707"/>
      <c r="Q508" s="24">
        <f t="shared" si="93"/>
        <v>1</v>
      </c>
      <c r="R508" s="703">
        <f t="shared" si="94"/>
        <v>0</v>
      </c>
      <c r="S508" s="348">
        <f t="shared" si="95"/>
        <v>0</v>
      </c>
    </row>
    <row r="509" spans="1:19">
      <c r="A509" s="146"/>
      <c r="B509" s="59"/>
      <c r="C509" s="24">
        <f t="shared" si="86"/>
        <v>1</v>
      </c>
      <c r="D509" s="707"/>
      <c r="E509" s="24">
        <f t="shared" si="87"/>
        <v>0.2</v>
      </c>
      <c r="F509" s="707"/>
      <c r="G509" s="24">
        <f t="shared" si="88"/>
        <v>1</v>
      </c>
      <c r="H509" s="707"/>
      <c r="I509" s="24">
        <f t="shared" si="89"/>
        <v>1</v>
      </c>
      <c r="J509" s="707"/>
      <c r="K509" s="24">
        <f t="shared" si="90"/>
        <v>1</v>
      </c>
      <c r="L509" s="707"/>
      <c r="M509" s="24">
        <f t="shared" si="91"/>
        <v>1</v>
      </c>
      <c r="N509" s="707"/>
      <c r="O509" s="24">
        <f t="shared" si="92"/>
        <v>1</v>
      </c>
      <c r="P509" s="707"/>
      <c r="Q509" s="24">
        <f t="shared" si="93"/>
        <v>1</v>
      </c>
      <c r="R509" s="703">
        <f t="shared" si="94"/>
        <v>0</v>
      </c>
      <c r="S509" s="348">
        <f t="shared" si="95"/>
        <v>0</v>
      </c>
    </row>
    <row r="510" spans="1:19">
      <c r="A510" s="146"/>
      <c r="B510" s="59"/>
      <c r="C510" s="24">
        <f t="shared" si="86"/>
        <v>1</v>
      </c>
      <c r="D510" s="707"/>
      <c r="E510" s="24">
        <f t="shared" si="87"/>
        <v>0.2</v>
      </c>
      <c r="F510" s="707"/>
      <c r="G510" s="24">
        <f t="shared" si="88"/>
        <v>1</v>
      </c>
      <c r="H510" s="707"/>
      <c r="I510" s="24">
        <f t="shared" si="89"/>
        <v>1</v>
      </c>
      <c r="J510" s="707"/>
      <c r="K510" s="24">
        <f t="shared" si="90"/>
        <v>1</v>
      </c>
      <c r="L510" s="707"/>
      <c r="M510" s="24">
        <f t="shared" si="91"/>
        <v>1</v>
      </c>
      <c r="N510" s="707"/>
      <c r="O510" s="24">
        <f t="shared" si="92"/>
        <v>1</v>
      </c>
      <c r="P510" s="707"/>
      <c r="Q510" s="24">
        <f t="shared" si="93"/>
        <v>1</v>
      </c>
      <c r="R510" s="703">
        <f t="shared" si="94"/>
        <v>0</v>
      </c>
      <c r="S510" s="348">
        <f t="shared" si="95"/>
        <v>0</v>
      </c>
    </row>
    <row r="511" spans="1:19">
      <c r="A511" s="146"/>
      <c r="B511" s="59"/>
      <c r="C511" s="24">
        <f t="shared" si="86"/>
        <v>1</v>
      </c>
      <c r="D511" s="707"/>
      <c r="E511" s="24">
        <f t="shared" si="87"/>
        <v>0.2</v>
      </c>
      <c r="F511" s="707"/>
      <c r="G511" s="24">
        <f t="shared" si="88"/>
        <v>1</v>
      </c>
      <c r="H511" s="707"/>
      <c r="I511" s="24">
        <f t="shared" si="89"/>
        <v>1</v>
      </c>
      <c r="J511" s="707"/>
      <c r="K511" s="24">
        <f t="shared" si="90"/>
        <v>1</v>
      </c>
      <c r="L511" s="707"/>
      <c r="M511" s="24">
        <f t="shared" si="91"/>
        <v>1</v>
      </c>
      <c r="N511" s="707"/>
      <c r="O511" s="24">
        <f t="shared" si="92"/>
        <v>1</v>
      </c>
      <c r="P511" s="707"/>
      <c r="Q511" s="24">
        <f t="shared" si="93"/>
        <v>1</v>
      </c>
      <c r="R511" s="703">
        <f t="shared" si="94"/>
        <v>0</v>
      </c>
      <c r="S511" s="348">
        <f t="shared" si="95"/>
        <v>0</v>
      </c>
    </row>
    <row r="512" spans="1:19">
      <c r="A512" s="146"/>
      <c r="B512" s="59"/>
      <c r="C512" s="24">
        <f t="shared" si="86"/>
        <v>1</v>
      </c>
      <c r="D512" s="707"/>
      <c r="E512" s="24">
        <f t="shared" si="87"/>
        <v>0.2</v>
      </c>
      <c r="F512" s="707"/>
      <c r="G512" s="24">
        <f t="shared" si="88"/>
        <v>1</v>
      </c>
      <c r="H512" s="707"/>
      <c r="I512" s="24">
        <f t="shared" si="89"/>
        <v>1</v>
      </c>
      <c r="J512" s="707"/>
      <c r="K512" s="24">
        <f t="shared" si="90"/>
        <v>1</v>
      </c>
      <c r="L512" s="707"/>
      <c r="M512" s="24">
        <f t="shared" si="91"/>
        <v>1</v>
      </c>
      <c r="N512" s="707"/>
      <c r="O512" s="24">
        <f t="shared" si="92"/>
        <v>1</v>
      </c>
      <c r="P512" s="707"/>
      <c r="Q512" s="24">
        <f t="shared" si="93"/>
        <v>1</v>
      </c>
      <c r="R512" s="703">
        <f t="shared" si="94"/>
        <v>0</v>
      </c>
      <c r="S512" s="348">
        <f t="shared" si="95"/>
        <v>0</v>
      </c>
    </row>
    <row r="513" spans="1:19">
      <c r="A513" s="146"/>
      <c r="B513" s="59"/>
      <c r="C513" s="24">
        <f t="shared" si="86"/>
        <v>1</v>
      </c>
      <c r="D513" s="707"/>
      <c r="E513" s="24">
        <f t="shared" si="87"/>
        <v>0.2</v>
      </c>
      <c r="F513" s="707"/>
      <c r="G513" s="24">
        <f t="shared" si="88"/>
        <v>1</v>
      </c>
      <c r="H513" s="707"/>
      <c r="I513" s="24">
        <f t="shared" si="89"/>
        <v>1</v>
      </c>
      <c r="J513" s="707"/>
      <c r="K513" s="24">
        <f t="shared" si="90"/>
        <v>1</v>
      </c>
      <c r="L513" s="707"/>
      <c r="M513" s="24">
        <f t="shared" si="91"/>
        <v>1</v>
      </c>
      <c r="N513" s="707"/>
      <c r="O513" s="24">
        <f t="shared" si="92"/>
        <v>1</v>
      </c>
      <c r="P513" s="707"/>
      <c r="Q513" s="24">
        <f t="shared" si="93"/>
        <v>1</v>
      </c>
      <c r="R513" s="703">
        <f t="shared" si="94"/>
        <v>0</v>
      </c>
      <c r="S513" s="348">
        <f t="shared" si="95"/>
        <v>0</v>
      </c>
    </row>
    <row r="514" spans="1:19">
      <c r="A514" s="146"/>
      <c r="B514" s="59"/>
      <c r="C514" s="24">
        <f t="shared" si="86"/>
        <v>1</v>
      </c>
      <c r="D514" s="707"/>
      <c r="E514" s="24">
        <f t="shared" si="87"/>
        <v>0.2</v>
      </c>
      <c r="F514" s="707"/>
      <c r="G514" s="24">
        <f t="shared" si="88"/>
        <v>1</v>
      </c>
      <c r="H514" s="707"/>
      <c r="I514" s="24">
        <f t="shared" si="89"/>
        <v>1</v>
      </c>
      <c r="J514" s="707"/>
      <c r="K514" s="24">
        <f t="shared" si="90"/>
        <v>1</v>
      </c>
      <c r="L514" s="707"/>
      <c r="M514" s="24">
        <f t="shared" si="91"/>
        <v>1</v>
      </c>
      <c r="N514" s="707"/>
      <c r="O514" s="24">
        <f t="shared" si="92"/>
        <v>1</v>
      </c>
      <c r="P514" s="707"/>
      <c r="Q514" s="24">
        <f t="shared" si="93"/>
        <v>1</v>
      </c>
      <c r="R514" s="703">
        <f t="shared" si="94"/>
        <v>0</v>
      </c>
      <c r="S514" s="348">
        <f t="shared" si="95"/>
        <v>0</v>
      </c>
    </row>
    <row r="515" spans="1:19">
      <c r="A515" s="146"/>
      <c r="B515" s="59"/>
      <c r="C515" s="24">
        <f t="shared" si="86"/>
        <v>1</v>
      </c>
      <c r="D515" s="707"/>
      <c r="E515" s="24">
        <f t="shared" si="87"/>
        <v>0.2</v>
      </c>
      <c r="F515" s="707"/>
      <c r="G515" s="24">
        <f t="shared" si="88"/>
        <v>1</v>
      </c>
      <c r="H515" s="707"/>
      <c r="I515" s="24">
        <f t="shared" si="89"/>
        <v>1</v>
      </c>
      <c r="J515" s="707"/>
      <c r="K515" s="24">
        <f t="shared" si="90"/>
        <v>1</v>
      </c>
      <c r="L515" s="707"/>
      <c r="M515" s="24">
        <f t="shared" si="91"/>
        <v>1</v>
      </c>
      <c r="N515" s="707"/>
      <c r="O515" s="24">
        <f t="shared" si="92"/>
        <v>1</v>
      </c>
      <c r="P515" s="707"/>
      <c r="Q515" s="24">
        <f t="shared" si="93"/>
        <v>1</v>
      </c>
      <c r="R515" s="703">
        <f t="shared" si="94"/>
        <v>0</v>
      </c>
      <c r="S515" s="348">
        <f t="shared" si="95"/>
        <v>0</v>
      </c>
    </row>
    <row r="516" spans="1:19">
      <c r="A516" s="146"/>
      <c r="B516" s="59"/>
      <c r="C516" s="24">
        <f t="shared" si="86"/>
        <v>1</v>
      </c>
      <c r="D516" s="707"/>
      <c r="E516" s="24">
        <f t="shared" si="87"/>
        <v>0.2</v>
      </c>
      <c r="F516" s="707"/>
      <c r="G516" s="24">
        <f t="shared" si="88"/>
        <v>1</v>
      </c>
      <c r="H516" s="707"/>
      <c r="I516" s="24">
        <f t="shared" si="89"/>
        <v>1</v>
      </c>
      <c r="J516" s="707"/>
      <c r="K516" s="24">
        <f t="shared" si="90"/>
        <v>1</v>
      </c>
      <c r="L516" s="707"/>
      <c r="M516" s="24">
        <f t="shared" si="91"/>
        <v>1</v>
      </c>
      <c r="N516" s="707"/>
      <c r="O516" s="24">
        <f t="shared" si="92"/>
        <v>1</v>
      </c>
      <c r="P516" s="707"/>
      <c r="Q516" s="24">
        <f t="shared" si="93"/>
        <v>1</v>
      </c>
      <c r="R516" s="703">
        <f t="shared" si="94"/>
        <v>0</v>
      </c>
      <c r="S516" s="348">
        <f t="shared" si="95"/>
        <v>0</v>
      </c>
    </row>
    <row r="517" spans="1:19">
      <c r="A517" s="146"/>
      <c r="B517" s="59"/>
      <c r="C517" s="24">
        <f t="shared" si="86"/>
        <v>1</v>
      </c>
      <c r="D517" s="707"/>
      <c r="E517" s="24">
        <f t="shared" si="87"/>
        <v>0.2</v>
      </c>
      <c r="F517" s="707"/>
      <c r="G517" s="24">
        <f t="shared" si="88"/>
        <v>1</v>
      </c>
      <c r="H517" s="707"/>
      <c r="I517" s="24">
        <f t="shared" si="89"/>
        <v>1</v>
      </c>
      <c r="J517" s="707"/>
      <c r="K517" s="24">
        <f t="shared" si="90"/>
        <v>1</v>
      </c>
      <c r="L517" s="707"/>
      <c r="M517" s="24">
        <f t="shared" si="91"/>
        <v>1</v>
      </c>
      <c r="N517" s="707"/>
      <c r="O517" s="24">
        <f t="shared" si="92"/>
        <v>1</v>
      </c>
      <c r="P517" s="707"/>
      <c r="Q517" s="24">
        <f t="shared" si="93"/>
        <v>1</v>
      </c>
      <c r="R517" s="703">
        <f t="shared" si="94"/>
        <v>0</v>
      </c>
      <c r="S517" s="348">
        <f t="shared" si="95"/>
        <v>0</v>
      </c>
    </row>
    <row r="518" spans="1:19">
      <c r="A518" s="146"/>
      <c r="B518" s="59"/>
      <c r="C518" s="24">
        <f t="shared" si="86"/>
        <v>1</v>
      </c>
      <c r="D518" s="707"/>
      <c r="E518" s="24">
        <f t="shared" si="87"/>
        <v>0.2</v>
      </c>
      <c r="F518" s="707"/>
      <c r="G518" s="24">
        <f t="shared" si="88"/>
        <v>1</v>
      </c>
      <c r="H518" s="707"/>
      <c r="I518" s="24">
        <f t="shared" si="89"/>
        <v>1</v>
      </c>
      <c r="J518" s="707"/>
      <c r="K518" s="24">
        <f t="shared" si="90"/>
        <v>1</v>
      </c>
      <c r="L518" s="707"/>
      <c r="M518" s="24">
        <f t="shared" si="91"/>
        <v>1</v>
      </c>
      <c r="N518" s="707"/>
      <c r="O518" s="24">
        <f t="shared" si="92"/>
        <v>1</v>
      </c>
      <c r="P518" s="707"/>
      <c r="Q518" s="24">
        <f t="shared" si="93"/>
        <v>1</v>
      </c>
      <c r="R518" s="703">
        <f t="shared" si="94"/>
        <v>0</v>
      </c>
      <c r="S518" s="348">
        <f t="shared" si="95"/>
        <v>0</v>
      </c>
    </row>
    <row r="519" spans="1:19">
      <c r="A519" s="146"/>
      <c r="B519" s="59"/>
      <c r="C519" s="24">
        <f t="shared" si="86"/>
        <v>1</v>
      </c>
      <c r="D519" s="707"/>
      <c r="E519" s="24">
        <f t="shared" si="87"/>
        <v>0.2</v>
      </c>
      <c r="F519" s="707"/>
      <c r="G519" s="24">
        <f t="shared" si="88"/>
        <v>1</v>
      </c>
      <c r="H519" s="707"/>
      <c r="I519" s="24">
        <f t="shared" si="89"/>
        <v>1</v>
      </c>
      <c r="J519" s="707"/>
      <c r="K519" s="24">
        <f t="shared" si="90"/>
        <v>1</v>
      </c>
      <c r="L519" s="707"/>
      <c r="M519" s="24">
        <f t="shared" si="91"/>
        <v>1</v>
      </c>
      <c r="N519" s="707"/>
      <c r="O519" s="24">
        <f t="shared" si="92"/>
        <v>1</v>
      </c>
      <c r="P519" s="707"/>
      <c r="Q519" s="24">
        <f t="shared" si="93"/>
        <v>1</v>
      </c>
      <c r="R519" s="703">
        <f t="shared" si="94"/>
        <v>0</v>
      </c>
      <c r="S519" s="348">
        <f t="shared" si="95"/>
        <v>0</v>
      </c>
    </row>
    <row r="520" spans="1:19">
      <c r="A520" s="146"/>
      <c r="B520" s="59"/>
      <c r="C520" s="24">
        <f t="shared" si="86"/>
        <v>1</v>
      </c>
      <c r="D520" s="707"/>
      <c r="E520" s="24">
        <f t="shared" si="87"/>
        <v>0.2</v>
      </c>
      <c r="F520" s="707"/>
      <c r="G520" s="24">
        <f t="shared" si="88"/>
        <v>1</v>
      </c>
      <c r="H520" s="707"/>
      <c r="I520" s="24">
        <f t="shared" si="89"/>
        <v>1</v>
      </c>
      <c r="J520" s="707"/>
      <c r="K520" s="24">
        <f t="shared" si="90"/>
        <v>1</v>
      </c>
      <c r="L520" s="707"/>
      <c r="M520" s="24">
        <f t="shared" si="91"/>
        <v>1</v>
      </c>
      <c r="N520" s="707"/>
      <c r="O520" s="24">
        <f t="shared" si="92"/>
        <v>1</v>
      </c>
      <c r="P520" s="707"/>
      <c r="Q520" s="24">
        <f t="shared" si="93"/>
        <v>1</v>
      </c>
      <c r="R520" s="703">
        <f t="shared" si="94"/>
        <v>0</v>
      </c>
      <c r="S520" s="348">
        <f t="shared" si="95"/>
        <v>0</v>
      </c>
    </row>
    <row r="521" spans="1:19">
      <c r="A521" s="146"/>
      <c r="B521" s="59"/>
      <c r="C521" s="24">
        <f t="shared" si="86"/>
        <v>1</v>
      </c>
      <c r="D521" s="707"/>
      <c r="E521" s="24">
        <f t="shared" si="87"/>
        <v>0.2</v>
      </c>
      <c r="F521" s="707"/>
      <c r="G521" s="24">
        <f t="shared" si="88"/>
        <v>1</v>
      </c>
      <c r="H521" s="707"/>
      <c r="I521" s="24">
        <f t="shared" si="89"/>
        <v>1</v>
      </c>
      <c r="J521" s="707"/>
      <c r="K521" s="24">
        <f t="shared" si="90"/>
        <v>1</v>
      </c>
      <c r="L521" s="707"/>
      <c r="M521" s="24">
        <f t="shared" si="91"/>
        <v>1</v>
      </c>
      <c r="N521" s="707"/>
      <c r="O521" s="24">
        <f t="shared" si="92"/>
        <v>1</v>
      </c>
      <c r="P521" s="707"/>
      <c r="Q521" s="24">
        <f t="shared" si="93"/>
        <v>1</v>
      </c>
      <c r="R521" s="703">
        <f t="shared" si="94"/>
        <v>0</v>
      </c>
      <c r="S521" s="348">
        <f t="shared" si="95"/>
        <v>0</v>
      </c>
    </row>
    <row r="522" spans="1:19">
      <c r="A522" s="146"/>
      <c r="B522" s="59"/>
      <c r="C522" s="24">
        <f t="shared" si="86"/>
        <v>1</v>
      </c>
      <c r="D522" s="707"/>
      <c r="E522" s="24">
        <f t="shared" si="87"/>
        <v>0.2</v>
      </c>
      <c r="F522" s="707"/>
      <c r="G522" s="24">
        <f t="shared" si="88"/>
        <v>1</v>
      </c>
      <c r="H522" s="707"/>
      <c r="I522" s="24">
        <f t="shared" si="89"/>
        <v>1</v>
      </c>
      <c r="J522" s="707"/>
      <c r="K522" s="24">
        <f t="shared" si="90"/>
        <v>1</v>
      </c>
      <c r="L522" s="707"/>
      <c r="M522" s="24">
        <f t="shared" si="91"/>
        <v>1</v>
      </c>
      <c r="N522" s="707"/>
      <c r="O522" s="24">
        <f t="shared" si="92"/>
        <v>1</v>
      </c>
      <c r="P522" s="707"/>
      <c r="Q522" s="24">
        <f t="shared" si="93"/>
        <v>1</v>
      </c>
      <c r="R522" s="703">
        <f t="shared" si="94"/>
        <v>0</v>
      </c>
      <c r="S522" s="348">
        <f t="shared" si="95"/>
        <v>0</v>
      </c>
    </row>
    <row r="523" spans="1:19">
      <c r="A523" s="146"/>
      <c r="B523" s="59"/>
      <c r="C523" s="24">
        <f t="shared" si="86"/>
        <v>1</v>
      </c>
      <c r="D523" s="707"/>
      <c r="E523" s="24">
        <f t="shared" si="87"/>
        <v>0.2</v>
      </c>
      <c r="F523" s="707"/>
      <c r="G523" s="24">
        <f t="shared" si="88"/>
        <v>1</v>
      </c>
      <c r="H523" s="707"/>
      <c r="I523" s="24">
        <f t="shared" si="89"/>
        <v>1</v>
      </c>
      <c r="J523" s="707"/>
      <c r="K523" s="24">
        <f t="shared" si="90"/>
        <v>1</v>
      </c>
      <c r="L523" s="707"/>
      <c r="M523" s="24">
        <f t="shared" si="91"/>
        <v>1</v>
      </c>
      <c r="N523" s="707"/>
      <c r="O523" s="24">
        <f t="shared" si="92"/>
        <v>1</v>
      </c>
      <c r="P523" s="707"/>
      <c r="Q523" s="24">
        <f t="shared" si="93"/>
        <v>1</v>
      </c>
      <c r="R523" s="703">
        <f t="shared" si="94"/>
        <v>0</v>
      </c>
      <c r="S523" s="348">
        <f t="shared" si="95"/>
        <v>0</v>
      </c>
    </row>
    <row r="524" spans="1:19">
      <c r="A524" s="146"/>
      <c r="B524" s="59"/>
      <c r="C524" s="24">
        <f t="shared" si="86"/>
        <v>1</v>
      </c>
      <c r="D524" s="707"/>
      <c r="E524" s="24">
        <f t="shared" si="87"/>
        <v>0.2</v>
      </c>
      <c r="F524" s="707"/>
      <c r="G524" s="24">
        <f t="shared" si="88"/>
        <v>1</v>
      </c>
      <c r="H524" s="707"/>
      <c r="I524" s="24">
        <f t="shared" si="89"/>
        <v>1</v>
      </c>
      <c r="J524" s="707"/>
      <c r="K524" s="24">
        <f t="shared" si="90"/>
        <v>1</v>
      </c>
      <c r="L524" s="707"/>
      <c r="M524" s="24">
        <f t="shared" si="91"/>
        <v>1</v>
      </c>
      <c r="N524" s="707"/>
      <c r="O524" s="24">
        <f t="shared" si="92"/>
        <v>1</v>
      </c>
      <c r="P524" s="707"/>
      <c r="Q524" s="24">
        <f t="shared" si="93"/>
        <v>1</v>
      </c>
      <c r="R524" s="703">
        <f t="shared" si="94"/>
        <v>0</v>
      </c>
      <c r="S524" s="34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1372</v>
      </c>
      <c r="D1" s="1798" t="s">
        <v>3338</v>
      </c>
      <c r="E1" s="1799" t="s">
        <v>1381</v>
      </c>
      <c r="F1" s="1261">
        <f ca="1">J53</f>
        <v>34.090000000000003</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10258</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18352</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643</v>
      </c>
      <c r="D6" s="151" t="s">
        <v>3019</v>
      </c>
      <c r="E6" s="334" t="s">
        <v>1399</v>
      </c>
      <c r="F6" s="335">
        <f ca="1">INDIRECT("'数据-取费表'!u"&amp;$G$1)</f>
        <v>3.5</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5589.5599999999995</v>
      </c>
      <c r="G7" s="1829"/>
      <c r="H7" s="336"/>
      <c r="I7" s="3322"/>
      <c r="J7" s="338"/>
      <c r="K7" s="339"/>
      <c r="L7" s="334" t="s">
        <v>1400</v>
      </c>
      <c r="M7" s="335">
        <f ca="1">F7</f>
        <v>5589.5599999999995</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2223</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1577</v>
      </c>
      <c r="D14" s="1778" t="s">
        <v>1412</v>
      </c>
      <c r="E14" s="1772"/>
      <c r="F14" s="351"/>
      <c r="G14" s="1829"/>
      <c r="H14" s="1179" t="s">
        <v>1031</v>
      </c>
      <c r="I14" s="334" t="s">
        <v>1413</v>
      </c>
      <c r="J14" s="24">
        <f ca="1">C29</f>
        <v>2223</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19.100000000000001</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1774</v>
      </c>
      <c r="D19" s="127" t="s">
        <v>1430</v>
      </c>
      <c r="E19" s="1796"/>
      <c r="F19" s="26"/>
      <c r="G19" s="1829"/>
      <c r="H19" s="1179" t="s">
        <v>1032</v>
      </c>
      <c r="I19" s="334" t="s">
        <v>1431</v>
      </c>
      <c r="J19" s="24">
        <f ca="1">IF(K19="按租金收入计税",ROUND(J6*M19/(1+'数据-取费表'!C42),2),ROUND(C29*M19*0.7,2))</f>
        <v>18.670000000000002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2833.91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33.299999999999997</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181</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2223</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2833.91</v>
      </c>
      <c r="G35" s="1829"/>
      <c r="H35" s="730"/>
      <c r="I35" s="1838"/>
      <c r="J35" s="1839"/>
      <c r="K35" s="1840"/>
      <c r="L35" s="1837"/>
      <c r="M35" s="1837"/>
    </row>
    <row r="36" spans="1:18" ht="18" customHeight="1">
      <c r="A36" s="1330" t="s">
        <v>1035</v>
      </c>
      <c r="B36" s="334" t="s">
        <v>1443</v>
      </c>
      <c r="C36" s="24">
        <f ca="1">ROUND(C29*F36,1)</f>
        <v>33.299999999999997</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10258</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34.090000000000003</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18352</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-13479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40</v>
      </c>
      <c r="M47" s="1816" t="str">
        <f>IF(ISNUMBER(FIND("住宅",C1)),"住宅","非住宅")</f>
        <v>非住宅</v>
      </c>
      <c r="O47" s="1862" t="s">
        <v>1036</v>
      </c>
      <c r="P47" s="1863" t="s">
        <v>1522</v>
      </c>
      <c r="Q47" s="1864">
        <f ca="1">C40+J29</f>
        <v>10258</v>
      </c>
      <c r="R47" s="1864" t="s">
        <v>1523</v>
      </c>
    </row>
    <row r="48" spans="1:18" s="1820" customFormat="1" ht="28.5" thickBot="1">
      <c r="A48" s="1338" t="s">
        <v>1131</v>
      </c>
      <c r="B48" s="332" t="s">
        <v>1395</v>
      </c>
      <c r="C48" s="1795">
        <f ca="1">C49+C53+C55</f>
        <v>0</v>
      </c>
      <c r="D48" s="1340"/>
      <c r="E48" s="1341"/>
      <c r="F48" s="1159"/>
      <c r="G48" s="777"/>
      <c r="H48" s="778"/>
      <c r="I48" s="1865" t="s">
        <v>1524</v>
      </c>
      <c r="J48" s="1866" t="s">
        <v>3340</v>
      </c>
      <c r="K48" s="1867" t="s">
        <v>1525</v>
      </c>
      <c r="L48" s="1868">
        <f ca="1">INDIRECT("'数据-取费表'!f"&amp;$G$1)</f>
        <v>34.46</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2223</v>
      </c>
      <c r="R49" s="1864" t="s">
        <v>1523</v>
      </c>
    </row>
    <row r="50" spans="1:18" s="1820" customFormat="1" ht="13.5"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4825</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34.090000000000003</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34.090000000000003</v>
      </c>
      <c r="K53" s="3324" t="s">
        <v>1542</v>
      </c>
      <c r="L53" s="3325"/>
      <c r="O53" s="1862" t="s">
        <v>1042</v>
      </c>
      <c r="P53" s="1863" t="s">
        <v>1543</v>
      </c>
      <c r="Q53" s="1864">
        <f ca="1">Q47+Q48</f>
        <v>10258</v>
      </c>
      <c r="R53" s="1864" t="s">
        <v>1043</v>
      </c>
    </row>
    <row r="54" spans="1:18" s="1820" customFormat="1" ht="13.5"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2223</v>
      </c>
      <c r="D56" s="1891"/>
      <c r="E56" s="1892"/>
      <c r="F56" s="1884"/>
      <c r="I56" s="1893" t="s">
        <v>1548</v>
      </c>
      <c r="J56" s="1894" t="s">
        <v>3147</v>
      </c>
      <c r="K56" s="1865" t="s">
        <v>1549</v>
      </c>
      <c r="L56" s="1868" t="str">
        <f ca="1">IF(L48&lt;J51,"——",L48-J53)</f>
        <v>——</v>
      </c>
      <c r="O56" s="1862" t="s">
        <v>1036</v>
      </c>
      <c r="P56" s="1863" t="s">
        <v>1522</v>
      </c>
      <c r="Q56" s="1864">
        <f ca="1">C40+J29</f>
        <v>10258</v>
      </c>
      <c r="R56" s="1864" t="s">
        <v>1523</v>
      </c>
    </row>
    <row r="57" spans="1:18" s="1820" customFormat="1" ht="24.75" thickBot="1">
      <c r="A57" s="1895"/>
      <c r="B57" s="1147" t="s">
        <v>1472</v>
      </c>
      <c r="C57" s="269">
        <f ca="1">C29</f>
        <v>2223</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224</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187.2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IF(项目基本情况!B11="自然人","——",IF(D61="按租金收入计税",ROUND(C48*F61,2),IF(D61="按房产原值计税",ROUND(C57*F61*0.7,2),INDIRECT("'数据-取费表'!Aj"&amp;$G$1))))</f>
        <v>186.73</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IF(项目基本情况!B11="自然人","——",ROUND(F62*F63/10000,2))</f>
        <v>0.43</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10258</v>
      </c>
      <c r="R62" s="1864" t="s">
        <v>1043</v>
      </c>
    </row>
    <row r="63" spans="1:18" s="1820" customFormat="1" ht="13.5" thickBot="1">
      <c r="A63" s="359"/>
      <c r="B63" s="1153"/>
      <c r="C63" s="29"/>
      <c r="D63" s="1163"/>
      <c r="E63" s="1147" t="s">
        <v>1493</v>
      </c>
      <c r="F63" s="335">
        <f t="shared" ca="1" si="0"/>
        <v>2833.91</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ROUND(C57*F64,1)</f>
        <v>33.299999999999997</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10258</v>
      </c>
      <c r="R65" s="1864" t="s">
        <v>1523</v>
      </c>
    </row>
    <row r="66" spans="1:18" s="1820" customFormat="1" ht="16.5"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-224</v>
      </c>
      <c r="D67" s="1160" t="s">
        <v>1458</v>
      </c>
      <c r="E67" s="1165"/>
      <c r="F67" s="1166"/>
      <c r="O67" s="1872" t="s">
        <v>1038</v>
      </c>
      <c r="P67" s="1863" t="s">
        <v>1556</v>
      </c>
      <c r="Q67" s="1910">
        <f ca="1">L51</f>
        <v>4825</v>
      </c>
      <c r="R67" s="1864" t="s">
        <v>1576</v>
      </c>
    </row>
    <row r="68" spans="1:18" s="1820" customFormat="1" ht="16.5" thickBot="1">
      <c r="A68" s="1144" t="s">
        <v>1028</v>
      </c>
      <c r="B68" s="1145" t="s">
        <v>1479</v>
      </c>
      <c r="C68" s="333">
        <f ca="1">ROUND(C67*(1-((1+F70)/(1+F68))^F69)/(F68-F70),0)</f>
        <v>-3221</v>
      </c>
      <c r="D68" s="1162" t="s">
        <v>1463</v>
      </c>
      <c r="E68" s="1147" t="s">
        <v>1464</v>
      </c>
      <c r="F68" s="344">
        <f ca="1">F40</f>
        <v>0.06</v>
      </c>
      <c r="O68" s="1872" t="s">
        <v>1039</v>
      </c>
      <c r="P68" s="1911" t="s">
        <v>1577</v>
      </c>
      <c r="Q68" s="1864">
        <f ca="1">ROUND(Q69-Q70*Q71,0)</f>
        <v>315</v>
      </c>
      <c r="R68" s="1864" t="s">
        <v>1047</v>
      </c>
    </row>
    <row r="69" spans="1:18" s="1820" customFormat="1" ht="13.5" thickBot="1">
      <c r="A69" s="1148"/>
      <c r="B69" s="1149"/>
      <c r="C69" s="338"/>
      <c r="D69" s="1167" t="s">
        <v>1467</v>
      </c>
      <c r="E69" s="1147" t="s">
        <v>1468</v>
      </c>
      <c r="F69" s="366">
        <f ca="1">F41</f>
        <v>34.090000000000003</v>
      </c>
      <c r="O69" s="1872" t="s">
        <v>1044</v>
      </c>
      <c r="P69" s="1911" t="s">
        <v>1578</v>
      </c>
      <c r="Q69" s="1864">
        <f ca="1">C39</f>
        <v>493</v>
      </c>
      <c r="R69" s="1864" t="s">
        <v>1523</v>
      </c>
    </row>
    <row r="70" spans="1:18" s="1820" customFormat="1" ht="13.5" thickBot="1">
      <c r="A70" s="1151"/>
      <c r="B70" s="1152"/>
      <c r="C70" s="342"/>
      <c r="D70" s="1163"/>
      <c r="E70" s="1147" t="s">
        <v>1471</v>
      </c>
      <c r="F70" s="1253"/>
      <c r="O70" s="1872" t="s">
        <v>1045</v>
      </c>
      <c r="P70" s="1911" t="s">
        <v>1579</v>
      </c>
      <c r="Q70" s="1864">
        <f ca="1">C13</f>
        <v>2223</v>
      </c>
      <c r="R70" s="1864" t="s">
        <v>1523</v>
      </c>
    </row>
    <row r="71" spans="1:18" s="1820" customFormat="1" ht="13.5" thickBot="1">
      <c r="A71" s="1168" t="s">
        <v>1029</v>
      </c>
      <c r="B71" s="1169" t="s">
        <v>1481</v>
      </c>
      <c r="C71" s="369">
        <f ca="1">ROUND(C68*10000/F71,0)</f>
        <v>-5763</v>
      </c>
      <c r="D71" s="1170" t="s">
        <v>1482</v>
      </c>
      <c r="E71" s="1171" t="s">
        <v>1483</v>
      </c>
      <c r="F71" s="372">
        <f ca="1">F43</f>
        <v>5589.5599999999995</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178</v>
      </c>
      <c r="D75" s="1820"/>
      <c r="E75" s="1820"/>
      <c r="F75" s="1820"/>
      <c r="K75" s="1846"/>
      <c r="L75" s="1820"/>
      <c r="O75" s="1862" t="s">
        <v>1042</v>
      </c>
      <c r="P75" s="1863" t="s">
        <v>1543</v>
      </c>
      <c r="Q75" s="1864">
        <f ca="1">Q65+Q66</f>
        <v>10258</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0.63900000000000001</v>
      </c>
    </row>
    <row r="80" spans="1:18">
      <c r="B80" s="373" t="s">
        <v>1505</v>
      </c>
      <c r="C80" s="305">
        <f ca="1">ROUND(C75/C39,3)</f>
        <v>0.36099999999999999</v>
      </c>
    </row>
    <row r="81" spans="2:3">
      <c r="B81" s="301" t="s">
        <v>1506</v>
      </c>
      <c r="C81" s="269"/>
    </row>
    <row r="82" spans="2:3">
      <c r="B82" s="304" t="s">
        <v>1507</v>
      </c>
      <c r="C82" s="306">
        <f ca="1">1-C83</f>
        <v>0.78300000000000003</v>
      </c>
    </row>
    <row r="83" spans="2:3">
      <c r="B83" s="304" t="s">
        <v>1508</v>
      </c>
      <c r="C83" s="305">
        <f ca="1">ROUND(C13/C40,3)</f>
        <v>0.217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77" t="s">
        <v>2786</v>
      </c>
      <c r="D6" s="3378"/>
      <c r="E6" s="3379" t="s">
        <v>2786</v>
      </c>
      <c r="F6" s="3380"/>
      <c r="G6" s="3377" t="s">
        <v>2786</v>
      </c>
      <c r="H6" s="3378"/>
      <c r="I6" s="3377" t="s">
        <v>2786</v>
      </c>
      <c r="J6" s="337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57">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85.5">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5">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85"/>
      <c r="Q19" s="1788" t="str">
        <f t="shared" ref="Q19:Q33" si="8">B19</f>
        <v>区域土地利用方向</v>
      </c>
      <c r="R19" s="759" t="s">
        <v>17</v>
      </c>
      <c r="S19" s="760">
        <f>F19</f>
        <v>100</v>
      </c>
      <c r="T19" s="759" t="s">
        <v>17</v>
      </c>
      <c r="U19" s="760">
        <f>H19</f>
        <v>100</v>
      </c>
      <c r="V19" s="759" t="s">
        <v>17</v>
      </c>
      <c r="W19" s="760">
        <f>J19</f>
        <v>100</v>
      </c>
      <c r="X19" s="1791"/>
      <c r="Y19" s="3285"/>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285"/>
      <c r="Q20" s="1788"/>
      <c r="R20" s="759"/>
      <c r="S20" s="760"/>
      <c r="T20" s="759"/>
      <c r="U20" s="760"/>
      <c r="V20" s="759"/>
      <c r="W20" s="760"/>
      <c r="X20" s="1791"/>
      <c r="Y20" s="3285"/>
      <c r="Z20" s="1792"/>
      <c r="AA20" s="1789"/>
      <c r="AB20" s="1789"/>
      <c r="AC20" s="1789"/>
    </row>
    <row r="21" spans="1:29" ht="71.25">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85"/>
      <c r="Q21" s="1788" t="str">
        <f t="shared" si="8"/>
        <v>环境状况</v>
      </c>
      <c r="R21" s="759" t="s">
        <v>17</v>
      </c>
      <c r="S21" s="760">
        <f>F21</f>
        <v>100</v>
      </c>
      <c r="T21" s="759" t="s">
        <v>17</v>
      </c>
      <c r="U21" s="760">
        <f>H21</f>
        <v>100</v>
      </c>
      <c r="V21" s="759" t="s">
        <v>17</v>
      </c>
      <c r="W21" s="760">
        <f>J21</f>
        <v>100</v>
      </c>
      <c r="X21" s="1791"/>
      <c r="Y21" s="3285"/>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s="112" customFormat="1" ht="42.75">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85"/>
      <c r="Q23" s="1773" t="str">
        <f t="shared" si="8"/>
        <v>公共配套设施</v>
      </c>
      <c r="R23" s="755" t="s">
        <v>17</v>
      </c>
      <c r="S23" s="756">
        <f>F23</f>
        <v>100</v>
      </c>
      <c r="T23" s="755" t="s">
        <v>17</v>
      </c>
      <c r="U23" s="756">
        <f>H23</f>
        <v>100</v>
      </c>
      <c r="V23" s="755" t="s">
        <v>17</v>
      </c>
      <c r="W23" s="756">
        <f>J23</f>
        <v>100</v>
      </c>
      <c r="X23" s="757"/>
      <c r="Y23" s="3285"/>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285"/>
      <c r="Q24" s="1773"/>
      <c r="R24" s="755"/>
      <c r="S24" s="756"/>
      <c r="T24" s="755"/>
      <c r="U24" s="756"/>
      <c r="V24" s="755"/>
      <c r="W24" s="756"/>
      <c r="X24" s="757"/>
      <c r="Y24" s="3285"/>
      <c r="Z24" s="55"/>
      <c r="AA24" s="758">
        <v>1</v>
      </c>
      <c r="AB24" s="758">
        <v>1</v>
      </c>
      <c r="AC24" s="758">
        <v>1</v>
      </c>
    </row>
    <row r="25" spans="1:29" s="112" customFormat="1" ht="28.5">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85"/>
      <c r="Q25" s="1773" t="str">
        <f t="shared" ref="Q25" si="9">B25</f>
        <v>基础设施水平</v>
      </c>
      <c r="R25" s="755" t="s">
        <v>17</v>
      </c>
      <c r="S25" s="756">
        <f>F25</f>
        <v>100</v>
      </c>
      <c r="T25" s="755" t="s">
        <v>17</v>
      </c>
      <c r="U25" s="756">
        <f>H25</f>
        <v>100</v>
      </c>
      <c r="V25" s="755" t="s">
        <v>17</v>
      </c>
      <c r="W25" s="756">
        <f>J25</f>
        <v>100</v>
      </c>
      <c r="X25" s="757"/>
      <c r="Y25" s="3285"/>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285"/>
      <c r="Q26" s="1773"/>
      <c r="R26" s="755"/>
      <c r="S26" s="756"/>
      <c r="T26" s="755"/>
      <c r="U26" s="756"/>
      <c r="V26" s="755"/>
      <c r="W26" s="756"/>
      <c r="X26" s="757"/>
      <c r="Y26" s="3285"/>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85"/>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285"/>
      <c r="Z27" s="1792" t="str">
        <f t="shared" ref="Z27:Z40" si="13">Q27</f>
        <v>临街状况</v>
      </c>
      <c r="AA27" s="1789">
        <f t="shared" si="3"/>
        <v>1</v>
      </c>
      <c r="AB27" s="1789">
        <f t="shared" si="4"/>
        <v>1</v>
      </c>
      <c r="AC27" s="1789">
        <f t="shared" si="5"/>
        <v>1</v>
      </c>
    </row>
    <row r="28" spans="1:29" ht="27">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85"/>
      <c r="Q28" s="1788" t="str">
        <f t="shared" si="8"/>
        <v>毗邻道路的类型与等级</v>
      </c>
      <c r="R28" s="759" t="s">
        <v>17</v>
      </c>
      <c r="S28" s="760">
        <f t="shared" si="10"/>
        <v>100</v>
      </c>
      <c r="T28" s="759" t="s">
        <v>17</v>
      </c>
      <c r="U28" s="760">
        <f t="shared" si="11"/>
        <v>100</v>
      </c>
      <c r="V28" s="759" t="s">
        <v>17</v>
      </c>
      <c r="W28" s="760">
        <f t="shared" si="12"/>
        <v>100</v>
      </c>
      <c r="X28" s="1791"/>
      <c r="Y28" s="3285"/>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285"/>
      <c r="Q29" s="1788"/>
      <c r="R29" s="759"/>
      <c r="S29" s="760"/>
      <c r="T29" s="759"/>
      <c r="U29" s="760"/>
      <c r="V29" s="759"/>
      <c r="W29" s="760"/>
      <c r="X29" s="1791"/>
      <c r="Y29" s="3285"/>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85"/>
      <c r="Q30" s="1788" t="str">
        <f t="shared" si="8"/>
        <v>土地级别</v>
      </c>
      <c r="R30" s="759" t="s">
        <v>17</v>
      </c>
      <c r="S30" s="760">
        <f t="shared" si="10"/>
        <v>100</v>
      </c>
      <c r="T30" s="759" t="s">
        <v>17</v>
      </c>
      <c r="U30" s="760">
        <f t="shared" si="11"/>
        <v>100</v>
      </c>
      <c r="V30" s="759" t="s">
        <v>17</v>
      </c>
      <c r="W30" s="760">
        <f t="shared" si="12"/>
        <v>100</v>
      </c>
      <c r="X30" s="1791"/>
      <c r="Y30" s="3285"/>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85"/>
      <c r="Q31" s="1788">
        <f t="shared" si="8"/>
        <v>111</v>
      </c>
      <c r="R31" s="759" t="s">
        <v>17</v>
      </c>
      <c r="S31" s="760">
        <f t="shared" si="10"/>
        <v>100</v>
      </c>
      <c r="T31" s="759" t="s">
        <v>17</v>
      </c>
      <c r="U31" s="760">
        <f t="shared" si="11"/>
        <v>100</v>
      </c>
      <c r="V31" s="759" t="s">
        <v>17</v>
      </c>
      <c r="W31" s="760">
        <f t="shared" si="12"/>
        <v>100</v>
      </c>
      <c r="X31" s="1791"/>
      <c r="Y31" s="3285"/>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86" t="s">
        <v>2555</v>
      </c>
      <c r="Q32" s="1788">
        <f t="shared" si="8"/>
        <v>111</v>
      </c>
      <c r="R32" s="759" t="s">
        <v>17</v>
      </c>
      <c r="S32" s="760">
        <f t="shared" si="10"/>
        <v>100</v>
      </c>
      <c r="T32" s="759" t="s">
        <v>17</v>
      </c>
      <c r="U32" s="760">
        <f t="shared" si="11"/>
        <v>100</v>
      </c>
      <c r="V32" s="759" t="s">
        <v>17</v>
      </c>
      <c r="W32" s="760">
        <f t="shared" si="12"/>
        <v>100</v>
      </c>
      <c r="X32" s="1791"/>
      <c r="Y32" s="3287" t="s">
        <v>2555</v>
      </c>
      <c r="Z32" s="1792">
        <f t="shared" si="13"/>
        <v>111</v>
      </c>
      <c r="AA32" s="1789">
        <f t="shared" si="3"/>
        <v>1</v>
      </c>
      <c r="AB32" s="1789">
        <f t="shared" si="4"/>
        <v>1</v>
      </c>
      <c r="AC32" s="1789">
        <f t="shared" si="5"/>
        <v>1</v>
      </c>
    </row>
    <row r="33" spans="1:29" s="458" customFormat="1" ht="15.75"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87"/>
      <c r="Q33" s="1788">
        <f t="shared" si="8"/>
        <v>111</v>
      </c>
      <c r="R33" s="762" t="s">
        <v>17</v>
      </c>
      <c r="S33" s="763">
        <f t="shared" si="10"/>
        <v>100</v>
      </c>
      <c r="T33" s="762" t="s">
        <v>17</v>
      </c>
      <c r="U33" s="763">
        <f t="shared" si="11"/>
        <v>100</v>
      </c>
      <c r="V33" s="762" t="s">
        <v>17</v>
      </c>
      <c r="W33" s="763">
        <f t="shared" si="12"/>
        <v>100</v>
      </c>
      <c r="X33" s="764"/>
      <c r="Y33" s="3287"/>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87"/>
      <c r="Q34" s="1788" t="str">
        <f>B34</f>
        <v>宗地面积</v>
      </c>
      <c r="R34" s="759" t="s">
        <v>17</v>
      </c>
      <c r="S34" s="760" t="e">
        <f t="shared" si="10"/>
        <v>#N/A</v>
      </c>
      <c r="T34" s="759" t="s">
        <v>17</v>
      </c>
      <c r="U34" s="760" t="e">
        <f t="shared" si="11"/>
        <v>#N/A</v>
      </c>
      <c r="V34" s="759" t="s">
        <v>17</v>
      </c>
      <c r="W34" s="760" t="e">
        <f t="shared" si="12"/>
        <v>#N/A</v>
      </c>
      <c r="X34" s="1791"/>
      <c r="Y34" s="3287"/>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287"/>
      <c r="Q35" s="1788" t="str">
        <f t="shared" ref="Q35:Q40" si="14">B35</f>
        <v>宗地形状</v>
      </c>
      <c r="R35" s="759" t="s">
        <v>17</v>
      </c>
      <c r="S35" s="760">
        <f t="shared" si="10"/>
        <v>100</v>
      </c>
      <c r="T35" s="759" t="s">
        <v>17</v>
      </c>
      <c r="U35" s="760">
        <f t="shared" si="11"/>
        <v>100</v>
      </c>
      <c r="V35" s="759" t="s">
        <v>17</v>
      </c>
      <c r="W35" s="760">
        <f t="shared" si="12"/>
        <v>100</v>
      </c>
      <c r="X35" s="1791"/>
      <c r="Y35" s="3287"/>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287"/>
      <c r="Q36" s="1788" t="str">
        <f t="shared" si="14"/>
        <v>宗地开发程度</v>
      </c>
      <c r="R36" s="755" t="s">
        <v>17</v>
      </c>
      <c r="S36" s="756">
        <f t="shared" si="10"/>
        <v>100</v>
      </c>
      <c r="T36" s="755" t="s">
        <v>17</v>
      </c>
      <c r="U36" s="756">
        <f t="shared" si="11"/>
        <v>100</v>
      </c>
      <c r="V36" s="755" t="s">
        <v>17</v>
      </c>
      <c r="W36" s="756">
        <f t="shared" si="12"/>
        <v>100</v>
      </c>
      <c r="X36" s="757"/>
      <c r="Y36" s="3287"/>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287" t="s">
        <v>2555</v>
      </c>
      <c r="Q37" s="1788" t="str">
        <f t="shared" si="14"/>
        <v>工程地质条件</v>
      </c>
      <c r="R37" s="759" t="s">
        <v>17</v>
      </c>
      <c r="S37" s="760">
        <f t="shared" si="10"/>
        <v>100</v>
      </c>
      <c r="T37" s="759" t="s">
        <v>17</v>
      </c>
      <c r="U37" s="760">
        <f t="shared" si="11"/>
        <v>100</v>
      </c>
      <c r="V37" s="759" t="s">
        <v>17</v>
      </c>
      <c r="W37" s="760">
        <f t="shared" si="12"/>
        <v>100</v>
      </c>
      <c r="X37" s="1791"/>
      <c r="Y37" s="3287"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87"/>
      <c r="Q38" s="1788">
        <f t="shared" si="14"/>
        <v>111</v>
      </c>
      <c r="R38" s="759" t="s">
        <v>17</v>
      </c>
      <c r="S38" s="760">
        <f t="shared" si="10"/>
        <v>100</v>
      </c>
      <c r="T38" s="759" t="s">
        <v>17</v>
      </c>
      <c r="U38" s="760">
        <f t="shared" si="11"/>
        <v>100</v>
      </c>
      <c r="V38" s="759" t="s">
        <v>17</v>
      </c>
      <c r="W38" s="760">
        <f t="shared" si="12"/>
        <v>100</v>
      </c>
      <c r="X38" s="1791"/>
      <c r="Y38" s="3287"/>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87"/>
      <c r="Q39" s="1788">
        <f t="shared" si="14"/>
        <v>111</v>
      </c>
      <c r="R39" s="759" t="s">
        <v>17</v>
      </c>
      <c r="S39" s="760">
        <f t="shared" si="10"/>
        <v>100</v>
      </c>
      <c r="T39" s="759" t="s">
        <v>17</v>
      </c>
      <c r="U39" s="760">
        <f t="shared" si="11"/>
        <v>100</v>
      </c>
      <c r="V39" s="759" t="s">
        <v>17</v>
      </c>
      <c r="W39" s="760">
        <f t="shared" si="12"/>
        <v>100</v>
      </c>
      <c r="X39" s="1791"/>
      <c r="Y39" s="3287"/>
      <c r="Z39" s="1792">
        <f t="shared" si="13"/>
        <v>111</v>
      </c>
      <c r="AA39" s="1789">
        <f t="shared" si="3"/>
        <v>1</v>
      </c>
      <c r="AB39" s="1789">
        <f t="shared" si="4"/>
        <v>1</v>
      </c>
      <c r="AC39" s="1789">
        <f t="shared" si="5"/>
        <v>1</v>
      </c>
    </row>
    <row r="40" spans="1:29" s="458" customFormat="1" ht="15.75"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87"/>
      <c r="Q40" s="1788">
        <f t="shared" si="14"/>
        <v>111</v>
      </c>
      <c r="R40" s="762" t="s">
        <v>17</v>
      </c>
      <c r="S40" s="763">
        <f t="shared" si="10"/>
        <v>100</v>
      </c>
      <c r="T40" s="762" t="s">
        <v>17</v>
      </c>
      <c r="U40" s="763">
        <f t="shared" si="11"/>
        <v>100</v>
      </c>
      <c r="V40" s="762" t="s">
        <v>17</v>
      </c>
      <c r="W40" s="763">
        <f t="shared" si="12"/>
        <v>100</v>
      </c>
      <c r="X40" s="764"/>
      <c r="Y40" s="3287"/>
      <c r="Z40" s="765">
        <f t="shared" si="13"/>
        <v>111</v>
      </c>
      <c r="AA40" s="1789">
        <f t="shared" si="3"/>
        <v>1</v>
      </c>
      <c r="AB40" s="1789">
        <f t="shared" si="4"/>
        <v>1</v>
      </c>
      <c r="AC40" s="1789">
        <f t="shared" si="5"/>
        <v>1</v>
      </c>
    </row>
    <row r="41" spans="1:29" ht="15">
      <c r="A41" s="466" t="s">
        <v>2710</v>
      </c>
      <c r="B41" s="2671" t="s">
        <v>2789</v>
      </c>
      <c r="C41" s="669" t="s">
        <v>1</v>
      </c>
      <c r="D41" s="468"/>
      <c r="E41" s="469"/>
      <c r="F41" s="470"/>
      <c r="G41" s="471"/>
      <c r="H41" s="472"/>
      <c r="I41" s="469"/>
      <c r="J41" s="472"/>
      <c r="K41" s="768"/>
      <c r="L41" s="1121"/>
      <c r="M41" s="1109"/>
      <c r="N41" s="1109"/>
      <c r="O41" s="1122"/>
      <c r="P41" s="3282" t="str">
        <f>A41</f>
        <v>成交单价</v>
      </c>
      <c r="Q41" s="3282"/>
      <c r="R41" s="3288">
        <f>E41</f>
        <v>0</v>
      </c>
      <c r="S41" s="3288"/>
      <c r="T41" s="3288">
        <f>G41</f>
        <v>0</v>
      </c>
      <c r="U41" s="3288"/>
      <c r="V41" s="3288">
        <f>I41</f>
        <v>0</v>
      </c>
      <c r="W41" s="3288"/>
      <c r="X41" s="744"/>
      <c r="Y41" s="766"/>
      <c r="Z41" s="744"/>
      <c r="AA41" s="744"/>
      <c r="AB41" s="744"/>
      <c r="AC41" s="744"/>
    </row>
    <row r="42" spans="1:29" ht="15.7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282" t="str">
        <f>A42</f>
        <v>比较价值（元/平方米）</v>
      </c>
      <c r="Q42" s="3282"/>
      <c r="R42" s="3275" t="e">
        <f>ROUND(PRODUCT(R41,AA7:AA40),0)</f>
        <v>#DIV/0!</v>
      </c>
      <c r="S42" s="3275"/>
      <c r="T42" s="3275" t="e">
        <f>ROUND(PRODUCT(T41,AB7:AB40),0)</f>
        <v>#DIV/0!</v>
      </c>
      <c r="U42" s="3275"/>
      <c r="V42" s="3275" t="e">
        <f>ROUND(PRODUCT(V41,AC7:AC40),0)</f>
        <v>#DIV/0!</v>
      </c>
      <c r="W42" s="3275"/>
      <c r="X42" s="744"/>
      <c r="Y42" s="744"/>
      <c r="Z42" s="744"/>
      <c r="AA42" s="744"/>
      <c r="AB42" s="744"/>
      <c r="AC42" s="744"/>
    </row>
    <row r="43" spans="1:29" ht="15.75" thickBot="1">
      <c r="A43" s="479" t="s">
        <v>2660</v>
      </c>
      <c r="B43" s="480"/>
      <c r="C43" s="481" t="e">
        <f>R43</f>
        <v>#DIV/0!</v>
      </c>
      <c r="D43" s="481"/>
      <c r="E43" s="481"/>
      <c r="F43" s="481"/>
      <c r="G43" s="481"/>
      <c r="H43" s="481"/>
      <c r="I43" s="481"/>
      <c r="J43" s="481"/>
      <c r="K43" s="770"/>
      <c r="L43" s="1121"/>
      <c r="M43" s="1109"/>
      <c r="N43" s="1109"/>
      <c r="O43" s="1122"/>
      <c r="P43" s="3276" t="str">
        <f>A43</f>
        <v>估价对象XX用房的比较价值（楼面单价，元/平方米）</v>
      </c>
      <c r="Q43" s="3277"/>
      <c r="R43" s="3278" t="e">
        <f>ROUND(AVERAGE(R42:V42),0)</f>
        <v>#DIV/0!</v>
      </c>
      <c r="S43" s="3278"/>
      <c r="T43" s="3278"/>
      <c r="U43" s="3278"/>
      <c r="V43" s="3278"/>
      <c r="W43" s="3278"/>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5" thickBot="1">
      <c r="A49" s="1123"/>
      <c r="B49" s="1124"/>
      <c r="C49" s="747"/>
      <c r="D49" s="745"/>
      <c r="E49" s="745"/>
      <c r="F49" s="745"/>
      <c r="G49" s="745"/>
      <c r="H49" s="745"/>
      <c r="I49" s="745"/>
      <c r="J49" s="745"/>
      <c r="K49" s="1126"/>
      <c r="L49" s="1127"/>
      <c r="M49" s="1123"/>
      <c r="N49" s="1123"/>
      <c r="O49" s="1123"/>
    </row>
    <row r="50" spans="1:17" ht="27">
      <c r="A50" s="671" t="s">
        <v>2747</v>
      </c>
      <c r="B50" s="672" t="s">
        <v>2748</v>
      </c>
      <c r="C50" s="2672" t="s">
        <v>2749</v>
      </c>
      <c r="D50" s="2673" t="s">
        <v>2750</v>
      </c>
      <c r="E50" s="673" t="s">
        <v>2751</v>
      </c>
      <c r="F50" s="674" t="s">
        <v>2752</v>
      </c>
      <c r="G50" s="3279" t="s">
        <v>2753</v>
      </c>
      <c r="H50" s="3280"/>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281"/>
      <c r="H51" s="3282"/>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283"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283"/>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283"/>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283"/>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5"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5" thickBot="1">
      <c r="A61" s="682" t="s">
        <v>2770</v>
      </c>
      <c r="B61" s="683" t="s">
        <v>28</v>
      </c>
      <c r="C61" s="683" t="s">
        <v>29</v>
      </c>
      <c r="D61" s="683" t="s">
        <v>1025</v>
      </c>
      <c r="E61" s="683">
        <f>IF(B41="楼面地价",SUM(E51:E60),'数据-汇总表'!D3)</f>
        <v>11141.12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2020-5-1</v>
      </c>
      <c r="D63" s="746">
        <f>EDATE(C63,-3)</f>
        <v>43862</v>
      </c>
      <c r="E63" s="746">
        <f>EDATE(D63,-3)</f>
        <v>43770</v>
      </c>
      <c r="F63" s="746">
        <f t="shared" ref="F63:O63" si="18">EDATE(E63,-3)</f>
        <v>43678</v>
      </c>
      <c r="G63" s="746">
        <f t="shared" si="18"/>
        <v>43586</v>
      </c>
      <c r="H63" s="746">
        <f t="shared" si="18"/>
        <v>43497</v>
      </c>
      <c r="I63" s="746">
        <f t="shared" si="18"/>
        <v>43405</v>
      </c>
      <c r="J63" s="746">
        <f t="shared" si="18"/>
        <v>43313</v>
      </c>
      <c r="K63" s="746">
        <f t="shared" si="18"/>
        <v>43221</v>
      </c>
      <c r="L63" s="746">
        <f t="shared" si="18"/>
        <v>43132</v>
      </c>
      <c r="M63" s="746">
        <f t="shared" si="18"/>
        <v>43040</v>
      </c>
      <c r="N63" s="746">
        <f t="shared" si="18"/>
        <v>42948</v>
      </c>
      <c r="O63" s="746">
        <f t="shared" si="18"/>
        <v>42856</v>
      </c>
    </row>
    <row r="64" spans="1:17" ht="21.75" thickBot="1">
      <c r="A64" s="748" t="s">
        <v>2664</v>
      </c>
      <c r="B64" s="744"/>
      <c r="C64" s="749"/>
      <c r="D64" s="749"/>
      <c r="E64" s="749"/>
      <c r="F64" s="750"/>
      <c r="G64" s="750"/>
      <c r="H64" s="749"/>
      <c r="I64" s="749"/>
      <c r="J64" s="749"/>
      <c r="K64" s="751"/>
      <c r="L64" s="752"/>
      <c r="M64" s="749"/>
      <c r="N64" s="749"/>
      <c r="O64" s="1137"/>
      <c r="P64" s="490"/>
      <c r="Q64" s="491"/>
    </row>
    <row r="65" spans="1:17" s="495" customFormat="1" ht="15">
      <c r="A65" s="2678" t="s">
        <v>2771</v>
      </c>
      <c r="B65" s="1337"/>
      <c r="C65" s="1550" t="str">
        <f>YEAR(C63)&amp;"-"&amp;ROUNDUP(MONTH(C63)/3,0)</f>
        <v>2020-2</v>
      </c>
      <c r="D65" s="1550" t="str">
        <f t="shared" ref="D65:O65" si="19">YEAR(D63)&amp;"-"&amp;ROUNDUP(MONTH(D63)/3,0)</f>
        <v>2020-1</v>
      </c>
      <c r="E65" s="1550" t="str">
        <f t="shared" si="19"/>
        <v>2019-4</v>
      </c>
      <c r="F65" s="1550" t="str">
        <f t="shared" si="19"/>
        <v>2019-3</v>
      </c>
      <c r="G65" s="1550" t="str">
        <f t="shared" si="19"/>
        <v>2019-2</v>
      </c>
      <c r="H65" s="1550" t="str">
        <f t="shared" si="19"/>
        <v>2019-1</v>
      </c>
      <c r="I65" s="1550" t="str">
        <f t="shared" si="19"/>
        <v>2018-4</v>
      </c>
      <c r="J65" s="1550" t="str">
        <f t="shared" si="19"/>
        <v>2018-3</v>
      </c>
      <c r="K65" s="1550" t="str">
        <f t="shared" si="19"/>
        <v>2018-2</v>
      </c>
      <c r="L65" s="1550" t="str">
        <f t="shared" si="19"/>
        <v>2018-1</v>
      </c>
      <c r="M65" s="1550" t="str">
        <f t="shared" si="19"/>
        <v>2017-4</v>
      </c>
      <c r="N65" s="1550" t="str">
        <f t="shared" si="19"/>
        <v>2017-3</v>
      </c>
      <c r="O65" s="1550" t="str">
        <f t="shared" si="19"/>
        <v>2017-2</v>
      </c>
      <c r="P65" s="494"/>
    </row>
    <row r="66" spans="1:17" s="112" customFormat="1" ht="30.75" customHeight="1">
      <c r="A66" s="2683"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7"/>
      <c r="P66" s="491"/>
    </row>
    <row r="67" spans="1:17" s="112" customFormat="1" ht="15.75" thickBot="1">
      <c r="A67" s="502" t="s">
        <v>2575</v>
      </c>
      <c r="B67" s="503"/>
      <c r="C67" s="504"/>
      <c r="D67" s="505"/>
      <c r="E67" s="505"/>
      <c r="F67" s="505"/>
      <c r="G67" s="505"/>
      <c r="H67" s="505"/>
      <c r="I67" s="505"/>
      <c r="J67" s="505"/>
      <c r="K67" s="505"/>
      <c r="L67" s="505"/>
      <c r="M67" s="506"/>
      <c r="N67" s="506"/>
      <c r="O67" s="507"/>
      <c r="P67" s="491"/>
      <c r="Q67" s="491"/>
    </row>
    <row r="68" spans="1:17" s="112" customFormat="1" ht="15">
      <c r="A68" s="508" t="s">
        <v>2540</v>
      </c>
      <c r="B68" s="497"/>
      <c r="C68" s="509" t="s">
        <v>2642</v>
      </c>
      <c r="D68" s="510"/>
      <c r="E68" s="510"/>
      <c r="F68" s="510"/>
      <c r="G68" s="510"/>
      <c r="H68" s="510"/>
      <c r="I68" s="510"/>
      <c r="J68" s="510"/>
      <c r="K68" s="510"/>
      <c r="L68" s="511"/>
      <c r="M68" s="512"/>
      <c r="N68" s="1129"/>
      <c r="O68" s="1129"/>
      <c r="P68" s="513"/>
      <c r="Q68" s="491"/>
    </row>
    <row r="69" spans="1:17" s="112" customFormat="1" ht="15.75" thickBot="1">
      <c r="A69" s="508"/>
      <c r="B69" s="497"/>
      <c r="C69" s="626">
        <v>100</v>
      </c>
      <c r="D69" s="499"/>
      <c r="E69" s="499"/>
      <c r="F69" s="499"/>
      <c r="G69" s="499"/>
      <c r="H69" s="499"/>
      <c r="I69" s="499"/>
      <c r="J69" s="499"/>
      <c r="K69" s="499"/>
      <c r="L69" s="499"/>
      <c r="M69" s="501"/>
      <c r="N69" s="1129"/>
      <c r="O69" s="1129"/>
      <c r="P69" s="491"/>
      <c r="Q69" s="491"/>
    </row>
    <row r="70" spans="1:17">
      <c r="A70" s="514" t="s">
        <v>2578</v>
      </c>
      <c r="B70" s="515" t="s">
        <v>2544</v>
      </c>
      <c r="C70" s="517"/>
      <c r="D70" s="517"/>
      <c r="E70" s="517"/>
      <c r="F70" s="517"/>
      <c r="G70" s="517"/>
      <c r="H70" s="517"/>
      <c r="I70" s="517"/>
      <c r="J70" s="517"/>
      <c r="K70" s="518"/>
      <c r="L70" s="519"/>
      <c r="M70" s="520"/>
      <c r="N70" s="1130"/>
      <c r="O70" s="1130"/>
      <c r="P70" s="45"/>
      <c r="Q70" s="491"/>
    </row>
    <row r="71" spans="1:17" ht="15.75" thickBot="1">
      <c r="A71" s="521"/>
      <c r="B71" s="522"/>
      <c r="C71" s="523"/>
      <c r="D71" s="523"/>
      <c r="E71" s="523"/>
      <c r="F71" s="523"/>
      <c r="G71" s="523"/>
      <c r="H71" s="523"/>
      <c r="I71" s="523"/>
      <c r="J71" s="523"/>
      <c r="K71" s="523"/>
      <c r="L71" s="523"/>
      <c r="M71" s="524"/>
      <c r="N71" s="1131"/>
      <c r="O71" s="1131"/>
      <c r="P71" s="45"/>
      <c r="Q71" s="491"/>
    </row>
    <row r="72" spans="1:17" ht="27.75" thickTop="1">
      <c r="A72" s="521"/>
      <c r="B72" s="525" t="s">
        <v>2547</v>
      </c>
      <c r="C72" s="526"/>
      <c r="D72" s="526"/>
      <c r="E72" s="526"/>
      <c r="F72" s="526"/>
      <c r="G72" s="526"/>
      <c r="H72" s="526"/>
      <c r="I72" s="526"/>
      <c r="J72" s="526"/>
      <c r="K72" s="527"/>
      <c r="L72" s="528"/>
      <c r="M72" s="529"/>
      <c r="N72" s="1130"/>
      <c r="O72" s="1130"/>
      <c r="P72" s="45"/>
      <c r="Q72" s="491"/>
    </row>
    <row r="73" spans="1:17" ht="15.75" thickBot="1">
      <c r="A73" s="521"/>
      <c r="B73" s="530"/>
      <c r="C73" s="531"/>
      <c r="D73" s="531"/>
      <c r="E73" s="531"/>
      <c r="F73" s="531"/>
      <c r="G73" s="531"/>
      <c r="H73" s="531"/>
      <c r="I73" s="531"/>
      <c r="J73" s="531"/>
      <c r="K73" s="531"/>
      <c r="L73" s="531"/>
      <c r="M73" s="532"/>
      <c r="N73" s="1131"/>
      <c r="O73" s="1131"/>
      <c r="P73" s="45"/>
      <c r="Q73" s="491"/>
    </row>
    <row r="74" spans="1:17" ht="15.7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ht="15">
      <c r="A75" s="521"/>
      <c r="B75" s="535"/>
      <c r="C75" s="536"/>
      <c r="D75" s="536"/>
      <c r="E75" s="536"/>
      <c r="F75" s="536"/>
      <c r="G75" s="536"/>
      <c r="H75" s="536"/>
      <c r="I75" s="536"/>
      <c r="J75" s="536"/>
      <c r="K75" s="537"/>
      <c r="L75" s="538"/>
      <c r="M75" s="539"/>
      <c r="N75" s="1130"/>
      <c r="O75" s="1130"/>
      <c r="P75" s="45"/>
      <c r="Q75" s="491"/>
    </row>
    <row r="76" spans="1:17" ht="15.75"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5.75" thickTop="1">
      <c r="A77" s="540"/>
      <c r="B77" s="525">
        <f>B12</f>
        <v>111</v>
      </c>
      <c r="C77" s="541"/>
      <c r="D77" s="541"/>
      <c r="E77" s="541"/>
      <c r="F77" s="541"/>
      <c r="G77" s="541"/>
      <c r="H77" s="542"/>
      <c r="I77" s="542"/>
      <c r="J77" s="542"/>
      <c r="K77" s="542"/>
      <c r="L77" s="543"/>
      <c r="M77" s="544"/>
      <c r="N77" s="1132"/>
      <c r="O77" s="1132"/>
      <c r="P77" s="545"/>
      <c r="Q77" s="546"/>
    </row>
    <row r="78" spans="1:17" s="458" customFormat="1" ht="15.75" thickBot="1">
      <c r="A78" s="540"/>
      <c r="B78" s="530"/>
      <c r="C78" s="547"/>
      <c r="D78" s="523"/>
      <c r="E78" s="523"/>
      <c r="F78" s="523"/>
      <c r="G78" s="523"/>
      <c r="H78" s="523"/>
      <c r="I78" s="523"/>
      <c r="J78" s="523"/>
      <c r="K78" s="523"/>
      <c r="L78" s="523"/>
      <c r="M78" s="524"/>
      <c r="N78" s="1131"/>
      <c r="O78" s="1131"/>
      <c r="P78" s="545"/>
      <c r="Q78" s="546"/>
    </row>
    <row r="79" spans="1:17" s="458" customFormat="1" ht="15.75" thickTop="1">
      <c r="A79" s="540"/>
      <c r="B79" s="525">
        <f>B13</f>
        <v>111</v>
      </c>
      <c r="C79" s="541"/>
      <c r="D79" s="541"/>
      <c r="E79" s="541"/>
      <c r="F79" s="541"/>
      <c r="G79" s="541"/>
      <c r="H79" s="542"/>
      <c r="I79" s="542"/>
      <c r="J79" s="542"/>
      <c r="K79" s="542"/>
      <c r="L79" s="543"/>
      <c r="M79" s="544"/>
      <c r="N79" s="1132"/>
      <c r="O79" s="1132"/>
      <c r="P79" s="457"/>
      <c r="Q79" s="548"/>
    </row>
    <row r="80" spans="1:17" s="458" customFormat="1" ht="15.75" thickBot="1">
      <c r="A80" s="540"/>
      <c r="B80" s="530"/>
      <c r="C80" s="547"/>
      <c r="D80" s="547"/>
      <c r="E80" s="547"/>
      <c r="F80" s="547"/>
      <c r="G80" s="547"/>
      <c r="H80" s="549"/>
      <c r="I80" s="549"/>
      <c r="J80" s="549"/>
      <c r="K80" s="549"/>
      <c r="L80" s="549"/>
      <c r="M80" s="550"/>
      <c r="N80" s="1132"/>
      <c r="O80" s="1132"/>
      <c r="P80" s="545"/>
      <c r="Q80" s="546"/>
    </row>
    <row r="81" spans="1:17" s="458" customFormat="1" ht="15.75" thickTop="1">
      <c r="A81" s="540"/>
      <c r="B81" s="533">
        <f>B14</f>
        <v>111</v>
      </c>
      <c r="C81" s="510"/>
      <c r="D81" s="510"/>
      <c r="E81" s="510"/>
      <c r="F81" s="510"/>
      <c r="G81" s="510"/>
      <c r="H81" s="551"/>
      <c r="I81" s="551"/>
      <c r="J81" s="551"/>
      <c r="K81" s="551"/>
      <c r="L81" s="552"/>
      <c r="M81" s="553"/>
      <c r="N81" s="1132"/>
      <c r="O81" s="1132"/>
      <c r="P81" s="554"/>
      <c r="Q81" s="546"/>
    </row>
    <row r="82" spans="1:17" s="458" customFormat="1" ht="15.75" thickBot="1">
      <c r="A82" s="555"/>
      <c r="B82" s="556"/>
      <c r="C82" s="557"/>
      <c r="D82" s="557"/>
      <c r="E82" s="557"/>
      <c r="F82" s="557"/>
      <c r="G82" s="557"/>
      <c r="H82" s="558"/>
      <c r="I82" s="558"/>
      <c r="J82" s="558"/>
      <c r="K82" s="558"/>
      <c r="L82" s="558"/>
      <c r="M82" s="559"/>
      <c r="N82" s="1132"/>
      <c r="O82" s="1132"/>
      <c r="P82" s="545"/>
      <c r="Q82" s="546"/>
    </row>
    <row r="83" spans="1:17">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5.75"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7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5.75"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15.75"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5.75"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7.75"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5.75"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7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5.75"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7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5.75"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7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5.75"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7.75" thickTop="1">
      <c r="A97" s="521"/>
      <c r="B97" s="525" t="s">
        <v>2681</v>
      </c>
      <c r="C97" s="541"/>
      <c r="D97" s="541"/>
      <c r="E97" s="541"/>
      <c r="F97" s="541"/>
      <c r="G97" s="541"/>
      <c r="H97" s="570"/>
      <c r="I97" s="570"/>
      <c r="J97" s="570"/>
      <c r="K97" s="571"/>
      <c r="L97" s="572"/>
      <c r="M97" s="573"/>
      <c r="N97" s="1130"/>
      <c r="O97" s="1130"/>
      <c r="P97" s="45"/>
      <c r="Q97" s="491"/>
    </row>
    <row r="98" spans="1:17" ht="15.75"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75" thickTop="1">
      <c r="A99" s="521"/>
      <c r="B99" s="525" t="s">
        <v>2739</v>
      </c>
      <c r="C99" s="570"/>
      <c r="D99" s="570"/>
      <c r="E99" s="570"/>
      <c r="F99" s="570"/>
      <c r="G99" s="570"/>
      <c r="H99" s="570"/>
      <c r="I99" s="570"/>
      <c r="J99" s="570"/>
      <c r="K99" s="571"/>
      <c r="L99" s="572"/>
      <c r="M99" s="573"/>
      <c r="N99" s="1130"/>
      <c r="O99" s="1130"/>
      <c r="P99" s="45"/>
      <c r="Q99" s="491"/>
    </row>
    <row r="100" spans="1:17" ht="15.75"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5.75" thickTop="1">
      <c r="A101" s="521"/>
      <c r="B101" s="533">
        <f>B31</f>
        <v>111</v>
      </c>
      <c r="C101" s="541"/>
      <c r="D101" s="541"/>
      <c r="E101" s="541"/>
      <c r="F101" s="541"/>
      <c r="G101" s="574"/>
      <c r="H101" s="574"/>
      <c r="I101" s="574"/>
      <c r="J101" s="574"/>
      <c r="K101" s="575"/>
      <c r="L101" s="576"/>
      <c r="M101" s="577"/>
      <c r="N101" s="1130"/>
      <c r="O101" s="1130"/>
      <c r="P101" s="45"/>
      <c r="Q101" s="491"/>
    </row>
    <row r="102" spans="1:17" ht="15.75" thickBot="1">
      <c r="A102" s="521"/>
      <c r="B102" s="556"/>
      <c r="C102" s="547"/>
      <c r="D102" s="523"/>
      <c r="E102" s="523"/>
      <c r="F102" s="523"/>
      <c r="G102" s="578"/>
      <c r="H102" s="578"/>
      <c r="I102" s="578"/>
      <c r="J102" s="578"/>
      <c r="K102" s="578"/>
      <c r="L102" s="578"/>
      <c r="M102" s="579"/>
      <c r="N102" s="1131"/>
      <c r="O102" s="1131"/>
      <c r="P102" s="45"/>
      <c r="Q102" s="491"/>
    </row>
    <row r="103" spans="1:17" ht="15" thickTop="1">
      <c r="A103" s="662"/>
      <c r="B103" s="525">
        <f>B32</f>
        <v>111</v>
      </c>
      <c r="C103" s="541"/>
      <c r="D103" s="541"/>
      <c r="E103" s="541"/>
      <c r="F103" s="541"/>
      <c r="G103" s="570"/>
      <c r="H103" s="570"/>
      <c r="I103" s="570"/>
      <c r="J103" s="570"/>
      <c r="K103" s="571"/>
      <c r="L103" s="572"/>
      <c r="M103" s="573"/>
      <c r="N103" s="1130"/>
      <c r="O103" s="1130"/>
      <c r="P103" s="45"/>
      <c r="Q103" s="491"/>
    </row>
    <row r="104" spans="1:17" ht="15.75" thickBot="1">
      <c r="A104" s="521"/>
      <c r="B104" s="530"/>
      <c r="C104" s="547"/>
      <c r="D104" s="547"/>
      <c r="E104" s="547"/>
      <c r="F104" s="547"/>
      <c r="G104" s="523"/>
      <c r="H104" s="523"/>
      <c r="I104" s="523"/>
      <c r="J104" s="523"/>
      <c r="K104" s="523"/>
      <c r="L104" s="523"/>
      <c r="M104" s="524"/>
      <c r="N104" s="1131"/>
      <c r="O104" s="1131"/>
      <c r="P104" s="45"/>
      <c r="Q104" s="491"/>
    </row>
    <row r="105" spans="1:17" s="458" customFormat="1" ht="15"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5.75" thickBot="1">
      <c r="A106" s="540"/>
      <c r="B106" s="533"/>
      <c r="C106" s="557"/>
      <c r="D106" s="557"/>
      <c r="E106" s="557"/>
      <c r="F106" s="557"/>
      <c r="G106" s="664"/>
      <c r="H106" s="664"/>
      <c r="I106" s="664"/>
      <c r="J106" s="664"/>
      <c r="K106" s="664"/>
      <c r="L106" s="664"/>
      <c r="M106" s="686"/>
      <c r="N106" s="1131"/>
      <c r="O106" s="1131"/>
      <c r="P106" s="545"/>
      <c r="Q106" s="546"/>
    </row>
    <row r="107" spans="1:17">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ht="15">
      <c r="A108" s="521"/>
      <c r="B108" s="533"/>
      <c r="C108" s="582"/>
      <c r="D108" s="582"/>
      <c r="E108" s="582"/>
      <c r="F108" s="582"/>
      <c r="G108" s="582"/>
      <c r="H108" s="582"/>
      <c r="I108" s="582"/>
      <c r="J108" s="583"/>
      <c r="K108" s="583"/>
      <c r="L108" s="584"/>
      <c r="M108" s="585"/>
      <c r="N108" s="1130"/>
      <c r="O108" s="1130"/>
      <c r="P108" s="45"/>
      <c r="Q108" s="491"/>
    </row>
    <row r="109" spans="1:17" ht="15.75"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5.75"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5.75"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5.75"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5" thickTop="1">
      <c r="A116" s="586"/>
      <c r="B116" s="525">
        <f>B38</f>
        <v>111</v>
      </c>
      <c r="C116" s="541"/>
      <c r="D116" s="541"/>
      <c r="E116" s="541"/>
      <c r="F116" s="541"/>
      <c r="G116" s="541"/>
      <c r="H116" s="570"/>
      <c r="I116" s="570"/>
      <c r="J116" s="570"/>
      <c r="K116" s="571"/>
      <c r="L116" s="572"/>
      <c r="M116" s="573"/>
      <c r="N116" s="1130"/>
      <c r="O116" s="1130"/>
      <c r="P116" s="45"/>
      <c r="Q116" s="491"/>
    </row>
    <row r="117" spans="1:17" ht="15.75" thickBot="1">
      <c r="A117" s="521"/>
      <c r="B117" s="530"/>
      <c r="C117" s="547"/>
      <c r="D117" s="523"/>
      <c r="E117" s="523"/>
      <c r="F117" s="523"/>
      <c r="G117" s="523"/>
      <c r="H117" s="523"/>
      <c r="I117" s="523"/>
      <c r="J117" s="523"/>
      <c r="K117" s="523"/>
      <c r="L117" s="523"/>
      <c r="M117" s="524"/>
      <c r="N117" s="1131"/>
      <c r="O117" s="1131"/>
      <c r="P117" s="45"/>
      <c r="Q117" s="491"/>
    </row>
    <row r="118" spans="1:17" ht="15" thickTop="1">
      <c r="A118" s="586"/>
      <c r="B118" s="525">
        <f>B39</f>
        <v>111</v>
      </c>
      <c r="C118" s="541"/>
      <c r="D118" s="541"/>
      <c r="E118" s="541"/>
      <c r="F118" s="541"/>
      <c r="G118" s="570"/>
      <c r="H118" s="570"/>
      <c r="I118" s="570"/>
      <c r="J118" s="570"/>
      <c r="K118" s="571"/>
      <c r="L118" s="572"/>
      <c r="M118" s="573"/>
      <c r="N118" s="1130"/>
      <c r="O118" s="1130"/>
      <c r="P118" s="45"/>
      <c r="Q118" s="491"/>
    </row>
    <row r="119" spans="1:17" ht="15.75" thickBot="1">
      <c r="A119" s="521"/>
      <c r="B119" s="530"/>
      <c r="C119" s="547"/>
      <c r="D119" s="547"/>
      <c r="E119" s="547"/>
      <c r="F119" s="547"/>
      <c r="G119" s="523"/>
      <c r="H119" s="523"/>
      <c r="I119" s="523"/>
      <c r="J119" s="523"/>
      <c r="K119" s="523"/>
      <c r="L119" s="523"/>
      <c r="M119" s="524"/>
      <c r="N119" s="1131"/>
      <c r="O119" s="1131"/>
      <c r="P119" s="45"/>
      <c r="Q119" s="491"/>
    </row>
    <row r="120" spans="1:17" s="458" customFormat="1" ht="15"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5.75"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5" customWidth="1"/>
    <col min="2" max="2" width="19.25" style="2861" customWidth="1"/>
    <col min="3" max="4" width="12" style="2687"/>
    <col min="5" max="5" width="14.625" style="2687" customWidth="1"/>
    <col min="6" max="8" width="12" style="2687"/>
    <col min="9" max="9" width="12.25" style="2687" bestFit="1" customWidth="1"/>
    <col min="10" max="10" width="12" style="2687"/>
    <col min="11" max="11" width="8.125" style="2750" customWidth="1"/>
    <col min="12" max="12" width="12" style="2687"/>
    <col min="13" max="13" width="8.5" style="2687" customWidth="1"/>
    <col min="14" max="14" width="9.75" style="2687" customWidth="1"/>
    <col min="15" max="25" width="12" style="2687"/>
    <col min="26" max="26" width="9.375" style="2755" customWidth="1"/>
    <col min="27" max="32" width="9.375" style="1350" customWidth="1"/>
    <col min="33" max="36" width="9.375" style="2755" customWidth="1"/>
    <col min="37" max="38" width="9.375" style="2687" customWidth="1"/>
    <col min="39" max="16384" width="12" style="2687"/>
  </cols>
  <sheetData>
    <row r="1" spans="1:36" ht="28.5">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75">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384"/>
      <c r="B4" s="3385"/>
      <c r="C4" s="3385"/>
      <c r="D4" s="3386"/>
      <c r="E4" s="3386"/>
      <c r="F4" s="3386"/>
      <c r="G4" s="3386"/>
      <c r="H4" s="3386"/>
      <c r="I4" s="3386"/>
      <c r="J4" s="3387"/>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75"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75"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388"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389"/>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381" t="s">
        <v>2829</v>
      </c>
      <c r="X8" s="3382"/>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389"/>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383"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389"/>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383"/>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389"/>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383"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5" thickBot="1">
      <c r="A12" s="3388"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383"/>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390"/>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383"/>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390"/>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391"/>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388" t="s">
        <v>2872</v>
      </c>
      <c r="B16" s="2712" t="s">
        <v>2873</v>
      </c>
      <c r="C16" s="2899" t="e">
        <f>ROUND(IF(F17="与级别开发程度一致",0,(G17-E17)/C17),0)</f>
        <v>#DIV/0!</v>
      </c>
      <c r="D16" s="3402" t="s">
        <v>2877</v>
      </c>
      <c r="E16" s="3403"/>
      <c r="F16" s="3402" t="s">
        <v>2874</v>
      </c>
      <c r="G16" s="3403"/>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392"/>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7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7.75"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43976</v>
      </c>
      <c r="H19" s="2757"/>
      <c r="I19" s="905" t="str">
        <f>IF(H19="季度增幅（自定义）",SUMIF(N21:N24,E2,O21:O24),"")</f>
        <v/>
      </c>
      <c r="J19" s="2754"/>
      <c r="K19" s="1355"/>
      <c r="L19" s="2758" t="s">
        <v>2883</v>
      </c>
      <c r="M19" s="1712">
        <f>ROUND(SUMIF(地价!B2:F2,E2,地价!B29:F29),0)</f>
        <v>0</v>
      </c>
      <c r="N19" s="2759"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7.75"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5">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5" customFormat="1" ht="14.25">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7.75"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5"/>
    </row>
    <row r="24" spans="1:37" s="2705" customFormat="1" ht="15.7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7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5">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7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7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5"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4.25">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24">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399"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4.25">
      <c r="A34" s="3400"/>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00"/>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5" thickBot="1">
      <c r="A36" s="3401"/>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5"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7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5">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4.75">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38.25">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63.75">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5.5">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36.75">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24">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1">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5.5">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39"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5">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4.75">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63.75">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5.5">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36.75">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24">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1">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5.5">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39"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5">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4.75">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63.75">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63.75">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5.5">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14.25">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1">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5.5">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24">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38.25">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24.75"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5">
      <c r="A79" s="2833" t="s">
        <v>2957</v>
      </c>
      <c r="B79" s="2834">
        <f>1+E81</f>
        <v>1</v>
      </c>
      <c r="C79" s="792"/>
      <c r="D79" s="792"/>
      <c r="E79" s="793"/>
      <c r="F79" s="2836"/>
      <c r="G79" s="6"/>
      <c r="H79" s="6"/>
      <c r="I79" s="6"/>
      <c r="J79" s="7"/>
      <c r="K79" s="7"/>
      <c r="L79" s="7"/>
      <c r="M79" s="7"/>
      <c r="N79" s="7"/>
      <c r="Z79" s="2687"/>
      <c r="AA79" s="2755"/>
      <c r="AG79" s="1350"/>
      <c r="AK79" s="2755"/>
    </row>
    <row r="80" spans="1:37" ht="24.75">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8.25">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51">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4.25">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5.5">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5.5">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24">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39"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393" t="s">
        <v>2961</v>
      </c>
      <c r="B90" s="3393"/>
      <c r="C90" s="3393"/>
      <c r="D90" s="3393"/>
      <c r="E90" s="3393"/>
      <c r="F90" s="3393"/>
      <c r="G90" s="3393"/>
      <c r="H90" s="3393"/>
      <c r="I90" s="3393"/>
      <c r="J90" s="3393"/>
      <c r="K90" s="2851"/>
      <c r="L90" s="2851"/>
      <c r="M90" s="2851"/>
      <c r="N90" s="2851"/>
    </row>
    <row r="91" spans="1:37">
      <c r="A91" s="3395" t="s">
        <v>2962</v>
      </c>
      <c r="B91" s="3395" t="s">
        <v>2963</v>
      </c>
      <c r="C91" s="2805" t="s">
        <v>2964</v>
      </c>
      <c r="D91" s="2806"/>
      <c r="E91" s="2806"/>
      <c r="F91" s="2806"/>
      <c r="G91" s="2806"/>
      <c r="H91" s="2806"/>
      <c r="I91" s="2806"/>
      <c r="J91" s="2852"/>
      <c r="K91" s="2853"/>
      <c r="L91" s="2853"/>
      <c r="M91" s="2853"/>
      <c r="N91" s="2853"/>
    </row>
    <row r="92" spans="1:37">
      <c r="A92" s="3395"/>
      <c r="B92" s="3395"/>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396"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397"/>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397"/>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397"/>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397"/>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397"/>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397"/>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398"/>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396"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397"/>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397"/>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397"/>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397"/>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397"/>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397"/>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397"/>
      <c r="B108" s="3248"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398"/>
      <c r="B109" s="3249"/>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394" t="s">
        <v>2969</v>
      </c>
      <c r="B110" s="3394"/>
      <c r="C110" s="3394"/>
      <c r="D110" s="3394"/>
      <c r="E110" s="3394"/>
      <c r="F110" s="3394"/>
      <c r="G110" s="3394"/>
      <c r="H110" s="3394"/>
      <c r="I110" s="3394"/>
      <c r="J110" s="3394"/>
      <c r="K110" s="2860"/>
      <c r="L110" s="2860"/>
      <c r="M110" s="2860"/>
      <c r="N110" s="2860"/>
    </row>
    <row r="112" spans="1:14" ht="13.5" thickBot="1"/>
    <row r="113" spans="1:13" ht="25.5"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5"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04" t="s">
        <v>183</v>
      </c>
      <c r="B18" s="860" t="s">
        <v>560</v>
      </c>
      <c r="C18" s="861" t="s">
        <v>561</v>
      </c>
      <c r="D18" s="862"/>
      <c r="E18" s="860">
        <v>1</v>
      </c>
      <c r="F18" s="863" t="s">
        <v>562</v>
      </c>
      <c r="G18" s="864"/>
      <c r="H18" s="856"/>
      <c r="I18" s="856"/>
    </row>
    <row r="19" spans="1:9" s="865" customFormat="1" ht="19.5" customHeight="1">
      <c r="A19" s="3404"/>
      <c r="B19" s="3404" t="s">
        <v>563</v>
      </c>
      <c r="C19" s="861" t="s">
        <v>564</v>
      </c>
      <c r="D19" s="862"/>
      <c r="E19" s="860">
        <v>0.9</v>
      </c>
      <c r="F19" s="863" t="s">
        <v>565</v>
      </c>
      <c r="G19" s="864"/>
      <c r="H19" s="856"/>
      <c r="I19" s="856"/>
    </row>
    <row r="20" spans="1:9" s="865" customFormat="1" ht="19.5" customHeight="1">
      <c r="A20" s="3404"/>
      <c r="B20" s="3404"/>
      <c r="C20" s="861" t="s">
        <v>566</v>
      </c>
      <c r="D20" s="862"/>
      <c r="E20" s="860">
        <v>1.1000000000000001</v>
      </c>
      <c r="F20" s="863" t="s">
        <v>567</v>
      </c>
      <c r="G20" s="864"/>
      <c r="H20" s="856"/>
      <c r="I20" s="856"/>
    </row>
    <row r="21" spans="1:9" s="865" customFormat="1" ht="19.5" customHeight="1">
      <c r="A21" s="3404"/>
      <c r="B21" s="3404"/>
      <c r="C21" s="861" t="s">
        <v>568</v>
      </c>
      <c r="D21" s="862"/>
      <c r="E21" s="860">
        <v>0.8</v>
      </c>
      <c r="F21" s="863" t="s">
        <v>569</v>
      </c>
      <c r="G21" s="864"/>
      <c r="H21" s="856"/>
      <c r="I21" s="856"/>
    </row>
    <row r="22" spans="1:9" s="865" customFormat="1" ht="19.5" customHeight="1">
      <c r="A22" s="3404"/>
      <c r="B22" s="3404"/>
      <c r="C22" s="861" t="s">
        <v>570</v>
      </c>
      <c r="D22" s="862"/>
      <c r="E22" s="860">
        <v>0.5</v>
      </c>
      <c r="F22" s="863"/>
      <c r="G22" s="864"/>
      <c r="H22" s="856"/>
      <c r="I22" s="856"/>
    </row>
    <row r="23" spans="1:9" s="865" customFormat="1" ht="19.5" customHeight="1">
      <c r="A23" s="3404" t="s">
        <v>184</v>
      </c>
      <c r="B23" s="860" t="s">
        <v>560</v>
      </c>
      <c r="C23" s="861" t="s">
        <v>571</v>
      </c>
      <c r="D23" s="862"/>
      <c r="E23" s="860">
        <v>1</v>
      </c>
      <c r="F23" s="863" t="s">
        <v>572</v>
      </c>
      <c r="G23" s="864"/>
      <c r="H23" s="856"/>
      <c r="I23" s="856"/>
    </row>
    <row r="24" spans="1:9" s="865" customFormat="1" ht="19.5" customHeight="1">
      <c r="A24" s="3404"/>
      <c r="B24" s="3404" t="s">
        <v>563</v>
      </c>
      <c r="C24" s="861" t="s">
        <v>573</v>
      </c>
      <c r="D24" s="862"/>
      <c r="E24" s="860">
        <v>0.5</v>
      </c>
      <c r="F24" s="863"/>
      <c r="G24" s="864"/>
      <c r="H24" s="856"/>
      <c r="I24" s="856"/>
    </row>
    <row r="25" spans="1:9" s="865" customFormat="1" ht="19.5" customHeight="1">
      <c r="A25" s="3404"/>
      <c r="B25" s="3404"/>
      <c r="C25" s="861" t="s">
        <v>574</v>
      </c>
      <c r="D25" s="862"/>
      <c r="E25" s="860">
        <v>1.1000000000000001</v>
      </c>
      <c r="F25" s="863"/>
      <c r="G25" s="864"/>
      <c r="H25" s="856"/>
      <c r="I25" s="856"/>
    </row>
    <row r="26" spans="1:9" s="865" customFormat="1" ht="19.5" customHeight="1">
      <c r="A26" s="3404"/>
      <c r="B26" s="3404"/>
      <c r="C26" s="861" t="s">
        <v>575</v>
      </c>
      <c r="D26" s="862"/>
      <c r="E26" s="860">
        <v>1.1000000000000001</v>
      </c>
      <c r="F26" s="863"/>
      <c r="G26" s="864"/>
      <c r="H26" s="856"/>
      <c r="I26" s="856"/>
    </row>
    <row r="27" spans="1:9" s="865" customFormat="1" ht="19.5" customHeight="1">
      <c r="A27" s="3404"/>
      <c r="B27" s="3404"/>
      <c r="C27" s="861" t="s">
        <v>576</v>
      </c>
      <c r="D27" s="862"/>
      <c r="E27" s="860">
        <v>0.9</v>
      </c>
      <c r="F27" s="863" t="s">
        <v>577</v>
      </c>
      <c r="G27" s="864"/>
      <c r="H27" s="856"/>
      <c r="I27" s="856"/>
    </row>
    <row r="28" spans="1:9" s="865" customFormat="1" ht="19.5" customHeight="1">
      <c r="A28" s="3404"/>
      <c r="B28" s="3404"/>
      <c r="C28" s="861" t="s">
        <v>578</v>
      </c>
      <c r="D28" s="862"/>
      <c r="E28" s="860">
        <v>0.9</v>
      </c>
      <c r="F28" s="863" t="s">
        <v>579</v>
      </c>
      <c r="G28" s="864"/>
      <c r="H28" s="856"/>
      <c r="I28" s="856"/>
    </row>
    <row r="29" spans="1:9" s="865" customFormat="1" ht="19.5" customHeight="1">
      <c r="A29" s="3404"/>
      <c r="B29" s="3404"/>
      <c r="C29" s="861" t="s">
        <v>580</v>
      </c>
      <c r="D29" s="862"/>
      <c r="E29" s="860">
        <v>0.9</v>
      </c>
      <c r="F29" s="863" t="s">
        <v>581</v>
      </c>
      <c r="G29" s="864"/>
      <c r="H29" s="856"/>
      <c r="I29" s="856"/>
    </row>
    <row r="30" spans="1:9" s="865" customFormat="1" ht="19.5" customHeight="1">
      <c r="A30" s="3404"/>
      <c r="B30" s="3404"/>
      <c r="C30" s="861" t="s">
        <v>582</v>
      </c>
      <c r="D30" s="862"/>
      <c r="E30" s="860">
        <v>0.9</v>
      </c>
      <c r="F30" s="863" t="s">
        <v>583</v>
      </c>
      <c r="G30" s="864"/>
      <c r="H30" s="856"/>
      <c r="I30" s="856"/>
    </row>
    <row r="31" spans="1:9" s="865" customFormat="1" ht="19.5" customHeight="1">
      <c r="A31" s="3404"/>
      <c r="B31" s="3404"/>
      <c r="C31" s="861" t="s">
        <v>584</v>
      </c>
      <c r="D31" s="862"/>
      <c r="E31" s="860">
        <v>0.8</v>
      </c>
      <c r="F31" s="863" t="s">
        <v>585</v>
      </c>
      <c r="G31" s="864"/>
      <c r="H31" s="856"/>
      <c r="I31" s="856"/>
    </row>
    <row r="32" spans="1:9" s="865" customFormat="1" ht="19.5" customHeight="1">
      <c r="A32" s="3404"/>
      <c r="B32" s="3404"/>
      <c r="C32" s="861" t="s">
        <v>586</v>
      </c>
      <c r="D32" s="862"/>
      <c r="E32" s="860">
        <v>0.8</v>
      </c>
      <c r="F32" s="863" t="s">
        <v>587</v>
      </c>
      <c r="G32" s="864"/>
      <c r="H32" s="856"/>
      <c r="I32" s="856"/>
    </row>
    <row r="33" spans="1:9" s="865" customFormat="1" ht="19.5" customHeight="1">
      <c r="A33" s="3404" t="s">
        <v>185</v>
      </c>
      <c r="B33" s="860" t="s">
        <v>560</v>
      </c>
      <c r="C33" s="861" t="s">
        <v>588</v>
      </c>
      <c r="D33" s="862"/>
      <c r="E33" s="860">
        <v>1</v>
      </c>
      <c r="F33" s="863" t="s">
        <v>589</v>
      </c>
      <c r="G33" s="864"/>
      <c r="H33" s="856"/>
      <c r="I33" s="856"/>
    </row>
    <row r="34" spans="1:9" s="865" customFormat="1" ht="19.5" customHeight="1">
      <c r="A34" s="3404"/>
      <c r="B34" s="860" t="s">
        <v>563</v>
      </c>
      <c r="C34" s="861" t="s">
        <v>590</v>
      </c>
      <c r="D34" s="862"/>
      <c r="E34" s="860">
        <v>1.5</v>
      </c>
      <c r="F34" s="863" t="s">
        <v>591</v>
      </c>
      <c r="G34" s="864"/>
      <c r="H34" s="856"/>
      <c r="I34" s="856"/>
    </row>
    <row r="35" spans="1:9" s="865" customFormat="1" ht="19.5" customHeight="1">
      <c r="A35" s="3404" t="s">
        <v>186</v>
      </c>
      <c r="B35" s="860" t="s">
        <v>560</v>
      </c>
      <c r="C35" s="861" t="s">
        <v>592</v>
      </c>
      <c r="D35" s="862"/>
      <c r="E35" s="860">
        <v>1</v>
      </c>
      <c r="F35" s="863" t="s">
        <v>593</v>
      </c>
      <c r="G35" s="864"/>
      <c r="H35" s="856"/>
      <c r="I35" s="856"/>
    </row>
    <row r="36" spans="1:9" s="865" customFormat="1" ht="19.5" customHeight="1">
      <c r="A36" s="3404"/>
      <c r="B36" s="3404" t="s">
        <v>563</v>
      </c>
      <c r="C36" s="861" t="s">
        <v>594</v>
      </c>
      <c r="D36" s="862"/>
      <c r="E36" s="860">
        <v>1</v>
      </c>
      <c r="F36" s="863" t="s">
        <v>595</v>
      </c>
      <c r="G36" s="864"/>
      <c r="H36" s="856"/>
      <c r="I36" s="856"/>
    </row>
    <row r="37" spans="1:9" s="865" customFormat="1" ht="19.5" customHeight="1">
      <c r="A37" s="3404"/>
      <c r="B37" s="3404"/>
      <c r="C37" s="861" t="s">
        <v>596</v>
      </c>
      <c r="D37" s="862"/>
      <c r="E37" s="860">
        <v>1.5</v>
      </c>
      <c r="F37" s="863" t="s">
        <v>597</v>
      </c>
      <c r="G37" s="864"/>
      <c r="H37" s="856"/>
      <c r="I37" s="856"/>
    </row>
    <row r="38" spans="1:9" s="865" customFormat="1" ht="19.5" customHeight="1">
      <c r="A38" s="3404"/>
      <c r="B38" s="3404"/>
      <c r="C38" s="861" t="s">
        <v>598</v>
      </c>
      <c r="D38" s="862"/>
      <c r="E38" s="860">
        <v>1</v>
      </c>
      <c r="F38" s="863" t="s">
        <v>599</v>
      </c>
      <c r="G38" s="864"/>
      <c r="H38" s="856"/>
      <c r="I38" s="856"/>
    </row>
    <row r="39" spans="1:9" s="865" customFormat="1" ht="19.5" customHeight="1">
      <c r="A39" s="3404"/>
      <c r="B39" s="3404"/>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18"/>
      <c r="B60" s="918"/>
      <c r="C60" s="918" t="s">
        <v>745</v>
      </c>
      <c r="D60" s="918"/>
      <c r="E60" s="873" t="s">
        <v>1</v>
      </c>
      <c r="F60" s="918" t="s">
        <v>1</v>
      </c>
    </row>
    <row r="61" spans="1:8" s="856" customFormat="1" ht="24">
      <c r="A61" s="860">
        <v>1</v>
      </c>
      <c r="B61" s="3404" t="s">
        <v>614</v>
      </c>
      <c r="C61" s="796" t="s">
        <v>615</v>
      </c>
      <c r="D61" s="796" t="s">
        <v>616</v>
      </c>
      <c r="E61" s="873">
        <v>0.5</v>
      </c>
      <c r="F61" s="860">
        <v>80</v>
      </c>
    </row>
    <row r="62" spans="1:8" s="856" customFormat="1" ht="24">
      <c r="A62" s="860">
        <v>2</v>
      </c>
      <c r="B62" s="3404"/>
      <c r="C62" s="796" t="s">
        <v>617</v>
      </c>
      <c r="D62" s="796" t="s">
        <v>618</v>
      </c>
      <c r="E62" s="873">
        <v>0.5</v>
      </c>
      <c r="F62" s="860">
        <v>80</v>
      </c>
    </row>
    <row r="63" spans="1:8" s="856" customFormat="1" ht="36">
      <c r="A63" s="860">
        <v>3</v>
      </c>
      <c r="B63" s="3404"/>
      <c r="C63" s="796" t="s">
        <v>619</v>
      </c>
      <c r="D63" s="796" t="s">
        <v>620</v>
      </c>
      <c r="E63" s="873">
        <v>0.5</v>
      </c>
      <c r="F63" s="860">
        <v>80</v>
      </c>
    </row>
    <row r="64" spans="1:8" s="856" customFormat="1" ht="36">
      <c r="A64" s="860">
        <v>4</v>
      </c>
      <c r="B64" s="3404"/>
      <c r="C64" s="796" t="s">
        <v>621</v>
      </c>
      <c r="D64" s="796" t="s">
        <v>622</v>
      </c>
      <c r="E64" s="873">
        <v>0.4</v>
      </c>
      <c r="F64" s="860">
        <v>60</v>
      </c>
    </row>
    <row r="65" spans="1:6" s="856" customFormat="1" ht="36">
      <c r="A65" s="860">
        <v>5</v>
      </c>
      <c r="B65" s="3404"/>
      <c r="C65" s="796" t="s">
        <v>623</v>
      </c>
      <c r="D65" s="796" t="s">
        <v>624</v>
      </c>
      <c r="E65" s="873">
        <v>0.2</v>
      </c>
      <c r="F65" s="860">
        <v>30</v>
      </c>
    </row>
    <row r="66" spans="1:6" s="856" customFormat="1" ht="36">
      <c r="A66" s="860">
        <v>6</v>
      </c>
      <c r="B66" s="3404"/>
      <c r="C66" s="796" t="s">
        <v>625</v>
      </c>
      <c r="D66" s="796" t="s">
        <v>626</v>
      </c>
      <c r="E66" s="873">
        <v>0.3</v>
      </c>
      <c r="F66" s="860">
        <v>50</v>
      </c>
    </row>
    <row r="67" spans="1:6" s="856" customFormat="1" ht="36">
      <c r="A67" s="860">
        <v>7</v>
      </c>
      <c r="B67" s="3404"/>
      <c r="C67" s="796" t="s">
        <v>627</v>
      </c>
      <c r="D67" s="796" t="s">
        <v>628</v>
      </c>
      <c r="E67" s="873">
        <v>0.2</v>
      </c>
      <c r="F67" s="860">
        <v>30</v>
      </c>
    </row>
    <row r="68" spans="1:6" s="856" customFormat="1" ht="36">
      <c r="A68" s="860">
        <v>8</v>
      </c>
      <c r="B68" s="3404"/>
      <c r="C68" s="796" t="s">
        <v>629</v>
      </c>
      <c r="D68" s="796" t="s">
        <v>630</v>
      </c>
      <c r="E68" s="873">
        <v>0.2</v>
      </c>
      <c r="F68" s="860">
        <v>30</v>
      </c>
    </row>
    <row r="69" spans="1:6" s="856" customFormat="1" ht="36">
      <c r="A69" s="860">
        <v>9</v>
      </c>
      <c r="B69" s="3404"/>
      <c r="C69" s="796" t="s">
        <v>631</v>
      </c>
      <c r="D69" s="796" t="s">
        <v>632</v>
      </c>
      <c r="E69" s="873">
        <v>0.2</v>
      </c>
      <c r="F69" s="860">
        <v>30</v>
      </c>
    </row>
    <row r="70" spans="1:6" s="856" customFormat="1" ht="48">
      <c r="A70" s="860">
        <v>10</v>
      </c>
      <c r="B70" s="3404"/>
      <c r="C70" s="796" t="s">
        <v>633</v>
      </c>
      <c r="D70" s="796" t="s">
        <v>634</v>
      </c>
      <c r="E70" s="873">
        <v>0.2</v>
      </c>
      <c r="F70" s="860">
        <v>30</v>
      </c>
    </row>
    <row r="71" spans="1:6" s="856" customFormat="1" ht="48">
      <c r="A71" s="860">
        <v>11</v>
      </c>
      <c r="B71" s="3404"/>
      <c r="C71" s="796" t="s">
        <v>635</v>
      </c>
      <c r="D71" s="796" t="s">
        <v>636</v>
      </c>
      <c r="E71" s="873">
        <v>0.2</v>
      </c>
      <c r="F71" s="860">
        <v>30</v>
      </c>
    </row>
    <row r="72" spans="1:6" s="856" customFormat="1" ht="36">
      <c r="A72" s="860">
        <v>12</v>
      </c>
      <c r="B72" s="3404"/>
      <c r="C72" s="796" t="s">
        <v>637</v>
      </c>
      <c r="D72" s="796" t="s">
        <v>638</v>
      </c>
      <c r="E72" s="873">
        <v>0.5</v>
      </c>
      <c r="F72" s="860">
        <v>80</v>
      </c>
    </row>
    <row r="73" spans="1:6" s="856" customFormat="1" ht="24">
      <c r="A73" s="860">
        <v>13</v>
      </c>
      <c r="B73" s="3404"/>
      <c r="C73" s="796" t="s">
        <v>639</v>
      </c>
      <c r="D73" s="796" t="s">
        <v>640</v>
      </c>
      <c r="E73" s="873">
        <v>0.4</v>
      </c>
      <c r="F73" s="860">
        <v>60</v>
      </c>
    </row>
    <row r="74" spans="1:6" s="856" customFormat="1" ht="24">
      <c r="A74" s="860">
        <v>14</v>
      </c>
      <c r="B74" s="3404"/>
      <c r="C74" s="796" t="s">
        <v>641</v>
      </c>
      <c r="D74" s="796" t="s">
        <v>642</v>
      </c>
      <c r="E74" s="873">
        <v>0.2</v>
      </c>
      <c r="F74" s="860">
        <v>30</v>
      </c>
    </row>
    <row r="75" spans="1:6" s="856" customFormat="1" ht="24">
      <c r="A75" s="860">
        <v>15</v>
      </c>
      <c r="B75" s="3404"/>
      <c r="C75" s="796" t="s">
        <v>643</v>
      </c>
      <c r="D75" s="796" t="s">
        <v>644</v>
      </c>
      <c r="E75" s="873">
        <v>0.2</v>
      </c>
      <c r="F75" s="860">
        <v>30</v>
      </c>
    </row>
    <row r="76" spans="1:6" s="856" customFormat="1" ht="24">
      <c r="A76" s="860">
        <v>16</v>
      </c>
      <c r="B76" s="3404" t="s">
        <v>645</v>
      </c>
      <c r="C76" s="796" t="s">
        <v>646</v>
      </c>
      <c r="D76" s="796" t="s">
        <v>647</v>
      </c>
      <c r="E76" s="873">
        <v>0.5</v>
      </c>
      <c r="F76" s="860">
        <v>80</v>
      </c>
    </row>
    <row r="77" spans="1:6" s="856" customFormat="1" ht="24">
      <c r="A77" s="860">
        <v>17</v>
      </c>
      <c r="B77" s="3404"/>
      <c r="C77" s="796" t="s">
        <v>648</v>
      </c>
      <c r="D77" s="796" t="s">
        <v>649</v>
      </c>
      <c r="E77" s="873">
        <v>0.5</v>
      </c>
      <c r="F77" s="860">
        <v>80</v>
      </c>
    </row>
    <row r="78" spans="1:6" s="856" customFormat="1" ht="24">
      <c r="A78" s="860">
        <v>18</v>
      </c>
      <c r="B78" s="3404"/>
      <c r="C78" s="796" t="s">
        <v>650</v>
      </c>
      <c r="D78" s="796" t="s">
        <v>651</v>
      </c>
      <c r="E78" s="873">
        <v>0.2</v>
      </c>
      <c r="F78" s="860">
        <v>30</v>
      </c>
    </row>
    <row r="79" spans="1:6" s="856" customFormat="1" ht="24">
      <c r="A79" s="860">
        <v>19</v>
      </c>
      <c r="B79" s="3404"/>
      <c r="C79" s="796" t="s">
        <v>652</v>
      </c>
      <c r="D79" s="796" t="s">
        <v>653</v>
      </c>
      <c r="E79" s="873">
        <v>0.5</v>
      </c>
      <c r="F79" s="860">
        <v>80</v>
      </c>
    </row>
    <row r="80" spans="1:6" s="856" customFormat="1" ht="36">
      <c r="A80" s="860">
        <v>20</v>
      </c>
      <c r="B80" s="3404"/>
      <c r="C80" s="796" t="s">
        <v>654</v>
      </c>
      <c r="D80" s="796" t="s">
        <v>655</v>
      </c>
      <c r="E80" s="873">
        <v>0.2</v>
      </c>
      <c r="F80" s="860">
        <v>30</v>
      </c>
    </row>
    <row r="81" spans="1:6" s="856" customFormat="1" ht="36">
      <c r="A81" s="860">
        <v>21</v>
      </c>
      <c r="B81" s="3404"/>
      <c r="C81" s="796" t="s">
        <v>656</v>
      </c>
      <c r="D81" s="796" t="s">
        <v>657</v>
      </c>
      <c r="E81" s="873">
        <v>0.2</v>
      </c>
      <c r="F81" s="860">
        <v>30</v>
      </c>
    </row>
    <row r="82" spans="1:6" s="856" customFormat="1" ht="48">
      <c r="A82" s="860">
        <v>22</v>
      </c>
      <c r="B82" s="3404"/>
      <c r="C82" s="796" t="s">
        <v>658</v>
      </c>
      <c r="D82" s="796" t="s">
        <v>659</v>
      </c>
      <c r="E82" s="873">
        <v>0.2</v>
      </c>
      <c r="F82" s="860">
        <v>30</v>
      </c>
    </row>
    <row r="83" spans="1:6" s="856" customFormat="1" ht="48">
      <c r="A83" s="860">
        <v>23</v>
      </c>
      <c r="B83" s="3404"/>
      <c r="C83" s="796" t="s">
        <v>660</v>
      </c>
      <c r="D83" s="796" t="s">
        <v>661</v>
      </c>
      <c r="E83" s="873">
        <v>0.2</v>
      </c>
      <c r="F83" s="860">
        <v>30</v>
      </c>
    </row>
    <row r="84" spans="1:6" s="856" customFormat="1" ht="36">
      <c r="A84" s="860">
        <v>24</v>
      </c>
      <c r="B84" s="3404"/>
      <c r="C84" s="796" t="s">
        <v>662</v>
      </c>
      <c r="D84" s="796" t="s">
        <v>663</v>
      </c>
      <c r="E84" s="873">
        <v>0.2</v>
      </c>
      <c r="F84" s="860">
        <v>30</v>
      </c>
    </row>
    <row r="85" spans="1:6" s="856" customFormat="1" ht="36">
      <c r="A85" s="860">
        <v>25</v>
      </c>
      <c r="B85" s="3404"/>
      <c r="C85" s="796" t="s">
        <v>664</v>
      </c>
      <c r="D85" s="796" t="s">
        <v>665</v>
      </c>
      <c r="E85" s="873">
        <v>0.5</v>
      </c>
      <c r="F85" s="860">
        <v>80</v>
      </c>
    </row>
    <row r="86" spans="1:6" s="856" customFormat="1" ht="36">
      <c r="A86" s="860">
        <v>26</v>
      </c>
      <c r="B86" s="3404"/>
      <c r="C86" s="796" t="s">
        <v>666</v>
      </c>
      <c r="D86" s="796" t="s">
        <v>667</v>
      </c>
      <c r="E86" s="873">
        <v>0.2</v>
      </c>
      <c r="F86" s="860">
        <v>30</v>
      </c>
    </row>
    <row r="87" spans="1:6" s="856" customFormat="1" ht="36">
      <c r="A87" s="860">
        <v>27</v>
      </c>
      <c r="B87" s="3404"/>
      <c r="C87" s="796" t="s">
        <v>668</v>
      </c>
      <c r="D87" s="796" t="s">
        <v>669</v>
      </c>
      <c r="E87" s="873">
        <v>0.2</v>
      </c>
      <c r="F87" s="860">
        <v>30</v>
      </c>
    </row>
    <row r="88" spans="1:6" s="856" customFormat="1" ht="36">
      <c r="A88" s="860">
        <v>28</v>
      </c>
      <c r="B88" s="3404"/>
      <c r="C88" s="796" t="s">
        <v>670</v>
      </c>
      <c r="D88" s="796" t="s">
        <v>671</v>
      </c>
      <c r="E88" s="873">
        <v>0.2</v>
      </c>
      <c r="F88" s="860">
        <v>30</v>
      </c>
    </row>
    <row r="89" spans="1:6" s="856" customFormat="1" ht="24">
      <c r="A89" s="860">
        <v>29</v>
      </c>
      <c r="B89" s="3404"/>
      <c r="C89" s="796" t="s">
        <v>672</v>
      </c>
      <c r="D89" s="796" t="s">
        <v>673</v>
      </c>
      <c r="E89" s="873">
        <v>0.2</v>
      </c>
      <c r="F89" s="860">
        <v>30</v>
      </c>
    </row>
    <row r="90" spans="1:6" s="856" customFormat="1" ht="24">
      <c r="A90" s="860">
        <v>30</v>
      </c>
      <c r="B90" s="3404"/>
      <c r="C90" s="796" t="s">
        <v>674</v>
      </c>
      <c r="D90" s="796" t="s">
        <v>675</v>
      </c>
      <c r="E90" s="873">
        <v>0.2</v>
      </c>
      <c r="F90" s="860">
        <v>30</v>
      </c>
    </row>
    <row r="91" spans="1:6" s="856" customFormat="1" ht="36">
      <c r="A91" s="860">
        <v>31</v>
      </c>
      <c r="B91" s="3404"/>
      <c r="C91" s="796" t="s">
        <v>676</v>
      </c>
      <c r="D91" s="796" t="s">
        <v>677</v>
      </c>
      <c r="E91" s="873">
        <v>0.2</v>
      </c>
      <c r="F91" s="860">
        <v>30</v>
      </c>
    </row>
    <row r="92" spans="1:6" s="856" customFormat="1" ht="24">
      <c r="A92" s="860">
        <v>32</v>
      </c>
      <c r="B92" s="3404" t="s">
        <v>678</v>
      </c>
      <c r="C92" s="860" t="s">
        <v>679</v>
      </c>
      <c r="D92" s="796" t="s">
        <v>680</v>
      </c>
      <c r="E92" s="873">
        <v>0.2</v>
      </c>
      <c r="F92" s="860">
        <v>30</v>
      </c>
    </row>
    <row r="93" spans="1:6" s="856" customFormat="1" ht="36">
      <c r="A93" s="860">
        <v>33</v>
      </c>
      <c r="B93" s="3404"/>
      <c r="C93" s="860" t="s">
        <v>681</v>
      </c>
      <c r="D93" s="796" t="s">
        <v>682</v>
      </c>
      <c r="E93" s="873">
        <v>0.2</v>
      </c>
      <c r="F93" s="860">
        <v>30</v>
      </c>
    </row>
    <row r="94" spans="1:6" s="856" customFormat="1" ht="48">
      <c r="A94" s="860">
        <v>34</v>
      </c>
      <c r="B94" s="3404"/>
      <c r="C94" s="860" t="s">
        <v>683</v>
      </c>
      <c r="D94" s="796" t="s">
        <v>684</v>
      </c>
      <c r="E94" s="873">
        <v>0.2</v>
      </c>
      <c r="F94" s="860">
        <v>30</v>
      </c>
    </row>
    <row r="95" spans="1:6" s="856" customFormat="1" ht="36">
      <c r="A95" s="860">
        <v>35</v>
      </c>
      <c r="B95" s="3404"/>
      <c r="C95" s="860" t="s">
        <v>685</v>
      </c>
      <c r="D95" s="796" t="s">
        <v>686</v>
      </c>
      <c r="E95" s="873">
        <v>0.2</v>
      </c>
      <c r="F95" s="860">
        <v>30</v>
      </c>
    </row>
    <row r="96" spans="1:6" s="856" customFormat="1" ht="48">
      <c r="A96" s="860">
        <v>36</v>
      </c>
      <c r="B96" s="3404"/>
      <c r="C96" s="796" t="s">
        <v>687</v>
      </c>
      <c r="D96" s="796" t="s">
        <v>688</v>
      </c>
      <c r="E96" s="873">
        <v>0.2</v>
      </c>
      <c r="F96" s="860">
        <v>30</v>
      </c>
    </row>
    <row r="97" spans="1:6" s="856" customFormat="1" ht="36">
      <c r="A97" s="860">
        <v>37</v>
      </c>
      <c r="B97" s="3404"/>
      <c r="C97" s="860" t="s">
        <v>689</v>
      </c>
      <c r="D97" s="796" t="s">
        <v>690</v>
      </c>
      <c r="E97" s="873">
        <v>0.2</v>
      </c>
      <c r="F97" s="860">
        <v>30</v>
      </c>
    </row>
    <row r="98" spans="1:6" s="856" customFormat="1" ht="36">
      <c r="A98" s="860">
        <v>38</v>
      </c>
      <c r="B98" s="3404"/>
      <c r="C98" s="860" t="s">
        <v>691</v>
      </c>
      <c r="D98" s="796" t="s">
        <v>692</v>
      </c>
      <c r="E98" s="873">
        <v>0.2</v>
      </c>
      <c r="F98" s="860">
        <v>30</v>
      </c>
    </row>
    <row r="99" spans="1:6" s="856" customFormat="1" ht="36">
      <c r="A99" s="860">
        <v>39</v>
      </c>
      <c r="B99" s="3404" t="s">
        <v>693</v>
      </c>
      <c r="C99" s="860" t="s">
        <v>694</v>
      </c>
      <c r="D99" s="796" t="s">
        <v>695</v>
      </c>
      <c r="E99" s="873">
        <v>0.3</v>
      </c>
      <c r="F99" s="860">
        <v>50</v>
      </c>
    </row>
    <row r="100" spans="1:6" s="856" customFormat="1" ht="24">
      <c r="A100" s="860">
        <v>40</v>
      </c>
      <c r="B100" s="3404"/>
      <c r="C100" s="860" t="s">
        <v>696</v>
      </c>
      <c r="D100" s="796" t="s">
        <v>697</v>
      </c>
      <c r="E100" s="873">
        <v>0.2</v>
      </c>
      <c r="F100" s="860">
        <v>30</v>
      </c>
    </row>
    <row r="101" spans="1:6" s="856" customFormat="1" ht="36">
      <c r="A101" s="860">
        <v>41</v>
      </c>
      <c r="B101" s="3404"/>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404" t="s">
        <v>708</v>
      </c>
      <c r="C105" s="860" t="s">
        <v>709</v>
      </c>
      <c r="D105" s="796" t="s">
        <v>710</v>
      </c>
      <c r="E105" s="873">
        <v>0.2</v>
      </c>
      <c r="F105" s="860">
        <v>30</v>
      </c>
    </row>
    <row r="106" spans="1:6" s="856" customFormat="1" ht="36">
      <c r="A106" s="860">
        <v>46</v>
      </c>
      <c r="B106" s="3404"/>
      <c r="C106" s="860" t="s">
        <v>711</v>
      </c>
      <c r="D106" s="796" t="s">
        <v>712</v>
      </c>
      <c r="E106" s="873">
        <v>0.2</v>
      </c>
      <c r="F106" s="860">
        <v>30</v>
      </c>
    </row>
    <row r="107" spans="1:6" s="856" customFormat="1" ht="36">
      <c r="A107" s="860">
        <v>47</v>
      </c>
      <c r="B107" s="3404" t="s">
        <v>713</v>
      </c>
      <c r="C107" s="860" t="s">
        <v>714</v>
      </c>
      <c r="D107" s="796" t="s">
        <v>715</v>
      </c>
      <c r="E107" s="873">
        <v>0.3</v>
      </c>
      <c r="F107" s="860">
        <v>50</v>
      </c>
    </row>
    <row r="108" spans="1:6" s="856" customFormat="1" ht="36">
      <c r="A108" s="860">
        <v>48</v>
      </c>
      <c r="B108" s="3404"/>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404" t="s">
        <v>724</v>
      </c>
      <c r="C111" s="860" t="s">
        <v>725</v>
      </c>
      <c r="D111" s="796" t="s">
        <v>726</v>
      </c>
      <c r="E111" s="873">
        <v>0.2</v>
      </c>
      <c r="F111" s="860">
        <v>30</v>
      </c>
    </row>
    <row r="112" spans="1:6" s="856" customFormat="1" ht="24">
      <c r="A112" s="860">
        <v>52</v>
      </c>
      <c r="B112" s="3404"/>
      <c r="C112" s="860" t="s">
        <v>727</v>
      </c>
      <c r="D112" s="796" t="s">
        <v>728</v>
      </c>
      <c r="E112" s="873">
        <v>0.2</v>
      </c>
      <c r="F112" s="860">
        <v>30</v>
      </c>
    </row>
    <row r="113" spans="1:6" s="856" customFormat="1" ht="24">
      <c r="A113" s="860">
        <v>53</v>
      </c>
      <c r="B113" s="3404"/>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404" t="s">
        <v>737</v>
      </c>
      <c r="C116" s="860" t="s">
        <v>738</v>
      </c>
      <c r="D116" s="796" t="s">
        <v>739</v>
      </c>
      <c r="E116" s="873">
        <v>0.2</v>
      </c>
      <c r="F116" s="860">
        <v>30</v>
      </c>
    </row>
    <row r="117" spans="1:6" ht="36">
      <c r="A117" s="860">
        <v>57</v>
      </c>
      <c r="B117" s="3404"/>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7" customWidth="1"/>
    <col min="2" max="2" width="37.25" style="1937" customWidth="1"/>
    <col min="3" max="3" width="11.375" style="1937" customWidth="1"/>
    <col min="4" max="4" width="31.75" style="1937" customWidth="1"/>
    <col min="5" max="5" width="0.5" style="1937" customWidth="1"/>
    <col min="6" max="7" width="13" style="1937" customWidth="1"/>
    <col min="8" max="16384" width="9" style="1937"/>
  </cols>
  <sheetData>
    <row r="1" spans="1:5" ht="18.75">
      <c r="A1" s="1935" t="s">
        <v>1615</v>
      </c>
      <c r="B1" s="1936"/>
      <c r="C1" s="1936"/>
      <c r="D1" s="1936"/>
      <c r="E1" s="1936"/>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v>
      </c>
      <c r="B3" s="3065"/>
      <c r="C3" s="3065"/>
      <c r="D3" s="3065"/>
      <c r="E3" s="3065"/>
    </row>
    <row r="4" spans="1:5" ht="19.5" thickBot="1">
      <c r="A4" s="1938"/>
      <c r="B4" s="3063" t="s">
        <v>1624</v>
      </c>
      <c r="C4" s="3063"/>
      <c r="D4" s="3063"/>
      <c r="E4" s="1938"/>
    </row>
    <row r="5" spans="1:5" ht="16.5" thickTop="1">
      <c r="A5" s="1936"/>
      <c r="B5" s="3061" t="s">
        <v>1616</v>
      </c>
      <c r="C5" s="1939" t="s">
        <v>1617</v>
      </c>
      <c r="D5" s="1018">
        <f ca="1">结果表!H101</f>
        <v>63704</v>
      </c>
      <c r="E5" s="1936"/>
    </row>
    <row r="6" spans="1:5" ht="15.75">
      <c r="A6" s="1936"/>
      <c r="B6" s="3061"/>
      <c r="C6" s="1939" t="s">
        <v>1618</v>
      </c>
      <c r="D6" s="1018" t="str">
        <f ca="1">NUMBERSTRING(INT(D5*10000),2)&amp;"元整"</f>
        <v>陆亿叁仟柒佰零肆万元整</v>
      </c>
      <c r="E6" s="1936"/>
    </row>
    <row r="7" spans="1:5" ht="15.75">
      <c r="A7" s="1936"/>
      <c r="B7" s="3066"/>
      <c r="C7" s="1940" t="s">
        <v>1619</v>
      </c>
      <c r="D7" s="1019">
        <f ca="1">结果表!H102</f>
        <v>25675</v>
      </c>
      <c r="E7" s="1936"/>
    </row>
    <row r="8" spans="1:5" ht="15.75">
      <c r="A8" s="1936"/>
      <c r="B8" s="3067" t="str">
        <f>结果表!E103</f>
        <v>2.估价师知悉的法定优先受偿款</v>
      </c>
      <c r="C8" s="1941" t="s">
        <v>1620</v>
      </c>
      <c r="D8" s="1019">
        <f>结果表!H103</f>
        <v>0</v>
      </c>
      <c r="E8" s="1936"/>
    </row>
    <row r="9" spans="1:5" ht="15.75">
      <c r="A9" s="1936"/>
      <c r="B9" s="3069"/>
      <c r="C9" s="1939" t="s">
        <v>1618</v>
      </c>
      <c r="D9" s="1018" t="str">
        <f>NUMBERSTRING(INT(D8*10000),2)&amp;"元整"</f>
        <v>零元整</v>
      </c>
      <c r="E9" s="1936"/>
    </row>
    <row r="10" spans="1:5" ht="15">
      <c r="A10" s="1936"/>
      <c r="B10" s="1942" t="s">
        <v>1623</v>
      </c>
      <c r="C10" s="1943" t="s">
        <v>1621</v>
      </c>
      <c r="D10" s="1020">
        <f>结果表!H104</f>
        <v>0</v>
      </c>
      <c r="E10" s="1936"/>
    </row>
    <row r="11" spans="1:5" ht="15">
      <c r="A11" s="1936"/>
      <c r="B11" s="1942" t="s">
        <v>1625</v>
      </c>
      <c r="C11" s="1943" t="s">
        <v>1626</v>
      </c>
      <c r="D11" s="1020">
        <f>结果表!H105</f>
        <v>0</v>
      </c>
      <c r="E11" s="1936"/>
    </row>
    <row r="12" spans="1:5" ht="15">
      <c r="A12" s="1936"/>
      <c r="B12" s="1942" t="s">
        <v>1627</v>
      </c>
      <c r="C12" s="1943" t="s">
        <v>1626</v>
      </c>
      <c r="D12" s="1020">
        <f>结果表!H106</f>
        <v>0</v>
      </c>
      <c r="E12" s="1936"/>
    </row>
    <row r="13" spans="1:5" ht="15.75">
      <c r="A13" s="1936"/>
      <c r="B13" s="3060" t="str">
        <f>结果表!E107</f>
        <v>3.房地产抵押价值</v>
      </c>
      <c r="C13" s="1944" t="s">
        <v>1617</v>
      </c>
      <c r="D13" s="1021">
        <f ca="1">结果表!H107</f>
        <v>63704</v>
      </c>
      <c r="E13" s="1936"/>
    </row>
    <row r="14" spans="1:5" ht="15.75">
      <c r="A14" s="1936"/>
      <c r="B14" s="3061"/>
      <c r="C14" s="1939" t="s">
        <v>1618</v>
      </c>
      <c r="D14" s="1018" t="str">
        <f ca="1">NUMBERSTRING(INT(D13*10000),2)&amp;"元整"</f>
        <v>陆亿叁仟柒佰零肆万元整</v>
      </c>
      <c r="E14" s="1936"/>
    </row>
    <row r="15" spans="1:5" ht="15">
      <c r="A15" s="1936"/>
      <c r="B15" s="3066"/>
      <c r="C15" s="1940" t="s">
        <v>1628</v>
      </c>
      <c r="D15" s="1030">
        <f ca="1">结果表!H108</f>
        <v>25675</v>
      </c>
      <c r="E15" s="1936"/>
    </row>
    <row r="16" spans="1:5" ht="15">
      <c r="A16" s="1936"/>
      <c r="B16" s="3067" t="str">
        <f>结果表!E109</f>
        <v>——</v>
      </c>
      <c r="C16" s="1944" t="s">
        <v>1629</v>
      </c>
      <c r="D16" s="1945" t="str">
        <f>结果表!H109</f>
        <v>——</v>
      </c>
      <c r="E16" s="1936"/>
    </row>
    <row r="17" spans="1:5" ht="15.75">
      <c r="A17" s="1936"/>
      <c r="B17" s="3068"/>
      <c r="C17" s="1939" t="s">
        <v>1630</v>
      </c>
      <c r="D17" s="1018" t="e">
        <f>NUMBERSTRING(INT(D16*10000),2)&amp;"元整"</f>
        <v>#VALUE!</v>
      </c>
      <c r="E17" s="1936"/>
    </row>
    <row r="18" spans="1:5" ht="15">
      <c r="A18" s="1936"/>
      <c r="B18" s="3069"/>
      <c r="C18" s="1940" t="s">
        <v>1619</v>
      </c>
      <c r="D18" s="1030" t="str">
        <f>结果表!H110</f>
        <v>——</v>
      </c>
      <c r="E18" s="1936"/>
    </row>
    <row r="19" spans="1:5" ht="15.75">
      <c r="A19" s="1936"/>
      <c r="B19" s="3060" t="str">
        <f>结果表!E111</f>
        <v>——</v>
      </c>
      <c r="C19" s="1944" t="s">
        <v>1617</v>
      </c>
      <c r="D19" s="1019" t="str">
        <f>结果表!H111</f>
        <v>——</v>
      </c>
      <c r="E19" s="1936"/>
    </row>
    <row r="20" spans="1:5" ht="15.75">
      <c r="A20" s="1936"/>
      <c r="B20" s="3061"/>
      <c r="C20" s="1939" t="s">
        <v>1630</v>
      </c>
      <c r="D20" s="1018" t="e">
        <f>NUMBERSTRING(INT(D19*10000),2)&amp;"元整"</f>
        <v>#VALUE!</v>
      </c>
      <c r="E20" s="1936"/>
    </row>
    <row r="21" spans="1:5" ht="15.75" thickBot="1">
      <c r="A21" s="1936"/>
      <c r="B21" s="3062"/>
      <c r="C21" s="1946" t="s">
        <v>1628</v>
      </c>
      <c r="D21" s="1031" t="str">
        <f>结果表!H112</f>
        <v>——</v>
      </c>
      <c r="E21" s="1936"/>
    </row>
    <row r="22" spans="1:5" ht="15" thickTop="1">
      <c r="A22" s="1936"/>
      <c r="B22" s="1947" t="s">
        <v>1631</v>
      </c>
      <c r="C22" s="1936"/>
      <c r="D22" s="1936"/>
      <c r="E22" s="1936"/>
    </row>
    <row r="23" spans="1:5">
      <c r="A23" s="1936"/>
      <c r="B23" s="1936"/>
      <c r="C23" s="1936"/>
      <c r="D23" s="1936"/>
      <c r="E23" s="1936"/>
    </row>
    <row r="24" spans="1:5" ht="18.75">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2" customWidth="1"/>
    <col min="2" max="2" width="12.5" style="1922" customWidth="1"/>
    <col min="3" max="3" width="12.125" style="1922" customWidth="1"/>
    <col min="4" max="4" width="14.125" style="1922" customWidth="1"/>
    <col min="5" max="5" width="12.5" style="1922" customWidth="1"/>
    <col min="6" max="16384" width="9" style="1922"/>
  </cols>
  <sheetData>
    <row r="1" spans="1:5" ht="21">
      <c r="A1" s="2531" t="s">
        <v>2992</v>
      </c>
    </row>
    <row r="2" spans="1:5" ht="15.75">
      <c r="A2" s="2869" t="s">
        <v>2984</v>
      </c>
      <c r="B2" s="2870" t="e">
        <f ca="1">SUMIF(B6:B13,"&lt;&gt;#ref!",B6:B13)</f>
        <v>#DIV/0!</v>
      </c>
      <c r="C2" s="2869" t="s">
        <v>2985</v>
      </c>
      <c r="D2" s="2869" t="s">
        <v>2986</v>
      </c>
      <c r="E2" s="2870">
        <f ca="1">SUMIF(E6:E13,"&lt;&gt;#ref!",E6:E13)</f>
        <v>0</v>
      </c>
    </row>
    <row r="3" spans="1:5" ht="15.75">
      <c r="A3" s="2869" t="s">
        <v>2987</v>
      </c>
      <c r="B3" s="2870" t="e">
        <f ca="1">ROUND(B2*10000/E2,0)</f>
        <v>#DIV/0!</v>
      </c>
      <c r="C3" s="2869" t="s">
        <v>2993</v>
      </c>
      <c r="D3" s="2871"/>
      <c r="E3" s="2871"/>
    </row>
    <row r="4" spans="1:5" ht="15.75">
      <c r="A4" s="2872"/>
      <c r="B4" s="2871"/>
      <c r="C4" s="2871"/>
      <c r="D4" s="2871"/>
      <c r="E4" s="2871"/>
    </row>
    <row r="5" spans="1:5" ht="28.5">
      <c r="A5" s="2873" t="s">
        <v>2988</v>
      </c>
      <c r="B5" s="2869" t="s">
        <v>2989</v>
      </c>
      <c r="C5" s="2870"/>
      <c r="D5" s="2871"/>
      <c r="E5" s="2869" t="s">
        <v>2990</v>
      </c>
    </row>
    <row r="6" spans="1:5" ht="15.75">
      <c r="A6" s="2874" t="s">
        <v>2991</v>
      </c>
      <c r="B6" s="2870" t="e">
        <f ca="1">SUMIF(INDIRECT("'"&amp;A6&amp;"'"&amp;"!A:A"),"总价",INDIRECT("'"&amp;A6&amp;"'"&amp;"!B:B"))</f>
        <v>#DIV/0!</v>
      </c>
      <c r="C6" s="2869" t="s">
        <v>2985</v>
      </c>
      <c r="D6" s="2871"/>
      <c r="E6" s="2545">
        <f ca="1">SUMIF(INDIRECT("'"&amp;A6&amp;"'"&amp;"!C:C"),"建筑面积",INDIRECT("'"&amp;A6&amp;"'"&amp;"!D:D"))</f>
        <v>0</v>
      </c>
    </row>
    <row r="7" spans="1:5" ht="15.75">
      <c r="A7" s="2874"/>
      <c r="B7" s="2870" t="e">
        <f ca="1">SUMIF(INDIRECT("'"&amp;A7&amp;"'"&amp;"!A:A"),"总价",INDIRECT("'"&amp;A7&amp;"'"&amp;"!B:B"))</f>
        <v>#REF!</v>
      </c>
      <c r="C7" s="2869" t="s">
        <v>2985</v>
      </c>
      <c r="D7" s="2871"/>
      <c r="E7" s="2545" t="e">
        <f t="shared" ref="E7:E13" ca="1" si="0">SUMIF(INDIRECT("'"&amp;A7&amp;"'"&amp;"!C:C"),"建筑面积",INDIRECT("'"&amp;A7&amp;"'"&amp;"!D:D"))</f>
        <v>#REF!</v>
      </c>
    </row>
    <row r="8" spans="1:5" ht="15.75">
      <c r="A8" s="2874"/>
      <c r="B8" s="2870" t="e">
        <f t="shared" ref="B8:B13" ca="1" si="1">SUMIF(INDIRECT("'"&amp;A8&amp;"'"&amp;"!A:A"),"总价",INDIRECT("'"&amp;A8&amp;"'"&amp;"!B:B"))</f>
        <v>#REF!</v>
      </c>
      <c r="C8" s="2869" t="s">
        <v>2985</v>
      </c>
      <c r="D8" s="2871"/>
      <c r="E8" s="2545" t="e">
        <f t="shared" ca="1" si="0"/>
        <v>#REF!</v>
      </c>
    </row>
    <row r="9" spans="1:5" ht="15.75">
      <c r="A9" s="2874"/>
      <c r="B9" s="2870" t="e">
        <f t="shared" ca="1" si="1"/>
        <v>#REF!</v>
      </c>
      <c r="C9" s="2869" t="s">
        <v>2985</v>
      </c>
      <c r="D9" s="2871"/>
      <c r="E9" s="2545" t="e">
        <f t="shared" ca="1" si="0"/>
        <v>#REF!</v>
      </c>
    </row>
    <row r="10" spans="1:5" ht="15.75">
      <c r="A10" s="2874"/>
      <c r="B10" s="2870" t="e">
        <f t="shared" ca="1" si="1"/>
        <v>#REF!</v>
      </c>
      <c r="C10" s="2869" t="s">
        <v>2985</v>
      </c>
      <c r="D10" s="2871"/>
      <c r="E10" s="2545" t="e">
        <f t="shared" ca="1" si="0"/>
        <v>#REF!</v>
      </c>
    </row>
    <row r="11" spans="1:5" ht="15.75">
      <c r="A11" s="2874"/>
      <c r="B11" s="2870" t="e">
        <f t="shared" ca="1" si="1"/>
        <v>#REF!</v>
      </c>
      <c r="C11" s="2869" t="s">
        <v>2985</v>
      </c>
      <c r="D11" s="2871"/>
      <c r="E11" s="2545" t="e">
        <f t="shared" ca="1" si="0"/>
        <v>#REF!</v>
      </c>
    </row>
    <row r="12" spans="1:5" ht="15.75">
      <c r="A12" s="2874"/>
      <c r="B12" s="2870" t="e">
        <f t="shared" ca="1" si="1"/>
        <v>#REF!</v>
      </c>
      <c r="C12" s="2869" t="s">
        <v>2985</v>
      </c>
      <c r="D12" s="2871"/>
      <c r="E12" s="2545" t="e">
        <f t="shared" ca="1" si="0"/>
        <v>#REF!</v>
      </c>
    </row>
    <row r="13" spans="1:5" ht="15.75">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3143</v>
      </c>
      <c r="D1" s="1798" t="s">
        <v>3338</v>
      </c>
      <c r="E1" s="1799" t="s">
        <v>1381</v>
      </c>
      <c r="F1" s="1261">
        <f ca="1">J53</f>
        <v>44.1</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864</v>
      </c>
      <c r="C2" s="1823" t="s">
        <v>1510</v>
      </c>
      <c r="D2" s="1823"/>
      <c r="E2" s="1824"/>
      <c r="F2" s="1825"/>
      <c r="G2" s="1826"/>
      <c r="H2" s="1818"/>
      <c r="I2" s="1818"/>
      <c r="J2" s="1818"/>
      <c r="K2" s="1819"/>
      <c r="L2" s="1818"/>
      <c r="M2" s="1818"/>
    </row>
    <row r="3" spans="1:37" ht="18" customHeight="1" thickBot="1">
      <c r="A3" s="1827" t="s">
        <v>1511</v>
      </c>
      <c r="B3" s="1828">
        <f ca="1">IF(ISERROR(B2*10000/F43),0,ROUND(B2*10000/F43,0))</f>
        <v>5414</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52</v>
      </c>
      <c r="D6" s="151" t="s">
        <v>3019</v>
      </c>
      <c r="E6" s="334" t="s">
        <v>1399</v>
      </c>
      <c r="F6" s="335">
        <f ca="1">INDIRECT("'数据-取费表'!u"&amp;$G$1)</f>
        <v>1</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1595.8600000000001</v>
      </c>
      <c r="G7" s="1829"/>
      <c r="H7" s="336"/>
      <c r="I7" s="3322"/>
      <c r="J7" s="338"/>
      <c r="K7" s="339"/>
      <c r="L7" s="334" t="s">
        <v>1400</v>
      </c>
      <c r="M7" s="335">
        <f ca="1">F7</f>
        <v>1595.8600000000001</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608</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451</v>
      </c>
      <c r="D14" s="2927" t="s">
        <v>1412</v>
      </c>
      <c r="E14" s="2926"/>
      <c r="F14" s="351"/>
      <c r="G14" s="1829"/>
      <c r="H14" s="1179" t="s">
        <v>1031</v>
      </c>
      <c r="I14" s="334" t="s">
        <v>1413</v>
      </c>
      <c r="J14" s="24">
        <f ca="1">C29</f>
        <v>608</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508</v>
      </c>
      <c r="D19" s="127" t="s">
        <v>1430</v>
      </c>
      <c r="E19" s="2922"/>
      <c r="F19" s="26"/>
      <c r="G19" s="1829"/>
      <c r="H19" s="1179" t="s">
        <v>1032</v>
      </c>
      <c r="I19" s="334" t="s">
        <v>1431</v>
      </c>
      <c r="J19" s="24">
        <f ca="1">IF(K19="按租金收入计税",ROUND(J6*M19/(1+'数据-取费表'!C42),2),ROUND(C29*M19*0.7,2))</f>
        <v>5.1100000000000003</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809.11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608</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809.11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864</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5414</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-1942</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864</v>
      </c>
      <c r="R47" s="1864" t="s">
        <v>1523</v>
      </c>
    </row>
    <row r="48" spans="1:18" s="1820" customFormat="1" ht="28.5"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608</v>
      </c>
      <c r="R49" s="1864" t="s">
        <v>1523</v>
      </c>
    </row>
    <row r="50" spans="1:18" s="1820" customFormat="1" ht="13.5"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-298</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v>
      </c>
      <c r="K53" s="3324" t="s">
        <v>1542</v>
      </c>
      <c r="L53" s="3325"/>
      <c r="O53" s="1862" t="s">
        <v>1042</v>
      </c>
      <c r="P53" s="1863" t="s">
        <v>1543</v>
      </c>
      <c r="Q53" s="1864">
        <f ca="1">Q47+Q48</f>
        <v>864</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608</v>
      </c>
      <c r="D56" s="1891"/>
      <c r="E56" s="1892"/>
      <c r="F56" s="1884"/>
      <c r="I56" s="1893" t="s">
        <v>1548</v>
      </c>
      <c r="J56" s="1894" t="s">
        <v>3147</v>
      </c>
      <c r="K56" s="1865" t="s">
        <v>1549</v>
      </c>
      <c r="L56" s="1868" t="str">
        <f ca="1">IF(L48&lt;J51,"——",L48-J53)</f>
        <v>——</v>
      </c>
      <c r="O56" s="1862" t="s">
        <v>1036</v>
      </c>
      <c r="P56" s="1863" t="s">
        <v>1522</v>
      </c>
      <c r="Q56" s="1864">
        <f ca="1">C40+J29</f>
        <v>864</v>
      </c>
      <c r="R56" s="1864" t="s">
        <v>1523</v>
      </c>
    </row>
    <row r="57" spans="1:18" s="1820" customFormat="1" ht="24.75" thickBot="1">
      <c r="A57" s="1895"/>
      <c r="B57" s="1147" t="s">
        <v>1472</v>
      </c>
      <c r="C57" s="269">
        <f ca="1">C29</f>
        <v>608</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51.2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51.07</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864</v>
      </c>
      <c r="R62" s="1864" t="s">
        <v>1043</v>
      </c>
    </row>
    <row r="63" spans="1:18" s="1820" customFormat="1" ht="13.5" thickBot="1">
      <c r="A63" s="359"/>
      <c r="B63" s="1153"/>
      <c r="C63" s="29"/>
      <c r="D63" s="1163"/>
      <c r="E63" s="1147" t="s">
        <v>1441</v>
      </c>
      <c r="F63" s="335">
        <f t="shared" ca="1" si="0"/>
        <v>809.11</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864</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-298</v>
      </c>
      <c r="R67" s="1864" t="s">
        <v>1576</v>
      </c>
    </row>
    <row r="68" spans="1:18" s="1820" customFormat="1" ht="16.5" thickBot="1">
      <c r="A68" s="1144" t="s">
        <v>1028</v>
      </c>
      <c r="B68" s="1145" t="s">
        <v>1479</v>
      </c>
      <c r="C68" s="333">
        <f ca="1">ROUND(C67*(1-((1+F70)/(1+F68))^F69)/(F68-F70),0)</f>
        <v>-1078</v>
      </c>
      <c r="D68" s="1162" t="s">
        <v>1463</v>
      </c>
      <c r="E68" s="1147" t="s">
        <v>1464</v>
      </c>
      <c r="F68" s="344">
        <f ca="1">F40</f>
        <v>0.05</v>
      </c>
      <c r="O68" s="1872" t="s">
        <v>1039</v>
      </c>
      <c r="P68" s="1911" t="s">
        <v>1577</v>
      </c>
      <c r="Q68" s="1864">
        <f ca="1">ROUND(Q69-Q70*Q71,0)</f>
        <v>-16</v>
      </c>
      <c r="R68" s="1864" t="s">
        <v>1047</v>
      </c>
    </row>
    <row r="69" spans="1:18" s="1820" customFormat="1" ht="13.5" thickBot="1">
      <c r="A69" s="1148"/>
      <c r="B69" s="1149"/>
      <c r="C69" s="338"/>
      <c r="D69" s="1167" t="s">
        <v>1467</v>
      </c>
      <c r="E69" s="1147" t="s">
        <v>1468</v>
      </c>
      <c r="F69" s="366">
        <f ca="1">F41</f>
        <v>44.1</v>
      </c>
      <c r="O69" s="1872" t="s">
        <v>1044</v>
      </c>
      <c r="P69" s="1911" t="s">
        <v>1578</v>
      </c>
      <c r="Q69" s="1864">
        <f ca="1">C39</f>
        <v>33</v>
      </c>
      <c r="R69" s="1864" t="s">
        <v>1523</v>
      </c>
    </row>
    <row r="70" spans="1:18" s="1820" customFormat="1" ht="13.5" thickBot="1">
      <c r="A70" s="1151"/>
      <c r="B70" s="1152"/>
      <c r="C70" s="342"/>
      <c r="D70" s="1163"/>
      <c r="E70" s="1147" t="s">
        <v>1471</v>
      </c>
      <c r="F70" s="1253"/>
      <c r="O70" s="1872" t="s">
        <v>1045</v>
      </c>
      <c r="P70" s="1911" t="s">
        <v>1579</v>
      </c>
      <c r="Q70" s="1864">
        <f ca="1">C13</f>
        <v>608</v>
      </c>
      <c r="R70" s="1864" t="s">
        <v>1523</v>
      </c>
    </row>
    <row r="71" spans="1:18" s="1820" customFormat="1" ht="13.5" thickBot="1">
      <c r="A71" s="1168" t="s">
        <v>1029</v>
      </c>
      <c r="B71" s="1169" t="s">
        <v>1481</v>
      </c>
      <c r="C71" s="369">
        <f ca="1">ROUND(C68*10000/F71,0)</f>
        <v>-6755</v>
      </c>
      <c r="D71" s="1170" t="s">
        <v>1482</v>
      </c>
      <c r="E71" s="1171" t="s">
        <v>1483</v>
      </c>
      <c r="F71" s="372">
        <f ca="1">F43</f>
        <v>1595.8600000000001</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49</v>
      </c>
      <c r="D75" s="1820"/>
      <c r="E75" s="1820"/>
      <c r="F75" s="1820"/>
      <c r="K75" s="1846"/>
      <c r="L75" s="1820"/>
      <c r="O75" s="1862" t="s">
        <v>1042</v>
      </c>
      <c r="P75" s="1863" t="s">
        <v>1543</v>
      </c>
      <c r="Q75" s="1864">
        <f ca="1">Q65+Q66</f>
        <v>864</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-0.4850000000000001</v>
      </c>
    </row>
    <row r="80" spans="1:18">
      <c r="B80" s="373" t="s">
        <v>1505</v>
      </c>
      <c r="C80" s="305">
        <f ca="1">ROUND(C75/C39,3)</f>
        <v>1.4850000000000001</v>
      </c>
    </row>
    <row r="81" spans="2:3">
      <c r="B81" s="301" t="s">
        <v>1506</v>
      </c>
      <c r="C81" s="269"/>
    </row>
    <row r="82" spans="2:3">
      <c r="B82" s="304" t="s">
        <v>1507</v>
      </c>
      <c r="C82" s="306">
        <f ca="1">1-C83</f>
        <v>0.29600000000000004</v>
      </c>
    </row>
    <row r="83" spans="2:3">
      <c r="B83" s="304" t="s">
        <v>1508</v>
      </c>
      <c r="C83" s="305">
        <f ca="1">ROUND(C13/C40,3)</f>
        <v>0.70399999999999996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1" sqref="H41"/>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48</v>
      </c>
      <c r="D1" s="1798" t="s">
        <v>3338</v>
      </c>
      <c r="E1" s="1799" t="s">
        <v>1381</v>
      </c>
      <c r="F1" s="1261">
        <f ca="1">J53</f>
        <v>44.1</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629</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39</v>
      </c>
      <c r="D6" s="151" t="s">
        <v>3019</v>
      </c>
      <c r="E6" s="334" t="s">
        <v>1399</v>
      </c>
      <c r="F6" s="335">
        <f ca="1">INDIRECT("'数据-取费表'!u"&amp;$G$1)</f>
        <v>800</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45</v>
      </c>
      <c r="G7" s="1829"/>
      <c r="H7" s="336"/>
      <c r="I7" s="3322"/>
      <c r="J7" s="338"/>
      <c r="K7" s="339"/>
      <c r="L7" s="334" t="s">
        <v>1400</v>
      </c>
      <c r="M7" s="335">
        <f ca="1">F7</f>
        <v>45</v>
      </c>
    </row>
    <row r="8" spans="1:37" ht="18" customHeight="1">
      <c r="A8" s="336"/>
      <c r="B8" s="3322"/>
      <c r="C8" s="338"/>
      <c r="D8" s="339"/>
      <c r="E8" s="334" t="s">
        <v>1401</v>
      </c>
      <c r="F8" s="335">
        <f ca="1">INDIRECT("'数据-取费表'!ai"&amp;$G$1)</f>
        <v>12</v>
      </c>
      <c r="G8" s="1829"/>
      <c r="H8" s="336"/>
      <c r="I8" s="3322"/>
      <c r="J8" s="338"/>
      <c r="K8" s="339"/>
      <c r="L8" s="334" t="s">
        <v>1401</v>
      </c>
      <c r="M8" s="335">
        <f ca="1">INDIRECT("'数据-取费表'!ai"&amp;$G$1)</f>
        <v>12</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3342</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609</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452</v>
      </c>
      <c r="D14" s="2927" t="s">
        <v>1412</v>
      </c>
      <c r="E14" s="2926"/>
      <c r="F14" s="351"/>
      <c r="G14" s="1829"/>
      <c r="H14" s="1179" t="s">
        <v>1031</v>
      </c>
      <c r="I14" s="334" t="s">
        <v>1413</v>
      </c>
      <c r="J14" s="24">
        <f ca="1">C29</f>
        <v>609</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509</v>
      </c>
      <c r="D19" s="127" t="s">
        <v>1430</v>
      </c>
      <c r="E19" s="2922"/>
      <c r="F19" s="26"/>
      <c r="G19" s="1829"/>
      <c r="H19" s="1179" t="s">
        <v>1032</v>
      </c>
      <c r="I19" s="334" t="s">
        <v>1431</v>
      </c>
      <c r="J19" s="24">
        <f ca="1">IF(K19="按租金收入计税",ROUND(J6*M19/(1+'数据-取费表'!C42),2),ROUND(C29*M19*0.7,2))</f>
        <v>5.12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811.43999999999994</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609</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811.43999999999994</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629</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3930</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-1707</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629</v>
      </c>
      <c r="R47" s="1864" t="s">
        <v>1523</v>
      </c>
    </row>
    <row r="48" spans="1:18" s="1820" customFormat="1" ht="28.5"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609</v>
      </c>
      <c r="R49" s="1864" t="s">
        <v>1523</v>
      </c>
    </row>
    <row r="50" spans="1:18" s="1820" customFormat="1" ht="13.5"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-510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v>
      </c>
      <c r="K53" s="3324" t="s">
        <v>1542</v>
      </c>
      <c r="L53" s="3325"/>
      <c r="O53" s="1862" t="s">
        <v>1042</v>
      </c>
      <c r="P53" s="1863" t="s">
        <v>1543</v>
      </c>
      <c r="Q53" s="1864">
        <f ca="1">Q47+Q48</f>
        <v>629</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609</v>
      </c>
      <c r="D56" s="1891"/>
      <c r="E56" s="1892"/>
      <c r="F56" s="1884"/>
      <c r="I56" s="1893" t="s">
        <v>1548</v>
      </c>
      <c r="J56" s="1894" t="s">
        <v>3147</v>
      </c>
      <c r="K56" s="1865" t="s">
        <v>1549</v>
      </c>
      <c r="L56" s="1868" t="str">
        <f ca="1">IF(L48&lt;J51,"——",L48-J53)</f>
        <v>——</v>
      </c>
      <c r="O56" s="1862" t="s">
        <v>1036</v>
      </c>
      <c r="P56" s="1863" t="s">
        <v>1522</v>
      </c>
      <c r="Q56" s="1864">
        <f ca="1">C40+J29</f>
        <v>629</v>
      </c>
      <c r="R56" s="1864" t="s">
        <v>1523</v>
      </c>
    </row>
    <row r="57" spans="1:18" s="1820" customFormat="1" ht="24.75" thickBot="1">
      <c r="A57" s="1895"/>
      <c r="B57" s="1147" t="s">
        <v>1472</v>
      </c>
      <c r="C57" s="269">
        <f ca="1">C29</f>
        <v>609</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51.3</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51.16</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629</v>
      </c>
      <c r="R62" s="1864" t="s">
        <v>1043</v>
      </c>
    </row>
    <row r="63" spans="1:18" s="1820" customFormat="1" ht="13.5" thickBot="1">
      <c r="A63" s="359"/>
      <c r="B63" s="1153"/>
      <c r="C63" s="29"/>
      <c r="D63" s="1163"/>
      <c r="E63" s="1147" t="s">
        <v>1441</v>
      </c>
      <c r="F63" s="335">
        <f t="shared" ca="1" si="0"/>
        <v>811.43999999999994</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629</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-510</v>
      </c>
      <c r="R67" s="1864" t="s">
        <v>1576</v>
      </c>
    </row>
    <row r="68" spans="1:18" s="1820" customFormat="1" ht="16.5" thickBot="1">
      <c r="A68" s="1144" t="s">
        <v>1028</v>
      </c>
      <c r="B68" s="1145" t="s">
        <v>1479</v>
      </c>
      <c r="C68" s="333">
        <f ca="1">ROUND(C67*(1-((1+F70)/(1+F68))^F69)/(F68-F70),0)</f>
        <v>-1078</v>
      </c>
      <c r="D68" s="1162" t="s">
        <v>1463</v>
      </c>
      <c r="E68" s="1147" t="s">
        <v>1464</v>
      </c>
      <c r="F68" s="344">
        <f ca="1">F40</f>
        <v>0.05</v>
      </c>
      <c r="O68" s="1872" t="s">
        <v>1039</v>
      </c>
      <c r="P68" s="1911" t="s">
        <v>1577</v>
      </c>
      <c r="Q68" s="1864">
        <f ca="1">ROUND(Q69-Q70*Q71,0)</f>
        <v>-27</v>
      </c>
      <c r="R68" s="1864" t="s">
        <v>1047</v>
      </c>
    </row>
    <row r="69" spans="1:18" s="1820" customFormat="1" ht="13.5" thickBot="1">
      <c r="A69" s="1148"/>
      <c r="B69" s="1149"/>
      <c r="C69" s="338"/>
      <c r="D69" s="1167" t="s">
        <v>1467</v>
      </c>
      <c r="E69" s="1147" t="s">
        <v>1468</v>
      </c>
      <c r="F69" s="366">
        <f ca="1">F41</f>
        <v>44.1</v>
      </c>
      <c r="O69" s="1872" t="s">
        <v>1044</v>
      </c>
      <c r="P69" s="1911" t="s">
        <v>1578</v>
      </c>
      <c r="Q69" s="1864">
        <f ca="1">C39</f>
        <v>22</v>
      </c>
      <c r="R69" s="1864" t="s">
        <v>1523</v>
      </c>
    </row>
    <row r="70" spans="1:18" s="1820" customFormat="1" ht="13.5" thickBot="1">
      <c r="A70" s="1151"/>
      <c r="B70" s="1152"/>
      <c r="C70" s="342"/>
      <c r="D70" s="1163"/>
      <c r="E70" s="1147" t="s">
        <v>1471</v>
      </c>
      <c r="F70" s="1253"/>
      <c r="O70" s="1872" t="s">
        <v>1045</v>
      </c>
      <c r="P70" s="1911" t="s">
        <v>1579</v>
      </c>
      <c r="Q70" s="1864">
        <f ca="1">C13</f>
        <v>609</v>
      </c>
      <c r="R70" s="1864" t="s">
        <v>1523</v>
      </c>
    </row>
    <row r="71" spans="1:18" s="1820" customFormat="1" ht="13.5" thickBot="1">
      <c r="A71" s="1168" t="s">
        <v>1029</v>
      </c>
      <c r="B71" s="1169" t="s">
        <v>1481</v>
      </c>
      <c r="C71" s="369">
        <f ca="1">ROUND(C68*10000/F71,0)</f>
        <v>-6736</v>
      </c>
      <c r="D71" s="1170" t="s">
        <v>1482</v>
      </c>
      <c r="E71" s="1171" t="s">
        <v>1483</v>
      </c>
      <c r="F71" s="372">
        <f ca="1">F43</f>
        <v>1600.47</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49</v>
      </c>
      <c r="D75" s="1820"/>
      <c r="E75" s="1820"/>
      <c r="F75" s="1820"/>
      <c r="K75" s="1846"/>
      <c r="L75" s="1820"/>
      <c r="O75" s="1862" t="s">
        <v>1042</v>
      </c>
      <c r="P75" s="1863" t="s">
        <v>1543</v>
      </c>
      <c r="Q75" s="1864">
        <f ca="1">Q65+Q66</f>
        <v>629</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-1.2269999999999999</v>
      </c>
    </row>
    <row r="80" spans="1:18">
      <c r="B80" s="373" t="s">
        <v>1505</v>
      </c>
      <c r="C80" s="305">
        <f ca="1">ROUND(C75/C39,3)</f>
        <v>2.2269999999999999</v>
      </c>
    </row>
    <row r="81" spans="2:3">
      <c r="B81" s="301" t="s">
        <v>1506</v>
      </c>
      <c r="C81" s="269"/>
    </row>
    <row r="82" spans="2:3">
      <c r="B82" s="304" t="s">
        <v>1507</v>
      </c>
      <c r="C82" s="306">
        <f ca="1">1-C83</f>
        <v>3.2000000000000028E-2</v>
      </c>
    </row>
    <row r="83" spans="2:3">
      <c r="B83" s="304" t="s">
        <v>1508</v>
      </c>
      <c r="C83" s="305">
        <f ca="1">ROUND(C13/C40,3)</f>
        <v>0.96799999999999997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3" customFormat="1">
      <c r="B1" s="3410" t="s">
        <v>1145</v>
      </c>
      <c r="C1" s="3410"/>
      <c r="D1" s="3410"/>
      <c r="E1" s="3410"/>
      <c r="F1" s="3410"/>
      <c r="G1" s="3409" t="s">
        <v>1146</v>
      </c>
      <c r="H1" s="3409"/>
      <c r="I1" s="3409"/>
      <c r="J1" s="3409"/>
      <c r="K1" s="3409"/>
      <c r="L1" s="3409"/>
      <c r="N1" s="3409" t="s">
        <v>1147</v>
      </c>
      <c r="O1" s="3409"/>
      <c r="P1" s="3409"/>
      <c r="Q1" s="3409"/>
      <c r="R1" s="1424"/>
      <c r="S1" s="3409" t="s">
        <v>1148</v>
      </c>
      <c r="T1" s="3409"/>
      <c r="U1" s="3409"/>
      <c r="V1" s="3409"/>
      <c r="X1" s="3408" t="s">
        <v>1149</v>
      </c>
      <c r="Y1" s="3409"/>
      <c r="Z1" s="3409"/>
      <c r="AA1" s="3409"/>
      <c r="AB1" s="3409"/>
      <c r="AD1" s="3408" t="s">
        <v>1150</v>
      </c>
      <c r="AE1" s="3409"/>
      <c r="AF1" s="3409"/>
      <c r="AG1" s="3409"/>
      <c r="AH1" s="3409"/>
    </row>
    <row r="2" spans="1:34" s="1425" customFormat="1" ht="14.2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25">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25">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5"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5"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06">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5"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06"/>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5"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06"/>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15"/>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11">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5"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06"/>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5"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06"/>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15"/>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11">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06"/>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06"/>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5"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07"/>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5" thickBot="1">
      <c r="A22" s="1439" t="s">
        <v>151</v>
      </c>
      <c r="B22" s="1447">
        <v>333</v>
      </c>
      <c r="C22" s="1447">
        <v>277</v>
      </c>
      <c r="D22" s="1447">
        <f t="shared" si="119"/>
        <v>277</v>
      </c>
      <c r="E22" s="1447">
        <v>459</v>
      </c>
      <c r="F22" s="1448">
        <v>249</v>
      </c>
      <c r="G22" s="3405">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06"/>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06"/>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07"/>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5" thickBot="1">
      <c r="A26" s="1439" t="s">
        <v>147</v>
      </c>
      <c r="B26" s="1468">
        <v>318</v>
      </c>
      <c r="C26" s="1468">
        <v>268</v>
      </c>
      <c r="D26" s="1468">
        <f t="shared" si="119"/>
        <v>268</v>
      </c>
      <c r="E26" s="1468">
        <v>437</v>
      </c>
      <c r="F26" s="1469">
        <v>237</v>
      </c>
      <c r="G26" s="3405">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06"/>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5"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06"/>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5"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07"/>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5" thickBot="1">
      <c r="A30" s="1439" t="s">
        <v>1158</v>
      </c>
      <c r="B30" s="1447">
        <v>299</v>
      </c>
      <c r="C30" s="1447">
        <v>252</v>
      </c>
      <c r="D30" s="1447">
        <f t="shared" si="119"/>
        <v>252</v>
      </c>
      <c r="E30" s="1447">
        <v>409</v>
      </c>
      <c r="F30" s="1448">
        <v>227</v>
      </c>
      <c r="G30" s="3412">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13"/>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13"/>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14"/>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5" thickBot="1">
      <c r="A34" s="1439" t="s">
        <v>1162</v>
      </c>
      <c r="B34" s="1489">
        <v>278</v>
      </c>
      <c r="C34" s="1489">
        <v>234</v>
      </c>
      <c r="D34" s="1489">
        <f t="shared" si="119"/>
        <v>234</v>
      </c>
      <c r="E34" s="1489">
        <v>379</v>
      </c>
      <c r="F34" s="1490">
        <v>220</v>
      </c>
      <c r="G34" s="3405">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06"/>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06"/>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5" thickBot="1">
      <c r="A37" s="1439" t="s">
        <v>1165</v>
      </c>
      <c r="B37" s="1455">
        <f>B36/(1+N36)</f>
        <v>275.19025476197027</v>
      </c>
      <c r="C37" s="1491">
        <v>232</v>
      </c>
      <c r="D37" s="1491">
        <f t="shared" si="119"/>
        <v>232</v>
      </c>
      <c r="E37" s="1455">
        <f t="shared" si="130"/>
        <v>375.65990977608692</v>
      </c>
      <c r="F37" s="1455">
        <f t="shared" si="130"/>
        <v>214.12518283971252</v>
      </c>
      <c r="G37" s="3407"/>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5" thickBot="1">
      <c r="A38" s="1439" t="s">
        <v>1166</v>
      </c>
      <c r="B38" s="1447">
        <v>275</v>
      </c>
      <c r="C38" s="1447">
        <v>232</v>
      </c>
      <c r="D38" s="1447">
        <f t="shared" si="119"/>
        <v>232</v>
      </c>
      <c r="E38" s="1447">
        <v>376</v>
      </c>
      <c r="F38" s="1448">
        <v>213</v>
      </c>
      <c r="G38" s="3405">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06">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06">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5"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07">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5" thickBot="1">
      <c r="A42" s="1439" t="s">
        <v>1170</v>
      </c>
      <c r="B42" s="1447">
        <v>269</v>
      </c>
      <c r="C42" s="1447">
        <v>221</v>
      </c>
      <c r="D42" s="1447">
        <f t="shared" si="119"/>
        <v>221</v>
      </c>
      <c r="E42" s="1447">
        <v>373</v>
      </c>
      <c r="F42" s="1448">
        <v>196</v>
      </c>
      <c r="G42" s="3405">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06">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06">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5"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07">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5" thickBot="1">
      <c r="A46" s="1439" t="s">
        <v>1174</v>
      </c>
      <c r="B46" s="1447">
        <v>220</v>
      </c>
      <c r="C46" s="1447">
        <v>187</v>
      </c>
      <c r="D46" s="1447">
        <f t="shared" si="119"/>
        <v>187</v>
      </c>
      <c r="E46" s="1447">
        <v>301</v>
      </c>
      <c r="F46" s="1448">
        <v>168</v>
      </c>
      <c r="G46" s="3405">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06">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06">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07">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5" thickBot="1">
      <c r="A50" s="1439" t="s">
        <v>1178</v>
      </c>
      <c r="B50" s="1489">
        <v>214</v>
      </c>
      <c r="C50" s="1489">
        <v>188</v>
      </c>
      <c r="D50" s="1489">
        <f t="shared" si="119"/>
        <v>188</v>
      </c>
      <c r="E50" s="1489">
        <v>289</v>
      </c>
      <c r="F50" s="1490">
        <v>166</v>
      </c>
      <c r="G50" s="3405">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06">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06">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5"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07">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5" thickBot="1">
      <c r="A54" s="1439" t="s">
        <v>1182</v>
      </c>
      <c r="B54" s="1447">
        <v>188</v>
      </c>
      <c r="C54" s="1447">
        <v>165</v>
      </c>
      <c r="D54" s="1447">
        <f t="shared" si="119"/>
        <v>165</v>
      </c>
      <c r="E54" s="1447">
        <v>254</v>
      </c>
      <c r="F54" s="1448">
        <v>148</v>
      </c>
      <c r="G54" s="3405">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06">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06">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07">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5" thickBot="1">
      <c r="A58" s="1439" t="s">
        <v>1186</v>
      </c>
      <c r="B58" s="1468">
        <v>159</v>
      </c>
      <c r="C58" s="1468">
        <v>141</v>
      </c>
      <c r="D58" s="1468">
        <f t="shared" si="119"/>
        <v>141</v>
      </c>
      <c r="E58" s="1468">
        <v>195</v>
      </c>
      <c r="F58" s="1469">
        <v>122</v>
      </c>
      <c r="G58" s="3405">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06">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06">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07">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5" thickBot="1">
      <c r="A62" s="1439" t="s">
        <v>1190</v>
      </c>
      <c r="B62" s="1468">
        <v>138</v>
      </c>
      <c r="C62" s="1468">
        <v>131</v>
      </c>
      <c r="D62" s="1468">
        <f t="shared" si="119"/>
        <v>131</v>
      </c>
      <c r="E62" s="1468">
        <v>155</v>
      </c>
      <c r="F62" s="1469">
        <v>114</v>
      </c>
      <c r="G62" s="3405">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06">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06">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07">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5" thickBot="1">
      <c r="A66" s="1439" t="s">
        <v>1194</v>
      </c>
      <c r="B66" s="1489">
        <v>121</v>
      </c>
      <c r="C66" s="1489">
        <v>122</v>
      </c>
      <c r="D66" s="1489">
        <f t="shared" si="119"/>
        <v>122</v>
      </c>
      <c r="E66" s="1489">
        <v>124</v>
      </c>
      <c r="F66" s="1490">
        <v>107</v>
      </c>
      <c r="G66" s="3405">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06">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06">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5"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07">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5" thickBot="1">
      <c r="A70" s="1439" t="s">
        <v>1198</v>
      </c>
      <c r="B70" s="1510">
        <v>111</v>
      </c>
      <c r="C70" s="1510">
        <v>114</v>
      </c>
      <c r="D70" s="1510">
        <f t="shared" si="119"/>
        <v>114</v>
      </c>
      <c r="E70" s="1510">
        <v>108</v>
      </c>
      <c r="F70" s="1511">
        <v>104</v>
      </c>
      <c r="G70" s="3405">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06">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06">
        <v>2003</v>
      </c>
      <c r="H72" s="1443">
        <v>2</v>
      </c>
      <c r="I72" s="1512"/>
      <c r="J72" s="1512"/>
      <c r="K72" s="1512"/>
      <c r="L72" s="1512"/>
      <c r="X72" s="1504"/>
      <c r="Y72" s="1504"/>
      <c r="Z72" s="1504"/>
    </row>
    <row r="73" spans="1:26" ht="13.5" thickBot="1">
      <c r="A73" s="1439" t="s">
        <v>1201</v>
      </c>
      <c r="B73" s="1514">
        <f t="shared" si="155"/>
        <v>107.25</v>
      </c>
      <c r="C73" s="1514">
        <f t="shared" si="155"/>
        <v>108.75</v>
      </c>
      <c r="D73" s="1514">
        <f t="shared" si="119"/>
        <v>108.75</v>
      </c>
      <c r="E73" s="1514">
        <f t="shared" si="156"/>
        <v>105.75</v>
      </c>
      <c r="F73" s="1514">
        <f t="shared" si="156"/>
        <v>102.5</v>
      </c>
      <c r="G73" s="3407">
        <v>2003</v>
      </c>
      <c r="H73" s="1515">
        <v>1</v>
      </c>
      <c r="I73" s="1512"/>
      <c r="J73" s="1512"/>
      <c r="K73" s="1512"/>
      <c r="L73" s="1512"/>
      <c r="S73" s="1450"/>
      <c r="T73" s="1451"/>
      <c r="U73" s="1451"/>
      <c r="X73" s="1504"/>
      <c r="Y73" s="1504"/>
      <c r="Z73" s="1504"/>
    </row>
    <row r="74" spans="1:26" ht="13.5" thickBot="1">
      <c r="A74" s="1439" t="s">
        <v>1202</v>
      </c>
      <c r="B74" s="1516">
        <v>106</v>
      </c>
      <c r="C74" s="1516">
        <v>107</v>
      </c>
      <c r="D74" s="1516">
        <f t="shared" si="119"/>
        <v>107</v>
      </c>
      <c r="E74" s="1516">
        <v>105</v>
      </c>
      <c r="F74" s="1517">
        <v>102</v>
      </c>
      <c r="G74" s="3405">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06">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06">
        <v>2002</v>
      </c>
      <c r="H76" s="1443">
        <v>2</v>
      </c>
      <c r="I76" s="1512"/>
      <c r="J76" s="1512"/>
      <c r="K76" s="1512"/>
      <c r="L76" s="1512"/>
      <c r="X76" s="1504"/>
      <c r="Y76" s="1504"/>
      <c r="Z76" s="1504"/>
    </row>
    <row r="77" spans="1:26" s="1476" customFormat="1" ht="13.5" thickBot="1">
      <c r="A77" s="1472" t="s">
        <v>1205</v>
      </c>
      <c r="B77" s="1518">
        <f t="shared" si="157"/>
        <v>103</v>
      </c>
      <c r="C77" s="1518">
        <f t="shared" si="157"/>
        <v>104</v>
      </c>
      <c r="D77" s="1518">
        <f t="shared" si="119"/>
        <v>104</v>
      </c>
      <c r="E77" s="1518">
        <f t="shared" si="158"/>
        <v>103.5</v>
      </c>
      <c r="F77" s="1518">
        <f t="shared" si="158"/>
        <v>100.5</v>
      </c>
      <c r="G77" s="3407">
        <v>2002</v>
      </c>
      <c r="H77" s="1519">
        <v>1</v>
      </c>
      <c r="I77" s="1520"/>
      <c r="J77" s="1520"/>
      <c r="K77" s="1520"/>
      <c r="L77" s="1520"/>
      <c r="N77" s="1521"/>
      <c r="S77" s="1521"/>
      <c r="X77" s="1522"/>
      <c r="Y77" s="1522"/>
      <c r="Z77" s="1522"/>
    </row>
    <row r="78" spans="1:26" ht="13.5"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5"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5"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33916</v>
      </c>
      <c r="C2" s="2" t="s">
        <v>133</v>
      </c>
      <c r="D2" s="230"/>
      <c r="E2" s="230"/>
      <c r="F2" s="230"/>
      <c r="G2" s="230"/>
    </row>
    <row r="3" spans="1:7" s="231" customFormat="1" ht="18" customHeight="1" thickBot="1">
      <c r="A3" s="234" t="s">
        <v>85</v>
      </c>
      <c r="B3" s="235">
        <f ca="1">ROUND(B2*10000/'数据-汇总表'!E3,0)</f>
        <v>13669</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198</v>
      </c>
      <c r="D10" s="1010">
        <f>'数据-汇总表'!E6</f>
        <v>12386.459999999997</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496</v>
      </c>
      <c r="D19" s="1014">
        <f>'数据-汇总表'!E3</f>
        <v>24811.999999999996</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1148</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1110</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27</v>
      </c>
      <c r="D24" s="269"/>
      <c r="E24" s="269"/>
      <c r="F24" s="270"/>
      <c r="G24" s="271" t="s">
        <v>109</v>
      </c>
    </row>
    <row r="25" spans="1:7" s="245" customFormat="1" ht="24">
      <c r="A25" s="929" t="s">
        <v>793</v>
      </c>
      <c r="B25" s="246" t="s">
        <v>1054</v>
      </c>
      <c r="C25" s="1333">
        <f ca="1">ROUND(IF('数据-取费表'!B22&lt;=1,C20*F22*'数据-取费表'!B23/2,C20*(POWER((1+F22),'数据-取费表'!B23/2)-1)),0)</f>
        <v>11</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4.75">
      <c r="A27" s="926" t="s">
        <v>787</v>
      </c>
      <c r="B27" s="275" t="s">
        <v>112</v>
      </c>
      <c r="C27" s="276">
        <f>C28</f>
        <v>2433</v>
      </c>
      <c r="D27" s="266">
        <f>C29</f>
        <v>2.3E-3</v>
      </c>
      <c r="E27" s="267" t="s">
        <v>126</v>
      </c>
      <c r="F27" s="277">
        <f>'数据-取费表'!Q16</f>
        <v>0.15</v>
      </c>
      <c r="G27" s="278" t="s">
        <v>1065</v>
      </c>
    </row>
    <row r="28" spans="1:7" s="245" customFormat="1" ht="13.5" customHeight="1">
      <c r="A28" s="929" t="s">
        <v>794</v>
      </c>
      <c r="B28" s="279" t="s">
        <v>1058</v>
      </c>
      <c r="C28" s="280">
        <f>ROUND((C5+C19+C20)*F27*'数据-取费表'!B21/'数据-取费表'!B20,0)</f>
        <v>2433</v>
      </c>
      <c r="D28" s="266"/>
      <c r="E28" s="267"/>
      <c r="F28" s="277"/>
      <c r="G28" s="278"/>
    </row>
    <row r="29" spans="1:7" s="245" customFormat="1" ht="13.5" customHeight="1">
      <c r="A29" s="929" t="s">
        <v>792</v>
      </c>
      <c r="B29" s="279" t="s">
        <v>1059</v>
      </c>
      <c r="C29" s="269">
        <f>ROUND(C21*F27*'数据-取费表'!B21/'数据-取费表'!B20,4)</f>
        <v>2.3E-3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27178</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5182</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4491</v>
      </c>
      <c r="D34" s="248"/>
      <c r="E34" s="251"/>
      <c r="F34" s="288">
        <f>IF('数据-取费表'!B24=0,1,'数据-取费表'!N16)</f>
        <v>0.75</v>
      </c>
      <c r="G34" s="250" t="s">
        <v>116</v>
      </c>
    </row>
    <row r="35" spans="1:7" ht="13.5" customHeight="1">
      <c r="A35" s="929" t="s">
        <v>796</v>
      </c>
      <c r="B35" s="246" t="s">
        <v>60</v>
      </c>
      <c r="C35" s="251">
        <f>ROUND(C34*F35,0)</f>
        <v>135</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117</v>
      </c>
      <c r="D36" s="251"/>
      <c r="E36" s="251"/>
      <c r="F36" s="290">
        <f>'数据-取费表'!B34</f>
        <v>0.05</v>
      </c>
      <c r="G36" s="291" t="s">
        <v>62</v>
      </c>
    </row>
    <row r="37" spans="1:7" s="289" customFormat="1" ht="13.5" customHeight="1">
      <c r="A37" s="929" t="s">
        <v>798</v>
      </c>
      <c r="B37" s="246" t="s">
        <v>118</v>
      </c>
      <c r="C37" s="280">
        <f>ROUND(E37*D37*F34/10000,0)</f>
        <v>372</v>
      </c>
      <c r="D37" s="248">
        <f>'数据-汇总表'!E3</f>
        <v>24811.999999999996</v>
      </c>
      <c r="E37" s="280">
        <f>'数据-取费表'!B35</f>
        <v>200</v>
      </c>
      <c r="F37" s="290"/>
      <c r="G37" s="292" t="s">
        <v>119</v>
      </c>
    </row>
    <row r="38" spans="1:7" ht="13.5" customHeight="1">
      <c r="A38" s="929" t="s">
        <v>799</v>
      </c>
      <c r="B38" s="246" t="s">
        <v>63</v>
      </c>
      <c r="C38" s="251">
        <f>ROUND(C34*F38,0)</f>
        <v>67</v>
      </c>
      <c r="D38" s="251"/>
      <c r="E38" s="251"/>
      <c r="F38" s="290">
        <f>'数据-取费表'!B36</f>
        <v>1.4999999999999999E-2</v>
      </c>
      <c r="G38" s="250" t="s">
        <v>117</v>
      </c>
    </row>
    <row r="39" spans="1:7" s="245" customFormat="1" ht="13.5" customHeight="1">
      <c r="A39" s="926" t="s">
        <v>783</v>
      </c>
      <c r="B39" s="241" t="s">
        <v>104</v>
      </c>
      <c r="C39" s="263">
        <f>ROUND(C33*F20,0)</f>
        <v>104</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141</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138</v>
      </c>
      <c r="D42" s="269"/>
      <c r="E42" s="269"/>
      <c r="F42" s="270"/>
      <c r="G42" s="3318" t="s">
        <v>121</v>
      </c>
    </row>
    <row r="43" spans="1:7" ht="13.5" customHeight="1">
      <c r="A43" s="929" t="s">
        <v>792</v>
      </c>
      <c r="B43" s="246" t="s">
        <v>1060</v>
      </c>
      <c r="C43" s="269">
        <f ca="1">ROUND(IF('数据-取费表'!B22&lt;=1,C39*F22*'数据-取费表'!B21/2,C39*(POWER((1+F22),'数据-取费表'!B21/2)-1)),0)</f>
        <v>3</v>
      </c>
      <c r="D43" s="269"/>
      <c r="E43" s="269"/>
      <c r="F43" s="270"/>
      <c r="G43" s="3319"/>
    </row>
    <row r="44" spans="1:7" ht="13.5" customHeight="1">
      <c r="A44" s="929" t="s">
        <v>793</v>
      </c>
      <c r="B44" s="246" t="s">
        <v>1062</v>
      </c>
      <c r="C44" s="269">
        <f ca="1">ROUND(IF('数据-取费表'!B22&lt;=1,C40*F22*'数据-取费表'!B21/2,C40*(POWER((1+F22),'数据-取费表'!B21/2)-1)),4)</f>
        <v>5.0000000000000001E-4</v>
      </c>
      <c r="D44" s="269"/>
      <c r="E44" s="269"/>
      <c r="F44" s="270"/>
      <c r="G44" s="3320"/>
    </row>
    <row r="45" spans="1:7" s="245" customFormat="1" ht="13.5" customHeight="1">
      <c r="A45" s="926" t="s">
        <v>786</v>
      </c>
      <c r="B45" s="275" t="s">
        <v>112</v>
      </c>
      <c r="C45" s="276">
        <f>C46</f>
        <v>793</v>
      </c>
      <c r="D45" s="266">
        <f>C47</f>
        <v>3.0000000000000001E-3</v>
      </c>
      <c r="E45" s="267" t="s">
        <v>129</v>
      </c>
      <c r="F45" s="277"/>
      <c r="G45" s="278" t="s">
        <v>1068</v>
      </c>
    </row>
    <row r="46" spans="1:7" s="245" customFormat="1" ht="13.5" customHeight="1">
      <c r="A46" s="929" t="s">
        <v>794</v>
      </c>
      <c r="B46" s="279" t="s">
        <v>1061</v>
      </c>
      <c r="C46" s="280">
        <f>ROUND((C33+C39)*F27,0)</f>
        <v>793</v>
      </c>
      <c r="D46" s="294"/>
      <c r="E46" s="267"/>
      <c r="F46" s="277"/>
      <c r="G46" s="278"/>
    </row>
    <row r="47" spans="1:7" s="245" customFormat="1" ht="13.5" customHeight="1">
      <c r="A47" s="929" t="s">
        <v>792</v>
      </c>
      <c r="B47" s="279" t="s">
        <v>1063</v>
      </c>
      <c r="C47" s="269">
        <f>ROUND(C40*F27,4)</f>
        <v>3.0000000000000001E-3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6738</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6738</v>
      </c>
      <c r="D51" s="263"/>
      <c r="E51" s="263"/>
      <c r="F51" s="295"/>
      <c r="G51" s="265" t="s">
        <v>64</v>
      </c>
    </row>
    <row r="52" spans="1:7" s="239" customFormat="1" ht="16.5" thickBot="1">
      <c r="A52" s="296" t="s">
        <v>65</v>
      </c>
      <c r="B52" s="297"/>
      <c r="C52" s="298">
        <f ca="1">C31+C51</f>
        <v>33916</v>
      </c>
      <c r="D52" s="297"/>
      <c r="E52" s="297"/>
      <c r="F52" s="297"/>
      <c r="G52" s="299"/>
    </row>
    <row r="55" spans="1:7" ht="15">
      <c r="B55" s="301" t="s">
        <v>66</v>
      </c>
      <c r="C55" s="302"/>
    </row>
    <row r="56" spans="1:7">
      <c r="B56" s="304" t="s">
        <v>67</v>
      </c>
      <c r="C56" s="305">
        <f ca="1">ROUND(C51/C52,3)</f>
        <v>0.19900000000000001</v>
      </c>
    </row>
    <row r="57" spans="1:7">
      <c r="B57" s="304" t="s">
        <v>68</v>
      </c>
      <c r="C57" s="306">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3" customWidth="1"/>
    <col min="2" max="5" width="10.25" style="791" customWidth="1"/>
    <col min="6" max="6" width="9" style="791"/>
    <col min="7" max="8" width="9" style="806"/>
    <col min="9" max="16384" width="9" style="791"/>
  </cols>
  <sheetData>
    <row r="1" spans="1:19">
      <c r="A1" s="3416" t="s">
        <v>156</v>
      </c>
      <c r="B1" s="3416"/>
      <c r="C1" s="3416"/>
      <c r="D1" s="3416"/>
      <c r="E1" s="3416"/>
      <c r="F1" s="3416"/>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417" t="s">
        <v>169</v>
      </c>
      <c r="B2" s="3417"/>
      <c r="C2" s="3417"/>
      <c r="D2" s="3417"/>
      <c r="E2" s="3417"/>
      <c r="F2" s="3417"/>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18"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19"/>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416" t="s">
        <v>867</v>
      </c>
      <c r="B1" s="3416"/>
    </row>
    <row r="2" spans="1:6" ht="14.25" thickBot="1">
      <c r="A2" s="1035"/>
      <c r="B2" s="1035"/>
    </row>
    <row r="3" spans="1:6" ht="14.25" thickBot="1">
      <c r="A3" s="1035"/>
      <c r="B3" s="1035"/>
      <c r="C3" s="1039" t="s">
        <v>870</v>
      </c>
      <c r="D3" s="1039" t="s">
        <v>871</v>
      </c>
      <c r="E3" s="1039" t="s">
        <v>872</v>
      </c>
      <c r="F3" s="1039" t="s">
        <v>873</v>
      </c>
    </row>
    <row r="4" spans="1:6" ht="14.25" thickBot="1">
      <c r="A4" s="1037" t="s">
        <v>868</v>
      </c>
      <c r="B4" s="1038" t="s">
        <v>869</v>
      </c>
      <c r="C4" s="1039"/>
      <c r="D4" s="1039"/>
      <c r="E4" s="1039"/>
      <c r="F4" s="1039"/>
    </row>
    <row r="5" spans="1:6" ht="14.25" thickBot="1">
      <c r="A5" s="818" t="s">
        <v>874</v>
      </c>
      <c r="B5" s="819" t="s">
        <v>875</v>
      </c>
      <c r="C5" s="1040">
        <v>8.8999999999999996E-2</v>
      </c>
      <c r="D5" s="1040">
        <v>7.3999999999999996E-2</v>
      </c>
      <c r="E5" s="1040">
        <v>7.4999999999999997E-2</v>
      </c>
      <c r="F5" s="1041">
        <v>0.1</v>
      </c>
    </row>
    <row r="6" spans="1:6" ht="14.25" thickBot="1">
      <c r="A6" s="818" t="s">
        <v>212</v>
      </c>
      <c r="B6" s="812" t="s">
        <v>876</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877</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878</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879</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880</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881</v>
      </c>
      <c r="C72" s="1055"/>
      <c r="D72" s="1055"/>
      <c r="E72" s="1055"/>
      <c r="F72" s="1043">
        <v>0.05</v>
      </c>
    </row>
    <row r="73" spans="1:6" ht="14.25" thickBot="1">
      <c r="A73" s="818" t="s">
        <v>137</v>
      </c>
      <c r="B73" s="812" t="s">
        <v>882</v>
      </c>
      <c r="C73" s="1055"/>
      <c r="D73" s="1055"/>
      <c r="E73" s="1055"/>
      <c r="F73" s="1043">
        <v>0.05</v>
      </c>
    </row>
    <row r="74" spans="1:6" ht="14.25" thickBot="1">
      <c r="A74" s="818" t="s">
        <v>137</v>
      </c>
      <c r="B74" s="812" t="s">
        <v>883</v>
      </c>
      <c r="C74" s="1055"/>
      <c r="D74" s="1055"/>
      <c r="E74" s="1055"/>
      <c r="F74" s="1043">
        <v>0.05</v>
      </c>
    </row>
    <row r="75" spans="1:6" ht="14.25" thickBot="1">
      <c r="A75" s="828" t="s">
        <v>137</v>
      </c>
      <c r="B75" s="824" t="s">
        <v>884</v>
      </c>
      <c r="C75" s="1052"/>
      <c r="D75" s="1052"/>
      <c r="E75" s="1052"/>
      <c r="F75" s="1045">
        <v>0.05</v>
      </c>
    </row>
    <row r="76" spans="1:6" ht="14.25" thickBot="1">
      <c r="A76" s="818" t="s">
        <v>523</v>
      </c>
      <c r="B76" s="819" t="s">
        <v>885</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886</v>
      </c>
      <c r="C102" s="1055"/>
      <c r="D102" s="1055"/>
      <c r="E102" s="1055"/>
      <c r="F102" s="1043">
        <v>0.05</v>
      </c>
    </row>
    <row r="103" spans="1:6" ht="24.75" thickBot="1">
      <c r="A103" s="818" t="s">
        <v>523</v>
      </c>
      <c r="B103" s="812" t="s">
        <v>887</v>
      </c>
      <c r="C103" s="1055"/>
      <c r="D103" s="1055"/>
      <c r="E103" s="1055"/>
      <c r="F103" s="1043">
        <v>0.05</v>
      </c>
    </row>
    <row r="104" spans="1:6" ht="14.25" thickBot="1">
      <c r="A104" s="818" t="s">
        <v>523</v>
      </c>
      <c r="B104" s="812" t="s">
        <v>888</v>
      </c>
      <c r="C104" s="1055"/>
      <c r="D104" s="1055"/>
      <c r="E104" s="1055"/>
      <c r="F104" s="1043">
        <v>0.05</v>
      </c>
    </row>
    <row r="105" spans="1:6" ht="14.25" thickBot="1">
      <c r="A105" s="818" t="s">
        <v>523</v>
      </c>
      <c r="B105" s="812" t="s">
        <v>889</v>
      </c>
      <c r="C105" s="1055"/>
      <c r="D105" s="1055"/>
      <c r="E105" s="1055"/>
      <c r="F105" s="1043">
        <v>0.05</v>
      </c>
    </row>
    <row r="106" spans="1:6" ht="14.25" thickBot="1">
      <c r="A106" s="818" t="s">
        <v>523</v>
      </c>
      <c r="B106" s="812" t="s">
        <v>890</v>
      </c>
      <c r="C106" s="1055"/>
      <c r="D106" s="1055"/>
      <c r="E106" s="1055"/>
      <c r="F106" s="1043">
        <v>0.05</v>
      </c>
    </row>
    <row r="107" spans="1:6" ht="24.75" thickBot="1">
      <c r="A107" s="818" t="s">
        <v>523</v>
      </c>
      <c r="B107" s="812" t="s">
        <v>891</v>
      </c>
      <c r="C107" s="1055"/>
      <c r="D107" s="1055"/>
      <c r="E107" s="1055"/>
      <c r="F107" s="1043">
        <v>0.05</v>
      </c>
    </row>
    <row r="108" spans="1:6" ht="24.75" thickBot="1">
      <c r="A108" s="818" t="s">
        <v>523</v>
      </c>
      <c r="B108" s="812" t="s">
        <v>892</v>
      </c>
      <c r="C108" s="1055"/>
      <c r="D108" s="1055"/>
      <c r="E108" s="1055"/>
      <c r="F108" s="1043">
        <v>0.05</v>
      </c>
    </row>
    <row r="109" spans="1:6" ht="24.75" thickBot="1">
      <c r="A109" s="828" t="s">
        <v>523</v>
      </c>
      <c r="B109" s="824" t="s">
        <v>893</v>
      </c>
      <c r="C109" s="1052"/>
      <c r="D109" s="1052"/>
      <c r="E109" s="1052"/>
      <c r="F109" s="1045">
        <v>0.05</v>
      </c>
    </row>
    <row r="110" spans="1:6" ht="14.25" thickBot="1">
      <c r="A110" s="818" t="s">
        <v>56</v>
      </c>
      <c r="B110" s="819" t="s">
        <v>894</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895</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896</v>
      </c>
      <c r="C138" s="1042">
        <v>0.105</v>
      </c>
      <c r="D138" s="1042">
        <v>0.125</v>
      </c>
      <c r="E138" s="1042">
        <v>0.112</v>
      </c>
      <c r="F138" s="1054"/>
    </row>
    <row r="139" spans="1:6" ht="14.25" thickBot="1">
      <c r="A139" s="818" t="s">
        <v>56</v>
      </c>
      <c r="B139" s="812" t="s">
        <v>897</v>
      </c>
      <c r="C139" s="1042">
        <v>0.127</v>
      </c>
      <c r="D139" s="1042">
        <v>0.127</v>
      </c>
      <c r="E139" s="1042">
        <v>0.122</v>
      </c>
      <c r="F139" s="1043">
        <v>0.13</v>
      </c>
    </row>
    <row r="140" spans="1:6" ht="14.25" thickBot="1">
      <c r="A140" s="818" t="s">
        <v>56</v>
      </c>
      <c r="B140" s="812" t="s">
        <v>898</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899</v>
      </c>
      <c r="C144" s="1047">
        <v>0.126</v>
      </c>
      <c r="D144" s="1047">
        <v>0.126</v>
      </c>
      <c r="E144" s="1047">
        <v>0.121</v>
      </c>
      <c r="F144" s="1054"/>
    </row>
    <row r="145" spans="1:6" ht="14.25" thickBot="1">
      <c r="A145" s="828" t="s">
        <v>56</v>
      </c>
      <c r="B145" s="1048" t="s">
        <v>900</v>
      </c>
      <c r="C145" s="1056"/>
      <c r="D145" s="1056"/>
      <c r="E145" s="1056"/>
      <c r="F145" s="1049">
        <v>0.05</v>
      </c>
    </row>
    <row r="146" spans="1:6" ht="24.75" thickBot="1">
      <c r="A146" s="1050" t="s">
        <v>56</v>
      </c>
      <c r="B146" s="822" t="s">
        <v>901</v>
      </c>
      <c r="C146" s="1055"/>
      <c r="D146" s="1055"/>
      <c r="E146" s="1055"/>
      <c r="F146" s="1051">
        <v>0.05</v>
      </c>
    </row>
    <row r="147" spans="1:6" ht="24.75" thickBot="1">
      <c r="A147" s="818" t="s">
        <v>56</v>
      </c>
      <c r="B147" s="812" t="s">
        <v>902</v>
      </c>
      <c r="C147" s="1055"/>
      <c r="D147" s="1055"/>
      <c r="E147" s="1055"/>
      <c r="F147" s="1043">
        <v>0.05</v>
      </c>
    </row>
    <row r="148" spans="1:6" ht="24.75" thickBot="1">
      <c r="A148" s="818" t="s">
        <v>56</v>
      </c>
      <c r="B148" s="812" t="s">
        <v>903</v>
      </c>
      <c r="C148" s="1055"/>
      <c r="D148" s="1055"/>
      <c r="E148" s="1055"/>
      <c r="F148" s="1043">
        <v>0.05</v>
      </c>
    </row>
    <row r="149" spans="1:6" ht="24.75" thickBot="1">
      <c r="A149" s="818" t="s">
        <v>56</v>
      </c>
      <c r="B149" s="812" t="s">
        <v>904</v>
      </c>
      <c r="C149" s="1055"/>
      <c r="D149" s="1055"/>
      <c r="E149" s="1055"/>
      <c r="F149" s="1043">
        <v>0.05</v>
      </c>
    </row>
    <row r="150" spans="1:6" ht="24.75" thickBot="1">
      <c r="A150" s="818" t="s">
        <v>56</v>
      </c>
      <c r="B150" s="812" t="s">
        <v>905</v>
      </c>
      <c r="C150" s="1055"/>
      <c r="D150" s="1055"/>
      <c r="E150" s="1055"/>
      <c r="F150" s="1043">
        <v>0.05</v>
      </c>
    </row>
    <row r="151" spans="1:6" ht="24.75" thickBot="1">
      <c r="A151" s="818" t="s">
        <v>56</v>
      </c>
      <c r="B151" s="812" t="s">
        <v>906</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907</v>
      </c>
      <c r="C153" s="1055"/>
      <c r="D153" s="1055"/>
      <c r="E153" s="1055"/>
      <c r="F153" s="1043">
        <v>0.05</v>
      </c>
    </row>
    <row r="154" spans="1:6" ht="14.25" thickBot="1">
      <c r="A154" s="818" t="s">
        <v>56</v>
      </c>
      <c r="B154" s="812" t="s">
        <v>908</v>
      </c>
      <c r="C154" s="1055"/>
      <c r="D154" s="1055"/>
      <c r="E154" s="1055"/>
      <c r="F154" s="1043">
        <v>0.05</v>
      </c>
    </row>
    <row r="155" spans="1:6" ht="24.75" thickBot="1">
      <c r="A155" s="818" t="s">
        <v>56</v>
      </c>
      <c r="B155" s="812" t="s">
        <v>909</v>
      </c>
      <c r="C155" s="1055"/>
      <c r="D155" s="1055"/>
      <c r="E155" s="1055"/>
      <c r="F155" s="1043">
        <v>0.05</v>
      </c>
    </row>
    <row r="156" spans="1:6" ht="24.75" thickBot="1">
      <c r="A156" s="818" t="s">
        <v>56</v>
      </c>
      <c r="B156" s="812" t="s">
        <v>910</v>
      </c>
      <c r="C156" s="1055"/>
      <c r="D156" s="1055"/>
      <c r="E156" s="1055"/>
      <c r="F156" s="1043">
        <v>0.05</v>
      </c>
    </row>
    <row r="157" spans="1:6" ht="14.25" thickBot="1">
      <c r="A157" s="828" t="s">
        <v>56</v>
      </c>
      <c r="B157" s="824" t="s">
        <v>911</v>
      </c>
      <c r="C157" s="1052"/>
      <c r="D157" s="1052"/>
      <c r="E157" s="1052"/>
      <c r="F157" s="1045">
        <v>0.05</v>
      </c>
    </row>
    <row r="158" spans="1:6" ht="14.25" thickBot="1">
      <c r="A158" s="818" t="s">
        <v>526</v>
      </c>
      <c r="B158" s="819" t="s">
        <v>912</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913</v>
      </c>
      <c r="C171" s="1042">
        <v>0.127</v>
      </c>
      <c r="D171" s="1042">
        <v>0.126</v>
      </c>
      <c r="E171" s="1042">
        <v>0.126</v>
      </c>
      <c r="F171" s="1043">
        <v>0.11799999999999999</v>
      </c>
    </row>
    <row r="172" spans="1:6" ht="14.25" thickBot="1">
      <c r="A172" s="818" t="s">
        <v>526</v>
      </c>
      <c r="B172" s="812" t="s">
        <v>914</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915</v>
      </c>
      <c r="C174" s="1042">
        <v>0.13</v>
      </c>
      <c r="D174" s="1042">
        <v>0.13</v>
      </c>
      <c r="E174" s="1042">
        <v>0.13</v>
      </c>
      <c r="F174" s="1043">
        <v>0.13</v>
      </c>
    </row>
    <row r="175" spans="1:6" ht="14.25" thickBot="1">
      <c r="A175" s="818" t="s">
        <v>526</v>
      </c>
      <c r="B175" s="812" t="s">
        <v>916</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917</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918</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919</v>
      </c>
      <c r="C185" s="1042">
        <v>0.127</v>
      </c>
      <c r="D185" s="1042">
        <v>0.127</v>
      </c>
      <c r="E185" s="1042">
        <v>0.128</v>
      </c>
      <c r="F185" s="1043">
        <v>0.13</v>
      </c>
    </row>
    <row r="186" spans="1:6" ht="24.75" thickBot="1">
      <c r="A186" s="818" t="s">
        <v>526</v>
      </c>
      <c r="B186" s="812" t="s">
        <v>920</v>
      </c>
      <c r="C186" s="1055"/>
      <c r="D186" s="1055"/>
      <c r="E186" s="1055"/>
      <c r="F186" s="1043">
        <v>0.05</v>
      </c>
    </row>
    <row r="187" spans="1:6" ht="14.25" thickBot="1">
      <c r="A187" s="818" t="s">
        <v>526</v>
      </c>
      <c r="B187" s="812" t="s">
        <v>921</v>
      </c>
      <c r="C187" s="1055"/>
      <c r="D187" s="1055"/>
      <c r="E187" s="1055"/>
      <c r="F187" s="1043">
        <v>0.05</v>
      </c>
    </row>
    <row r="188" spans="1:6" ht="14.25" thickBot="1">
      <c r="A188" s="818" t="s">
        <v>526</v>
      </c>
      <c r="B188" s="812" t="s">
        <v>922</v>
      </c>
      <c r="C188" s="1055"/>
      <c r="D188" s="1055"/>
      <c r="E188" s="1055"/>
      <c r="F188" s="1043">
        <v>0.05</v>
      </c>
    </row>
    <row r="189" spans="1:6" ht="24.75" thickBot="1">
      <c r="A189" s="818" t="s">
        <v>526</v>
      </c>
      <c r="B189" s="812" t="s">
        <v>923</v>
      </c>
      <c r="C189" s="1055"/>
      <c r="D189" s="1055"/>
      <c r="E189" s="1055"/>
      <c r="F189" s="1043">
        <v>0.05</v>
      </c>
    </row>
    <row r="190" spans="1:6" ht="24.75" thickBot="1">
      <c r="A190" s="818" t="s">
        <v>526</v>
      </c>
      <c r="B190" s="812" t="s">
        <v>924</v>
      </c>
      <c r="C190" s="1055"/>
      <c r="D190" s="1055"/>
      <c r="E190" s="1055"/>
      <c r="F190" s="1043">
        <v>0.05</v>
      </c>
    </row>
    <row r="191" spans="1:6" ht="24.75" thickBot="1">
      <c r="A191" s="818" t="s">
        <v>526</v>
      </c>
      <c r="B191" s="812" t="s">
        <v>925</v>
      </c>
      <c r="C191" s="1055"/>
      <c r="D191" s="1055"/>
      <c r="E191" s="1055"/>
      <c r="F191" s="1043">
        <v>0.05</v>
      </c>
    </row>
    <row r="192" spans="1:6" ht="24.75" thickBot="1">
      <c r="A192" s="818" t="s">
        <v>526</v>
      </c>
      <c r="B192" s="812" t="s">
        <v>926</v>
      </c>
      <c r="C192" s="1055"/>
      <c r="D192" s="1055"/>
      <c r="E192" s="1055"/>
      <c r="F192" s="1043">
        <v>0.05</v>
      </c>
    </row>
    <row r="193" spans="1:6" ht="24.75" thickBot="1">
      <c r="A193" s="818" t="s">
        <v>526</v>
      </c>
      <c r="B193" s="812" t="s">
        <v>927</v>
      </c>
      <c r="C193" s="1055"/>
      <c r="D193" s="1055"/>
      <c r="E193" s="1055"/>
      <c r="F193" s="1043">
        <v>0.05</v>
      </c>
    </row>
    <row r="194" spans="1:6" ht="24.75" thickBot="1">
      <c r="A194" s="818" t="s">
        <v>526</v>
      </c>
      <c r="B194" s="812" t="s">
        <v>928</v>
      </c>
      <c r="C194" s="1055"/>
      <c r="D194" s="1055"/>
      <c r="E194" s="1055"/>
      <c r="F194" s="1043">
        <v>0.05</v>
      </c>
    </row>
    <row r="195" spans="1:6" ht="14.25" thickBot="1">
      <c r="A195" s="818" t="s">
        <v>526</v>
      </c>
      <c r="B195" s="812" t="s">
        <v>929</v>
      </c>
      <c r="C195" s="1055"/>
      <c r="D195" s="1055"/>
      <c r="E195" s="1055"/>
      <c r="F195" s="1043">
        <v>0.05</v>
      </c>
    </row>
    <row r="196" spans="1:6" ht="24.75" thickBot="1">
      <c r="A196" s="818" t="s">
        <v>526</v>
      </c>
      <c r="B196" s="812" t="s">
        <v>930</v>
      </c>
      <c r="C196" s="1055"/>
      <c r="D196" s="1055"/>
      <c r="E196" s="1055"/>
      <c r="F196" s="1043">
        <v>0.05</v>
      </c>
    </row>
    <row r="197" spans="1:6" ht="24.75" thickBot="1">
      <c r="A197" s="818" t="s">
        <v>526</v>
      </c>
      <c r="B197" s="812" t="s">
        <v>931</v>
      </c>
      <c r="C197" s="1055"/>
      <c r="D197" s="1055"/>
      <c r="E197" s="1055"/>
      <c r="F197" s="1043">
        <v>0.05</v>
      </c>
    </row>
    <row r="198" spans="1:6" ht="24.75" thickBot="1">
      <c r="A198" s="818" t="s">
        <v>526</v>
      </c>
      <c r="B198" s="812" t="s">
        <v>932</v>
      </c>
      <c r="C198" s="1055"/>
      <c r="D198" s="1055"/>
      <c r="E198" s="1055"/>
      <c r="F198" s="1043">
        <v>0.05</v>
      </c>
    </row>
    <row r="199" spans="1:6" ht="24.75" thickBot="1">
      <c r="A199" s="818" t="s">
        <v>526</v>
      </c>
      <c r="B199" s="812" t="s">
        <v>933</v>
      </c>
      <c r="C199" s="1055"/>
      <c r="D199" s="1055"/>
      <c r="E199" s="1055"/>
      <c r="F199" s="1043">
        <v>0.05</v>
      </c>
    </row>
    <row r="200" spans="1:6" ht="24.75" thickBot="1">
      <c r="A200" s="818" t="s">
        <v>526</v>
      </c>
      <c r="B200" s="812" t="s">
        <v>934</v>
      </c>
      <c r="C200" s="1055"/>
      <c r="D200" s="1055"/>
      <c r="E200" s="1055"/>
      <c r="F200" s="1043">
        <v>0.05</v>
      </c>
    </row>
    <row r="201" spans="1:6" ht="24.75" thickBot="1">
      <c r="A201" s="818" t="s">
        <v>526</v>
      </c>
      <c r="B201" s="812" t="s">
        <v>935</v>
      </c>
      <c r="C201" s="1055"/>
      <c r="D201" s="1055"/>
      <c r="E201" s="1055"/>
      <c r="F201" s="1043">
        <v>0.05</v>
      </c>
    </row>
    <row r="202" spans="1:6" ht="24.75" thickBot="1">
      <c r="A202" s="818" t="s">
        <v>526</v>
      </c>
      <c r="B202" s="812" t="s">
        <v>936</v>
      </c>
      <c r="C202" s="1055"/>
      <c r="D202" s="1055"/>
      <c r="E202" s="1055"/>
      <c r="F202" s="1043">
        <v>0.05</v>
      </c>
    </row>
    <row r="203" spans="1:6" ht="24.75" thickBot="1">
      <c r="A203" s="818" t="s">
        <v>526</v>
      </c>
      <c r="B203" s="812" t="s">
        <v>937</v>
      </c>
      <c r="C203" s="1055"/>
      <c r="D203" s="1055"/>
      <c r="E203" s="1055"/>
      <c r="F203" s="1043">
        <v>0.05</v>
      </c>
    </row>
    <row r="204" spans="1:6" ht="14.25" thickBot="1">
      <c r="A204" s="818" t="s">
        <v>526</v>
      </c>
      <c r="B204" s="812" t="s">
        <v>938</v>
      </c>
      <c r="C204" s="1055"/>
      <c r="D204" s="1055"/>
      <c r="E204" s="1055"/>
      <c r="F204" s="1043">
        <v>0.05</v>
      </c>
    </row>
    <row r="205" spans="1:6" ht="14.25" thickBot="1">
      <c r="A205" s="828" t="s">
        <v>526</v>
      </c>
      <c r="B205" s="824" t="s">
        <v>939</v>
      </c>
      <c r="C205" s="1052"/>
      <c r="D205" s="1052"/>
      <c r="E205" s="1052"/>
      <c r="F205" s="1045">
        <v>0.05</v>
      </c>
    </row>
    <row r="206" spans="1:6" ht="14.25" thickBot="1">
      <c r="A206" s="818" t="s">
        <v>528</v>
      </c>
      <c r="B206" s="819" t="s">
        <v>940</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941</v>
      </c>
      <c r="C210" s="1042">
        <v>0.15</v>
      </c>
      <c r="D210" s="1042">
        <v>0.15</v>
      </c>
      <c r="E210" s="1042">
        <v>0.15</v>
      </c>
      <c r="F210" s="1043">
        <v>0.13800000000000001</v>
      </c>
    </row>
    <row r="211" spans="1:6" ht="14.25" thickBot="1">
      <c r="A211" s="818" t="s">
        <v>528</v>
      </c>
      <c r="B211" s="812" t="s">
        <v>942</v>
      </c>
      <c r="C211" s="1042">
        <v>0.13700000000000001</v>
      </c>
      <c r="D211" s="1042">
        <v>0.13500000000000001</v>
      </c>
      <c r="E211" s="1042">
        <v>0.13600000000000001</v>
      </c>
      <c r="F211" s="1043">
        <v>0.1</v>
      </c>
    </row>
    <row r="212" spans="1:6" ht="14.25" thickBot="1">
      <c r="A212" s="818" t="s">
        <v>528</v>
      </c>
      <c r="B212" s="812" t="s">
        <v>943</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944</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945</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946</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947</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948</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949</v>
      </c>
      <c r="C231" s="1042">
        <v>0.128</v>
      </c>
      <c r="D231" s="1042">
        <v>0.125</v>
      </c>
      <c r="E231" s="1042">
        <v>0.13200000000000001</v>
      </c>
      <c r="F231" s="1054"/>
    </row>
    <row r="232" spans="1:6" ht="14.25" thickBot="1">
      <c r="A232" s="818" t="s">
        <v>528</v>
      </c>
      <c r="B232" s="812" t="s">
        <v>950</v>
      </c>
      <c r="C232" s="1042">
        <v>0.14499999999999999</v>
      </c>
      <c r="D232" s="1042">
        <v>0.14399999999999999</v>
      </c>
      <c r="E232" s="1042">
        <v>0.14599999999999999</v>
      </c>
      <c r="F232" s="1043">
        <v>0.13800000000000001</v>
      </c>
    </row>
    <row r="233" spans="1:6" ht="14.25" thickBot="1">
      <c r="A233" s="818" t="s">
        <v>528</v>
      </c>
      <c r="B233" s="812" t="s">
        <v>951</v>
      </c>
      <c r="C233" s="1042">
        <v>0.14499999999999999</v>
      </c>
      <c r="D233" s="1042">
        <v>0.14299999999999999</v>
      </c>
      <c r="E233" s="1042">
        <v>0.14199999999999999</v>
      </c>
      <c r="F233" s="1054"/>
    </row>
    <row r="234" spans="1:6" ht="14.25" thickBot="1">
      <c r="A234" s="818" t="s">
        <v>528</v>
      </c>
      <c r="B234" s="812" t="s">
        <v>952</v>
      </c>
      <c r="C234" s="1042">
        <v>0.14000000000000001</v>
      </c>
      <c r="D234" s="1042">
        <v>0.14000000000000001</v>
      </c>
      <c r="E234" s="1042">
        <v>0.14399999999999999</v>
      </c>
      <c r="F234" s="1054"/>
    </row>
    <row r="235" spans="1:6" ht="14.25" thickBot="1">
      <c r="A235" s="818" t="s">
        <v>528</v>
      </c>
      <c r="B235" s="812" t="s">
        <v>953</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954</v>
      </c>
      <c r="C237" s="1055"/>
      <c r="D237" s="1055"/>
      <c r="E237" s="1055"/>
      <c r="F237" s="1043">
        <v>0.05</v>
      </c>
    </row>
    <row r="238" spans="1:6" ht="24.75" thickBot="1">
      <c r="A238" s="818" t="s">
        <v>528</v>
      </c>
      <c r="B238" s="812" t="s">
        <v>955</v>
      </c>
      <c r="C238" s="1055"/>
      <c r="D238" s="1055"/>
      <c r="E238" s="1055"/>
      <c r="F238" s="1043">
        <v>0.05</v>
      </c>
    </row>
    <row r="239" spans="1:6" ht="24.75" thickBot="1">
      <c r="A239" s="818" t="s">
        <v>528</v>
      </c>
      <c r="B239" s="812" t="s">
        <v>956</v>
      </c>
      <c r="C239" s="1055"/>
      <c r="D239" s="1055"/>
      <c r="E239" s="1055"/>
      <c r="F239" s="1043">
        <v>0.05</v>
      </c>
    </row>
    <row r="240" spans="1:6" ht="24.75" thickBot="1">
      <c r="A240" s="818" t="s">
        <v>528</v>
      </c>
      <c r="B240" s="812" t="s">
        <v>957</v>
      </c>
      <c r="C240" s="1055"/>
      <c r="D240" s="1055"/>
      <c r="E240" s="1055"/>
      <c r="F240" s="1043">
        <v>0.05</v>
      </c>
    </row>
    <row r="241" spans="1:6" ht="24.75" thickBot="1">
      <c r="A241" s="818" t="s">
        <v>528</v>
      </c>
      <c r="B241" s="812" t="s">
        <v>958</v>
      </c>
      <c r="C241" s="1055"/>
      <c r="D241" s="1055"/>
      <c r="E241" s="1055"/>
      <c r="F241" s="1043">
        <v>0.05</v>
      </c>
    </row>
    <row r="242" spans="1:6" ht="24.75" thickBot="1">
      <c r="A242" s="818" t="s">
        <v>528</v>
      </c>
      <c r="B242" s="812" t="s">
        <v>959</v>
      </c>
      <c r="C242" s="1055"/>
      <c r="D242" s="1055"/>
      <c r="E242" s="1055"/>
      <c r="F242" s="1043">
        <v>0.05</v>
      </c>
    </row>
    <row r="243" spans="1:6" ht="24.75" thickBot="1">
      <c r="A243" s="818" t="s">
        <v>528</v>
      </c>
      <c r="B243" s="812" t="s">
        <v>960</v>
      </c>
      <c r="C243" s="1055"/>
      <c r="D243" s="1055"/>
      <c r="E243" s="1055"/>
      <c r="F243" s="1043">
        <v>0.05</v>
      </c>
    </row>
    <row r="244" spans="1:6" ht="24.75" thickBot="1">
      <c r="A244" s="828" t="s">
        <v>528</v>
      </c>
      <c r="B244" s="824" t="s">
        <v>961</v>
      </c>
      <c r="C244" s="1052"/>
      <c r="D244" s="1052"/>
      <c r="E244" s="1052"/>
      <c r="F244" s="1045">
        <v>0.05</v>
      </c>
    </row>
    <row r="245" spans="1:6" ht="14.25" thickBot="1">
      <c r="A245" s="818" t="s">
        <v>530</v>
      </c>
      <c r="B245" s="819" t="s">
        <v>962</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963</v>
      </c>
      <c r="C247" s="1042">
        <v>0.15</v>
      </c>
      <c r="D247" s="1042">
        <v>0.15</v>
      </c>
      <c r="E247" s="1042">
        <v>0.15</v>
      </c>
      <c r="F247" s="1043">
        <v>0.15</v>
      </c>
    </row>
    <row r="248" spans="1:6" ht="14.25" thickBot="1">
      <c r="A248" s="818" t="s">
        <v>530</v>
      </c>
      <c r="B248" s="812" t="s">
        <v>964</v>
      </c>
      <c r="C248" s="1042">
        <v>0.15</v>
      </c>
      <c r="D248" s="1042">
        <v>0.15</v>
      </c>
      <c r="E248" s="1042">
        <v>0.15</v>
      </c>
      <c r="F248" s="1043">
        <v>0.14000000000000001</v>
      </c>
    </row>
    <row r="249" spans="1:6" ht="14.25" thickBot="1">
      <c r="A249" s="818" t="s">
        <v>530</v>
      </c>
      <c r="B249" s="812" t="s">
        <v>965</v>
      </c>
      <c r="C249" s="1042">
        <v>0.15</v>
      </c>
      <c r="D249" s="1042">
        <v>0.14899999999999999</v>
      </c>
      <c r="E249" s="1042">
        <v>0.15</v>
      </c>
      <c r="F249" s="1043">
        <v>0.1</v>
      </c>
    </row>
    <row r="250" spans="1:6" ht="14.25" thickBot="1">
      <c r="A250" s="818" t="s">
        <v>530</v>
      </c>
      <c r="B250" s="812" t="s">
        <v>966</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967</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968</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969</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970</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971</v>
      </c>
      <c r="C273" s="1042">
        <v>0.14199999999999999</v>
      </c>
      <c r="D273" s="1042">
        <v>0.14299999999999999</v>
      </c>
      <c r="E273" s="1042">
        <v>0.15</v>
      </c>
      <c r="F273" s="1043">
        <v>0.1</v>
      </c>
    </row>
    <row r="274" spans="1:6" ht="14.25" thickBot="1">
      <c r="A274" s="818" t="s">
        <v>530</v>
      </c>
      <c r="B274" s="812" t="s">
        <v>972</v>
      </c>
      <c r="C274" s="1042">
        <v>0.14799999999999999</v>
      </c>
      <c r="D274" s="1042">
        <v>0.14799999999999999</v>
      </c>
      <c r="E274" s="1042">
        <v>0.15</v>
      </c>
      <c r="F274" s="1043">
        <v>6.7000000000000004E-2</v>
      </c>
    </row>
    <row r="275" spans="1:6" ht="14.25" thickBot="1">
      <c r="A275" s="818" t="s">
        <v>530</v>
      </c>
      <c r="B275" s="812" t="s">
        <v>973</v>
      </c>
      <c r="C275" s="1042">
        <v>0.15</v>
      </c>
      <c r="D275" s="1042">
        <v>0.15</v>
      </c>
      <c r="E275" s="1042">
        <v>0.15</v>
      </c>
      <c r="F275" s="1043">
        <v>0.15</v>
      </c>
    </row>
    <row r="276" spans="1:6" ht="14.25" thickBot="1">
      <c r="A276" s="818" t="s">
        <v>530</v>
      </c>
      <c r="B276" s="812" t="s">
        <v>974</v>
      </c>
      <c r="C276" s="1042">
        <v>0.14499999999999999</v>
      </c>
      <c r="D276" s="1042">
        <v>0.14299999999999999</v>
      </c>
      <c r="E276" s="1042">
        <v>0.15</v>
      </c>
      <c r="F276" s="1043">
        <v>5.8999999999999997E-2</v>
      </c>
    </row>
    <row r="277" spans="1:6" ht="14.25" thickBot="1">
      <c r="A277" s="818" t="s">
        <v>530</v>
      </c>
      <c r="B277" s="812" t="s">
        <v>975</v>
      </c>
      <c r="C277" s="1042">
        <v>0.15</v>
      </c>
      <c r="D277" s="1042">
        <v>0.15</v>
      </c>
      <c r="E277" s="1042">
        <v>0.15</v>
      </c>
      <c r="F277" s="1043">
        <v>0.121</v>
      </c>
    </row>
    <row r="278" spans="1:6" ht="14.25" thickBot="1">
      <c r="A278" s="818" t="s">
        <v>530</v>
      </c>
      <c r="B278" s="812" t="s">
        <v>976</v>
      </c>
      <c r="C278" s="1042">
        <v>0.15</v>
      </c>
      <c r="D278" s="1042">
        <v>0.15</v>
      </c>
      <c r="E278" s="1042">
        <v>0.15</v>
      </c>
      <c r="F278" s="1043">
        <v>0.13800000000000001</v>
      </c>
    </row>
    <row r="279" spans="1:6" ht="24.75" thickBot="1">
      <c r="A279" s="818" t="s">
        <v>530</v>
      </c>
      <c r="B279" s="812" t="s">
        <v>977</v>
      </c>
      <c r="C279" s="1055"/>
      <c r="D279" s="1055"/>
      <c r="E279" s="1055"/>
      <c r="F279" s="1043">
        <v>0.05</v>
      </c>
    </row>
    <row r="280" spans="1:6" ht="24.75" thickBot="1">
      <c r="A280" s="818" t="s">
        <v>530</v>
      </c>
      <c r="B280" s="812" t="s">
        <v>978</v>
      </c>
      <c r="C280" s="1055"/>
      <c r="D280" s="1055"/>
      <c r="E280" s="1055"/>
      <c r="F280" s="1043">
        <v>0.05</v>
      </c>
    </row>
    <row r="281" spans="1:6" ht="24.75" thickBot="1">
      <c r="A281" s="818" t="s">
        <v>530</v>
      </c>
      <c r="B281" s="812" t="s">
        <v>979</v>
      </c>
      <c r="C281" s="1055"/>
      <c r="D281" s="1055"/>
      <c r="E281" s="1055"/>
      <c r="F281" s="1043">
        <v>0.05</v>
      </c>
    </row>
    <row r="282" spans="1:6" ht="24.75" thickBot="1">
      <c r="A282" s="818" t="s">
        <v>530</v>
      </c>
      <c r="B282" s="812" t="s">
        <v>980</v>
      </c>
      <c r="C282" s="1055"/>
      <c r="D282" s="1055"/>
      <c r="E282" s="1055"/>
      <c r="F282" s="1043">
        <v>0.05</v>
      </c>
    </row>
    <row r="283" spans="1:6" ht="24.75" thickBot="1">
      <c r="A283" s="818" t="s">
        <v>530</v>
      </c>
      <c r="B283" s="812" t="s">
        <v>981</v>
      </c>
      <c r="C283" s="1055"/>
      <c r="D283" s="1055"/>
      <c r="E283" s="1055"/>
      <c r="F283" s="1043">
        <v>0.05</v>
      </c>
    </row>
    <row r="284" spans="1:6" ht="24.75" thickBot="1">
      <c r="A284" s="818" t="s">
        <v>530</v>
      </c>
      <c r="B284" s="812" t="s">
        <v>982</v>
      </c>
      <c r="C284" s="1055"/>
      <c r="D284" s="1055"/>
      <c r="E284" s="1055"/>
      <c r="F284" s="1043">
        <v>0.05</v>
      </c>
    </row>
    <row r="285" spans="1:6" ht="24.75" thickBot="1">
      <c r="A285" s="818" t="s">
        <v>530</v>
      </c>
      <c r="B285" s="812" t="s">
        <v>983</v>
      </c>
      <c r="C285" s="1055"/>
      <c r="D285" s="1055"/>
      <c r="E285" s="1055"/>
      <c r="F285" s="1043">
        <v>0.05</v>
      </c>
    </row>
    <row r="286" spans="1:6" ht="24.75" thickBot="1">
      <c r="A286" s="818" t="s">
        <v>530</v>
      </c>
      <c r="B286" s="812" t="s">
        <v>984</v>
      </c>
      <c r="C286" s="1055"/>
      <c r="D286" s="1055"/>
      <c r="E286" s="1055"/>
      <c r="F286" s="1043">
        <v>0.05</v>
      </c>
    </row>
    <row r="287" spans="1:6" ht="24.75" thickBot="1">
      <c r="A287" s="818" t="s">
        <v>530</v>
      </c>
      <c r="B287" s="812" t="s">
        <v>985</v>
      </c>
      <c r="C287" s="1055"/>
      <c r="D287" s="1055"/>
      <c r="E287" s="1055"/>
      <c r="F287" s="1043">
        <v>0.05</v>
      </c>
    </row>
    <row r="288" spans="1:6" ht="24.75" thickBot="1">
      <c r="A288" s="818" t="s">
        <v>530</v>
      </c>
      <c r="B288" s="812" t="s">
        <v>986</v>
      </c>
      <c r="C288" s="1055"/>
      <c r="D288" s="1055"/>
      <c r="E288" s="1055"/>
      <c r="F288" s="1043">
        <v>0.05</v>
      </c>
    </row>
    <row r="289" spans="1:6" ht="24.75" thickBot="1">
      <c r="A289" s="828" t="s">
        <v>530</v>
      </c>
      <c r="B289" s="824" t="s">
        <v>987</v>
      </c>
      <c r="C289" s="1052"/>
      <c r="D289" s="1052"/>
      <c r="E289" s="1052"/>
      <c r="F289" s="1045">
        <v>0.05</v>
      </c>
    </row>
    <row r="290" spans="1:6" ht="14.25" thickBot="1">
      <c r="A290" s="818" t="s">
        <v>534</v>
      </c>
      <c r="B290" s="819" t="s">
        <v>988</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989</v>
      </c>
      <c r="C292" s="1042">
        <v>0.15</v>
      </c>
      <c r="D292" s="1042">
        <v>0.15</v>
      </c>
      <c r="E292" s="1042">
        <v>0.15</v>
      </c>
      <c r="F292" s="1043">
        <v>0.14699999999999999</v>
      </c>
    </row>
    <row r="293" spans="1:6" ht="14.25" thickBot="1">
      <c r="A293" s="818" t="s">
        <v>534</v>
      </c>
      <c r="B293" s="812" t="s">
        <v>990</v>
      </c>
      <c r="C293" s="1055"/>
      <c r="D293" s="1055"/>
      <c r="E293" s="1055"/>
      <c r="F293" s="1043">
        <v>0.1</v>
      </c>
    </row>
    <row r="294" spans="1:6" ht="14.25" thickBot="1">
      <c r="A294" s="818" t="s">
        <v>534</v>
      </c>
      <c r="B294" s="812" t="s">
        <v>991</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992</v>
      </c>
      <c r="C296" s="1042">
        <v>0.15</v>
      </c>
      <c r="D296" s="1042">
        <v>0.15</v>
      </c>
      <c r="E296" s="1042">
        <v>0.15</v>
      </c>
      <c r="F296" s="1043">
        <v>0.15</v>
      </c>
    </row>
    <row r="297" spans="1:6" ht="14.25" thickBot="1">
      <c r="A297" s="818" t="s">
        <v>534</v>
      </c>
      <c r="B297" s="812" t="s">
        <v>993</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994</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995</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996</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997</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998</v>
      </c>
      <c r="C310" s="1042">
        <v>0.15</v>
      </c>
      <c r="D310" s="1042">
        <v>0.15</v>
      </c>
      <c r="E310" s="1042">
        <v>0.15</v>
      </c>
      <c r="F310" s="1043">
        <v>0.13700000000000001</v>
      </c>
    </row>
    <row r="311" spans="1:6" ht="14.25" thickBot="1">
      <c r="A311" s="818" t="s">
        <v>534</v>
      </c>
      <c r="B311" s="812" t="s">
        <v>999</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1000</v>
      </c>
      <c r="C313" s="1042">
        <v>0.15</v>
      </c>
      <c r="D313" s="1042">
        <v>0.15</v>
      </c>
      <c r="E313" s="1042">
        <v>0.15</v>
      </c>
      <c r="F313" s="1043">
        <v>0.15</v>
      </c>
    </row>
    <row r="314" spans="1:6" ht="24.75" thickBot="1">
      <c r="A314" s="818" t="s">
        <v>534</v>
      </c>
      <c r="B314" s="812" t="s">
        <v>1001</v>
      </c>
      <c r="C314" s="1055"/>
      <c r="D314" s="1055"/>
      <c r="E314" s="1055"/>
      <c r="F314" s="1043">
        <v>0.05</v>
      </c>
    </row>
    <row r="315" spans="1:6" ht="24.75" thickBot="1">
      <c r="A315" s="818" t="s">
        <v>534</v>
      </c>
      <c r="B315" s="812" t="s">
        <v>1002</v>
      </c>
      <c r="C315" s="1055"/>
      <c r="D315" s="1055"/>
      <c r="E315" s="1055"/>
      <c r="F315" s="1043">
        <v>0.05</v>
      </c>
    </row>
    <row r="316" spans="1:6" ht="24.75" thickBot="1">
      <c r="A316" s="828" t="s">
        <v>534</v>
      </c>
      <c r="B316" s="824" t="s">
        <v>1003</v>
      </c>
      <c r="C316" s="1052"/>
      <c r="D316" s="1052"/>
      <c r="E316" s="1052"/>
      <c r="F316" s="1045">
        <v>0.05</v>
      </c>
    </row>
    <row r="317" spans="1:6" ht="14.25" thickBot="1">
      <c r="A317" s="818" t="s">
        <v>1004</v>
      </c>
      <c r="B317" s="819" t="s">
        <v>1005</v>
      </c>
      <c r="C317" s="1040">
        <v>0.15</v>
      </c>
      <c r="D317" s="1040">
        <v>0.15</v>
      </c>
      <c r="E317" s="1040">
        <v>0.15</v>
      </c>
      <c r="F317" s="1041">
        <v>0.15</v>
      </c>
    </row>
    <row r="318" spans="1:6" ht="14.25" thickBot="1">
      <c r="A318" s="818" t="s">
        <v>1004</v>
      </c>
      <c r="B318" s="812" t="s">
        <v>1006</v>
      </c>
      <c r="C318" s="1042">
        <v>0.107</v>
      </c>
      <c r="D318" s="1042">
        <v>0.11</v>
      </c>
      <c r="E318" s="1042">
        <v>0.112</v>
      </c>
      <c r="F318" s="1054"/>
    </row>
    <row r="319" spans="1:6" ht="14.25" thickBot="1">
      <c r="A319" s="818" t="s">
        <v>1004</v>
      </c>
      <c r="B319" s="812" t="s">
        <v>1007</v>
      </c>
      <c r="C319" s="1042">
        <v>0.15</v>
      </c>
      <c r="D319" s="1042">
        <v>0.15</v>
      </c>
      <c r="E319" s="1042">
        <v>0.15</v>
      </c>
      <c r="F319" s="1043">
        <v>0.15</v>
      </c>
    </row>
    <row r="320" spans="1:6" ht="14.25" thickBot="1">
      <c r="A320" s="818" t="s">
        <v>1004</v>
      </c>
      <c r="B320" s="812" t="s">
        <v>223</v>
      </c>
      <c r="C320" s="1042">
        <v>0.15</v>
      </c>
      <c r="D320" s="1042">
        <v>0.15</v>
      </c>
      <c r="E320" s="1042">
        <v>0.15</v>
      </c>
      <c r="F320" s="1054"/>
    </row>
    <row r="321" spans="1:6" ht="14.25" thickBot="1">
      <c r="A321" s="818" t="s">
        <v>1004</v>
      </c>
      <c r="B321" s="812" t="s">
        <v>1008</v>
      </c>
      <c r="C321" s="1042">
        <v>0.15</v>
      </c>
      <c r="D321" s="1042">
        <v>0.15</v>
      </c>
      <c r="E321" s="1042">
        <v>0.15</v>
      </c>
      <c r="F321" s="1054"/>
    </row>
    <row r="322" spans="1:6" ht="14.25" thickBot="1">
      <c r="A322" s="818" t="s">
        <v>1004</v>
      </c>
      <c r="B322" s="812" t="s">
        <v>1009</v>
      </c>
      <c r="C322" s="1042">
        <v>0.15</v>
      </c>
      <c r="D322" s="1042">
        <v>0.15</v>
      </c>
      <c r="E322" s="1042">
        <v>0.15</v>
      </c>
      <c r="F322" s="1043">
        <v>0.15</v>
      </c>
    </row>
    <row r="323" spans="1:6" ht="14.25" thickBot="1">
      <c r="A323" s="818" t="s">
        <v>1004</v>
      </c>
      <c r="B323" s="812" t="s">
        <v>1010</v>
      </c>
      <c r="C323" s="1042">
        <v>0.15</v>
      </c>
      <c r="D323" s="1042">
        <v>0.15</v>
      </c>
      <c r="E323" s="1042">
        <v>0.15</v>
      </c>
      <c r="F323" s="1054"/>
    </row>
    <row r="324" spans="1:6" ht="14.25" thickBot="1">
      <c r="A324" s="818" t="s">
        <v>1004</v>
      </c>
      <c r="B324" s="812" t="s">
        <v>1011</v>
      </c>
      <c r="C324" s="1042">
        <v>0.15</v>
      </c>
      <c r="D324" s="1042">
        <v>0.15</v>
      </c>
      <c r="E324" s="1042">
        <v>0.15</v>
      </c>
      <c r="F324" s="1054"/>
    </row>
    <row r="325" spans="1:6" ht="14.25" thickBot="1">
      <c r="A325" s="818" t="s">
        <v>1004</v>
      </c>
      <c r="B325" s="812" t="s">
        <v>1012</v>
      </c>
      <c r="C325" s="1042">
        <v>0.15</v>
      </c>
      <c r="D325" s="1042">
        <v>0.15</v>
      </c>
      <c r="E325" s="1042">
        <v>0.15</v>
      </c>
      <c r="F325" s="1043">
        <v>0.14699999999999999</v>
      </c>
    </row>
    <row r="326" spans="1:6" ht="14.25" thickBot="1">
      <c r="A326" s="818" t="s">
        <v>1004</v>
      </c>
      <c r="B326" s="812" t="s">
        <v>290</v>
      </c>
      <c r="C326" s="1042">
        <v>0.15</v>
      </c>
      <c r="D326" s="1042">
        <v>0.15</v>
      </c>
      <c r="E326" s="1042">
        <v>0.15</v>
      </c>
      <c r="F326" s="1054"/>
    </row>
    <row r="327" spans="1:6" ht="14.25" thickBot="1">
      <c r="A327" s="818" t="s">
        <v>1004</v>
      </c>
      <c r="B327" s="812" t="s">
        <v>1013</v>
      </c>
      <c r="C327" s="1042">
        <v>0.15</v>
      </c>
      <c r="D327" s="1042">
        <v>0.15</v>
      </c>
      <c r="E327" s="1042">
        <v>0.15</v>
      </c>
      <c r="F327" s="1043">
        <v>0.15</v>
      </c>
    </row>
    <row r="328" spans="1:6" ht="14.25" thickBot="1">
      <c r="A328" s="818" t="s">
        <v>1004</v>
      </c>
      <c r="B328" s="812" t="s">
        <v>310</v>
      </c>
      <c r="C328" s="1042">
        <v>0.15</v>
      </c>
      <c r="D328" s="1042">
        <v>0.15</v>
      </c>
      <c r="E328" s="1042">
        <v>0.15</v>
      </c>
      <c r="F328" s="1043">
        <v>0.14099999999999999</v>
      </c>
    </row>
    <row r="329" spans="1:6" ht="14.25" thickBot="1">
      <c r="A329" s="818" t="s">
        <v>1004</v>
      </c>
      <c r="B329" s="812" t="s">
        <v>320</v>
      </c>
      <c r="C329" s="1042">
        <v>0.15</v>
      </c>
      <c r="D329" s="1042">
        <v>0.15</v>
      </c>
      <c r="E329" s="1042">
        <v>0.15</v>
      </c>
      <c r="F329" s="1043">
        <v>0.15</v>
      </c>
    </row>
    <row r="330" spans="1:6" ht="14.25" thickBot="1">
      <c r="A330" s="818" t="s">
        <v>1004</v>
      </c>
      <c r="B330" s="812" t="s">
        <v>331</v>
      </c>
      <c r="C330" s="1042">
        <v>0.15</v>
      </c>
      <c r="D330" s="1042">
        <v>0.15</v>
      </c>
      <c r="E330" s="1042">
        <v>0.15</v>
      </c>
      <c r="F330" s="1054"/>
    </row>
    <row r="331" spans="1:6" ht="14.25" thickBot="1">
      <c r="A331" s="818" t="s">
        <v>1004</v>
      </c>
      <c r="B331" s="812" t="s">
        <v>1014</v>
      </c>
      <c r="C331" s="1042">
        <v>0.15</v>
      </c>
      <c r="D331" s="1042">
        <v>0.15</v>
      </c>
      <c r="E331" s="1042">
        <v>0.15</v>
      </c>
      <c r="F331" s="1043">
        <v>0.15</v>
      </c>
    </row>
    <row r="332" spans="1:6" ht="14.25" thickBot="1">
      <c r="A332" s="818" t="s">
        <v>1004</v>
      </c>
      <c r="B332" s="812" t="s">
        <v>352</v>
      </c>
      <c r="C332" s="1042">
        <v>0.15</v>
      </c>
      <c r="D332" s="1042">
        <v>0.15</v>
      </c>
      <c r="E332" s="1042">
        <v>0.15</v>
      </c>
      <c r="F332" s="1043">
        <v>0.15</v>
      </c>
    </row>
    <row r="333" spans="1:6" ht="14.25" thickBot="1">
      <c r="A333" s="818" t="s">
        <v>1004</v>
      </c>
      <c r="B333" s="812" t="s">
        <v>1015</v>
      </c>
      <c r="C333" s="1042">
        <v>0.15</v>
      </c>
      <c r="D333" s="1042">
        <v>0.15</v>
      </c>
      <c r="E333" s="1042">
        <v>0.15</v>
      </c>
      <c r="F333" s="1043">
        <v>0.14099999999999999</v>
      </c>
    </row>
    <row r="334" spans="1:6" ht="14.25" thickBot="1">
      <c r="A334" s="818" t="s">
        <v>1004</v>
      </c>
      <c r="B334" s="812" t="s">
        <v>372</v>
      </c>
      <c r="C334" s="1042">
        <v>0.15</v>
      </c>
      <c r="D334" s="1042">
        <v>0.15</v>
      </c>
      <c r="E334" s="1042">
        <v>0.15</v>
      </c>
      <c r="F334" s="1043">
        <v>0.15</v>
      </c>
    </row>
    <row r="335" spans="1:6" ht="14.25" thickBot="1">
      <c r="A335" s="818" t="s">
        <v>1004</v>
      </c>
      <c r="B335" s="812" t="s">
        <v>382</v>
      </c>
      <c r="C335" s="1042">
        <v>0.15</v>
      </c>
      <c r="D335" s="1042">
        <v>0.15</v>
      </c>
      <c r="E335" s="1042">
        <v>0.15</v>
      </c>
      <c r="F335" s="1054"/>
    </row>
    <row r="336" spans="1:6" ht="14.25" thickBot="1">
      <c r="A336" s="818" t="s">
        <v>1004</v>
      </c>
      <c r="B336" s="812" t="s">
        <v>1016</v>
      </c>
      <c r="C336" s="1042">
        <v>0.15</v>
      </c>
      <c r="D336" s="1042">
        <v>0.15</v>
      </c>
      <c r="E336" s="1042">
        <v>0.15</v>
      </c>
      <c r="F336" s="1043">
        <v>0.11799999999999999</v>
      </c>
    </row>
    <row r="337" spans="1:6" ht="14.25" thickBot="1">
      <c r="A337" s="828" t="s">
        <v>1004</v>
      </c>
      <c r="B337" s="824" t="s">
        <v>400</v>
      </c>
      <c r="C337" s="1052"/>
      <c r="D337" s="1052"/>
      <c r="E337" s="1052"/>
      <c r="F337" s="1045">
        <v>0.14299999999999999</v>
      </c>
    </row>
    <row r="338" spans="1:6" ht="14.25" thickBot="1">
      <c r="A338" s="818" t="s">
        <v>1017</v>
      </c>
      <c r="B338" s="819" t="s">
        <v>1018</v>
      </c>
      <c r="C338" s="1040">
        <v>0.15</v>
      </c>
      <c r="D338" s="1040">
        <v>0.15</v>
      </c>
      <c r="E338" s="1040">
        <v>0.15</v>
      </c>
      <c r="F338" s="1057"/>
    </row>
    <row r="339" spans="1:6" ht="14.25" thickBot="1">
      <c r="A339" s="818" t="s">
        <v>1017</v>
      </c>
      <c r="B339" s="812" t="s">
        <v>1019</v>
      </c>
      <c r="C339" s="1042">
        <v>0.15</v>
      </c>
      <c r="D339" s="1042">
        <v>0.15</v>
      </c>
      <c r="E339" s="1042">
        <v>0.15</v>
      </c>
      <c r="F339" s="1054"/>
    </row>
    <row r="340" spans="1:6" ht="14.25" thickBot="1">
      <c r="A340" s="818" t="s">
        <v>1017</v>
      </c>
      <c r="B340" s="812" t="s">
        <v>1020</v>
      </c>
      <c r="C340" s="1042">
        <v>0.15</v>
      </c>
      <c r="D340" s="1042">
        <v>0.15</v>
      </c>
      <c r="E340" s="1042">
        <v>0.15</v>
      </c>
      <c r="F340" s="1054"/>
    </row>
    <row r="341" spans="1:6" ht="14.25" thickBot="1">
      <c r="A341" s="818" t="s">
        <v>1017</v>
      </c>
      <c r="B341" s="812" t="s">
        <v>1021</v>
      </c>
      <c r="C341" s="1042">
        <v>0.15</v>
      </c>
      <c r="D341" s="1042">
        <v>0.15</v>
      </c>
      <c r="E341" s="1042">
        <v>0.15</v>
      </c>
      <c r="F341" s="1043">
        <v>0.15</v>
      </c>
    </row>
    <row r="342" spans="1:6" ht="14.25" thickBot="1">
      <c r="A342" s="818" t="s">
        <v>1017</v>
      </c>
      <c r="B342" s="812" t="s">
        <v>1022</v>
      </c>
      <c r="C342" s="1042">
        <v>0.15</v>
      </c>
      <c r="D342" s="1042">
        <v>0.15</v>
      </c>
      <c r="E342" s="1042">
        <v>0.15</v>
      </c>
      <c r="F342" s="1043">
        <v>0.15</v>
      </c>
    </row>
    <row r="343" spans="1:6" ht="14.25" thickBot="1">
      <c r="A343" s="818" t="s">
        <v>1017</v>
      </c>
      <c r="B343" s="812" t="s">
        <v>1023</v>
      </c>
      <c r="C343" s="1042">
        <v>0.15</v>
      </c>
      <c r="D343" s="1042">
        <v>0.15</v>
      </c>
      <c r="E343" s="1042">
        <v>0.15</v>
      </c>
      <c r="F343" s="1043">
        <v>0.15</v>
      </c>
    </row>
    <row r="344" spans="1:6" ht="14.2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6" customWidth="1"/>
    <col min="2" max="2" width="13.25" style="1622" customWidth="1"/>
    <col min="3" max="3" width="15.625" style="1622" customWidth="1"/>
    <col min="4" max="4" width="9.375" style="1622" bestFit="1" customWidth="1"/>
    <col min="5" max="5" width="13.5" style="1622" customWidth="1"/>
    <col min="6" max="6" width="9" style="1622"/>
    <col min="7" max="7" width="9.375" style="1622" bestFit="1" customWidth="1"/>
    <col min="8" max="8" width="12.25" style="1622" customWidth="1"/>
    <col min="9" max="9" width="9" style="1622"/>
    <col min="10" max="10" width="9.375" style="1622" bestFit="1" customWidth="1"/>
    <col min="11" max="11" width="4" style="1616" customWidth="1"/>
    <col min="12" max="12" width="5.125" style="1622" customWidth="1"/>
    <col min="13" max="13" width="13.75" style="1622" customWidth="1"/>
    <col min="14" max="256" width="9" style="1622"/>
    <col min="257" max="257" width="4.875" style="1613" customWidth="1"/>
    <col min="258" max="258" width="13.25" style="1613" customWidth="1"/>
    <col min="259" max="259" width="15.625" style="1613" customWidth="1"/>
    <col min="260" max="260" width="9.375" style="1613" bestFit="1" customWidth="1"/>
    <col min="261" max="261" width="13.5" style="1613" customWidth="1"/>
    <col min="262" max="262" width="9" style="1613"/>
    <col min="263" max="263" width="9.375" style="1613" bestFit="1" customWidth="1"/>
    <col min="264" max="265" width="9" style="1613"/>
    <col min="266" max="266" width="9.375" style="1613" bestFit="1" customWidth="1"/>
    <col min="267" max="267" width="4" style="1613" customWidth="1"/>
    <col min="268" max="268" width="5.125" style="1613" customWidth="1"/>
    <col min="269" max="269" width="13.75" style="1613" customWidth="1"/>
    <col min="270" max="512" width="9" style="1613"/>
    <col min="513" max="513" width="4.875" style="1613" customWidth="1"/>
    <col min="514" max="514" width="13.25" style="1613" customWidth="1"/>
    <col min="515" max="515" width="15.625" style="1613" customWidth="1"/>
    <col min="516" max="516" width="9.375" style="1613" bestFit="1" customWidth="1"/>
    <col min="517" max="517" width="13.5" style="1613" customWidth="1"/>
    <col min="518" max="518" width="9" style="1613"/>
    <col min="519" max="519" width="9.375" style="1613" bestFit="1" customWidth="1"/>
    <col min="520" max="521" width="9" style="1613"/>
    <col min="522" max="522" width="9.375" style="1613" bestFit="1" customWidth="1"/>
    <col min="523" max="523" width="4" style="1613" customWidth="1"/>
    <col min="524" max="524" width="5.125" style="1613" customWidth="1"/>
    <col min="525" max="525" width="13.75" style="1613" customWidth="1"/>
    <col min="526" max="768" width="9" style="1613"/>
    <col min="769" max="769" width="4.875" style="1613" customWidth="1"/>
    <col min="770" max="770" width="13.25" style="1613" customWidth="1"/>
    <col min="771" max="771" width="15.625" style="1613" customWidth="1"/>
    <col min="772" max="772" width="9.375" style="1613" bestFit="1" customWidth="1"/>
    <col min="773" max="773" width="13.5" style="1613" customWidth="1"/>
    <col min="774" max="774" width="9" style="1613"/>
    <col min="775" max="775" width="9.375" style="1613" bestFit="1" customWidth="1"/>
    <col min="776" max="777" width="9" style="1613"/>
    <col min="778" max="778" width="9.375" style="1613" bestFit="1" customWidth="1"/>
    <col min="779" max="779" width="4" style="1613" customWidth="1"/>
    <col min="780" max="780" width="5.125" style="1613" customWidth="1"/>
    <col min="781" max="781" width="13.75" style="1613" customWidth="1"/>
    <col min="782" max="1024" width="9" style="1613"/>
    <col min="1025" max="1025" width="4.875" style="1613" customWidth="1"/>
    <col min="1026" max="1026" width="13.25" style="1613" customWidth="1"/>
    <col min="1027" max="1027" width="15.625" style="1613" customWidth="1"/>
    <col min="1028" max="1028" width="9.375" style="1613" bestFit="1" customWidth="1"/>
    <col min="1029" max="1029" width="13.5" style="1613" customWidth="1"/>
    <col min="1030" max="1030" width="9" style="1613"/>
    <col min="1031" max="1031" width="9.375" style="1613" bestFit="1" customWidth="1"/>
    <col min="1032" max="1033" width="9" style="1613"/>
    <col min="1034" max="1034" width="9.375" style="1613" bestFit="1" customWidth="1"/>
    <col min="1035" max="1035" width="4" style="1613" customWidth="1"/>
    <col min="1036" max="1036" width="5.125" style="1613" customWidth="1"/>
    <col min="1037" max="1037" width="13.75" style="1613" customWidth="1"/>
    <col min="1038" max="1280" width="9" style="1613"/>
    <col min="1281" max="1281" width="4.875" style="1613" customWidth="1"/>
    <col min="1282" max="1282" width="13.25" style="1613" customWidth="1"/>
    <col min="1283" max="1283" width="15.625" style="1613" customWidth="1"/>
    <col min="1284" max="1284" width="9.375" style="1613" bestFit="1" customWidth="1"/>
    <col min="1285" max="1285" width="13.5" style="1613" customWidth="1"/>
    <col min="1286" max="1286" width="9" style="1613"/>
    <col min="1287" max="1287" width="9.375" style="1613" bestFit="1" customWidth="1"/>
    <col min="1288" max="1289" width="9" style="1613"/>
    <col min="1290" max="1290" width="9.375" style="1613" bestFit="1" customWidth="1"/>
    <col min="1291" max="1291" width="4" style="1613" customWidth="1"/>
    <col min="1292" max="1292" width="5.125" style="1613" customWidth="1"/>
    <col min="1293" max="1293" width="13.75" style="1613" customWidth="1"/>
    <col min="1294" max="1536" width="9" style="1613"/>
    <col min="1537" max="1537" width="4.875" style="1613" customWidth="1"/>
    <col min="1538" max="1538" width="13.25" style="1613" customWidth="1"/>
    <col min="1539" max="1539" width="15.625" style="1613" customWidth="1"/>
    <col min="1540" max="1540" width="9.375" style="1613" bestFit="1" customWidth="1"/>
    <col min="1541" max="1541" width="13.5" style="1613" customWidth="1"/>
    <col min="1542" max="1542" width="9" style="1613"/>
    <col min="1543" max="1543" width="9.375" style="1613" bestFit="1" customWidth="1"/>
    <col min="1544" max="1545" width="9" style="1613"/>
    <col min="1546" max="1546" width="9.375" style="1613" bestFit="1" customWidth="1"/>
    <col min="1547" max="1547" width="4" style="1613" customWidth="1"/>
    <col min="1548" max="1548" width="5.125" style="1613" customWidth="1"/>
    <col min="1549" max="1549" width="13.75" style="1613" customWidth="1"/>
    <col min="1550" max="1792" width="9" style="1613"/>
    <col min="1793" max="1793" width="4.875" style="1613" customWidth="1"/>
    <col min="1794" max="1794" width="13.25" style="1613" customWidth="1"/>
    <col min="1795" max="1795" width="15.625" style="1613" customWidth="1"/>
    <col min="1796" max="1796" width="9.375" style="1613" bestFit="1" customWidth="1"/>
    <col min="1797" max="1797" width="13.5" style="1613" customWidth="1"/>
    <col min="1798" max="1798" width="9" style="1613"/>
    <col min="1799" max="1799" width="9.375" style="1613" bestFit="1" customWidth="1"/>
    <col min="1800" max="1801" width="9" style="1613"/>
    <col min="1802" max="1802" width="9.375" style="1613" bestFit="1" customWidth="1"/>
    <col min="1803" max="1803" width="4" style="1613" customWidth="1"/>
    <col min="1804" max="1804" width="5.125" style="1613" customWidth="1"/>
    <col min="1805" max="1805" width="13.75" style="1613" customWidth="1"/>
    <col min="1806" max="2048" width="9" style="1613"/>
    <col min="2049" max="2049" width="4.875" style="1613" customWidth="1"/>
    <col min="2050" max="2050" width="13.25" style="1613" customWidth="1"/>
    <col min="2051" max="2051" width="15.625" style="1613" customWidth="1"/>
    <col min="2052" max="2052" width="9.375" style="1613" bestFit="1" customWidth="1"/>
    <col min="2053" max="2053" width="13.5" style="1613" customWidth="1"/>
    <col min="2054" max="2054" width="9" style="1613"/>
    <col min="2055" max="2055" width="9.375" style="1613" bestFit="1" customWidth="1"/>
    <col min="2056" max="2057" width="9" style="1613"/>
    <col min="2058" max="2058" width="9.375" style="1613" bestFit="1" customWidth="1"/>
    <col min="2059" max="2059" width="4" style="1613" customWidth="1"/>
    <col min="2060" max="2060" width="5.125" style="1613" customWidth="1"/>
    <col min="2061" max="2061" width="13.75" style="1613" customWidth="1"/>
    <col min="2062" max="2304" width="9" style="1613"/>
    <col min="2305" max="2305" width="4.875" style="1613" customWidth="1"/>
    <col min="2306" max="2306" width="13.25" style="1613" customWidth="1"/>
    <col min="2307" max="2307" width="15.625" style="1613" customWidth="1"/>
    <col min="2308" max="2308" width="9.375" style="1613" bestFit="1" customWidth="1"/>
    <col min="2309" max="2309" width="13.5" style="1613" customWidth="1"/>
    <col min="2310" max="2310" width="9" style="1613"/>
    <col min="2311" max="2311" width="9.375" style="1613" bestFit="1" customWidth="1"/>
    <col min="2312" max="2313" width="9" style="1613"/>
    <col min="2314" max="2314" width="9.375" style="1613" bestFit="1" customWidth="1"/>
    <col min="2315" max="2315" width="4" style="1613" customWidth="1"/>
    <col min="2316" max="2316" width="5.125" style="1613" customWidth="1"/>
    <col min="2317" max="2317" width="13.75" style="1613" customWidth="1"/>
    <col min="2318" max="2560" width="9" style="1613"/>
    <col min="2561" max="2561" width="4.875" style="1613" customWidth="1"/>
    <col min="2562" max="2562" width="13.25" style="1613" customWidth="1"/>
    <col min="2563" max="2563" width="15.625" style="1613" customWidth="1"/>
    <col min="2564" max="2564" width="9.375" style="1613" bestFit="1" customWidth="1"/>
    <col min="2565" max="2565" width="13.5" style="1613" customWidth="1"/>
    <col min="2566" max="2566" width="9" style="1613"/>
    <col min="2567" max="2567" width="9.375" style="1613" bestFit="1" customWidth="1"/>
    <col min="2568" max="2569" width="9" style="1613"/>
    <col min="2570" max="2570" width="9.375" style="1613" bestFit="1" customWidth="1"/>
    <col min="2571" max="2571" width="4" style="1613" customWidth="1"/>
    <col min="2572" max="2572" width="5.125" style="1613" customWidth="1"/>
    <col min="2573" max="2573" width="13.75" style="1613" customWidth="1"/>
    <col min="2574" max="2816" width="9" style="1613"/>
    <col min="2817" max="2817" width="4.875" style="1613" customWidth="1"/>
    <col min="2818" max="2818" width="13.25" style="1613" customWidth="1"/>
    <col min="2819" max="2819" width="15.625" style="1613" customWidth="1"/>
    <col min="2820" max="2820" width="9.375" style="1613" bestFit="1" customWidth="1"/>
    <col min="2821" max="2821" width="13.5" style="1613" customWidth="1"/>
    <col min="2822" max="2822" width="9" style="1613"/>
    <col min="2823" max="2823" width="9.375" style="1613" bestFit="1" customWidth="1"/>
    <col min="2824" max="2825" width="9" style="1613"/>
    <col min="2826" max="2826" width="9.375" style="1613" bestFit="1" customWidth="1"/>
    <col min="2827" max="2827" width="4" style="1613" customWidth="1"/>
    <col min="2828" max="2828" width="5.125" style="1613" customWidth="1"/>
    <col min="2829" max="2829" width="13.75" style="1613" customWidth="1"/>
    <col min="2830" max="3072" width="9" style="1613"/>
    <col min="3073" max="3073" width="4.875" style="1613" customWidth="1"/>
    <col min="3074" max="3074" width="13.25" style="1613" customWidth="1"/>
    <col min="3075" max="3075" width="15.625" style="1613" customWidth="1"/>
    <col min="3076" max="3076" width="9.375" style="1613" bestFit="1" customWidth="1"/>
    <col min="3077" max="3077" width="13.5" style="1613" customWidth="1"/>
    <col min="3078" max="3078" width="9" style="1613"/>
    <col min="3079" max="3079" width="9.375" style="1613" bestFit="1" customWidth="1"/>
    <col min="3080" max="3081" width="9" style="1613"/>
    <col min="3082" max="3082" width="9.375" style="1613" bestFit="1" customWidth="1"/>
    <col min="3083" max="3083" width="4" style="1613" customWidth="1"/>
    <col min="3084" max="3084" width="5.125" style="1613" customWidth="1"/>
    <col min="3085" max="3085" width="13.75" style="1613" customWidth="1"/>
    <col min="3086" max="3328" width="9" style="1613"/>
    <col min="3329" max="3329" width="4.875" style="1613" customWidth="1"/>
    <col min="3330" max="3330" width="13.25" style="1613" customWidth="1"/>
    <col min="3331" max="3331" width="15.625" style="1613" customWidth="1"/>
    <col min="3332" max="3332" width="9.375" style="1613" bestFit="1" customWidth="1"/>
    <col min="3333" max="3333" width="13.5" style="1613" customWidth="1"/>
    <col min="3334" max="3334" width="9" style="1613"/>
    <col min="3335" max="3335" width="9.375" style="1613" bestFit="1" customWidth="1"/>
    <col min="3336" max="3337" width="9" style="1613"/>
    <col min="3338" max="3338" width="9.375" style="1613" bestFit="1" customWidth="1"/>
    <col min="3339" max="3339" width="4" style="1613" customWidth="1"/>
    <col min="3340" max="3340" width="5.125" style="1613" customWidth="1"/>
    <col min="3341" max="3341" width="13.75" style="1613" customWidth="1"/>
    <col min="3342" max="3584" width="9" style="1613"/>
    <col min="3585" max="3585" width="4.875" style="1613" customWidth="1"/>
    <col min="3586" max="3586" width="13.25" style="1613" customWidth="1"/>
    <col min="3587" max="3587" width="15.625" style="1613" customWidth="1"/>
    <col min="3588" max="3588" width="9.375" style="1613" bestFit="1" customWidth="1"/>
    <col min="3589" max="3589" width="13.5" style="1613" customWidth="1"/>
    <col min="3590" max="3590" width="9" style="1613"/>
    <col min="3591" max="3591" width="9.375" style="1613" bestFit="1" customWidth="1"/>
    <col min="3592" max="3593" width="9" style="1613"/>
    <col min="3594" max="3594" width="9.375" style="1613" bestFit="1" customWidth="1"/>
    <col min="3595" max="3595" width="4" style="1613" customWidth="1"/>
    <col min="3596" max="3596" width="5.125" style="1613" customWidth="1"/>
    <col min="3597" max="3597" width="13.75" style="1613" customWidth="1"/>
    <col min="3598" max="3840" width="9" style="1613"/>
    <col min="3841" max="3841" width="4.875" style="1613" customWidth="1"/>
    <col min="3842" max="3842" width="13.25" style="1613" customWidth="1"/>
    <col min="3843" max="3843" width="15.625" style="1613" customWidth="1"/>
    <col min="3844" max="3844" width="9.375" style="1613" bestFit="1" customWidth="1"/>
    <col min="3845" max="3845" width="13.5" style="1613" customWidth="1"/>
    <col min="3846" max="3846" width="9" style="1613"/>
    <col min="3847" max="3847" width="9.375" style="1613" bestFit="1" customWidth="1"/>
    <col min="3848" max="3849" width="9" style="1613"/>
    <col min="3850" max="3850" width="9.375" style="1613" bestFit="1" customWidth="1"/>
    <col min="3851" max="3851" width="4" style="1613" customWidth="1"/>
    <col min="3852" max="3852" width="5.125" style="1613" customWidth="1"/>
    <col min="3853" max="3853" width="13.75" style="1613" customWidth="1"/>
    <col min="3854" max="4096" width="9" style="1613"/>
    <col min="4097" max="4097" width="4.875" style="1613" customWidth="1"/>
    <col min="4098" max="4098" width="13.25" style="1613" customWidth="1"/>
    <col min="4099" max="4099" width="15.625" style="1613" customWidth="1"/>
    <col min="4100" max="4100" width="9.375" style="1613" bestFit="1" customWidth="1"/>
    <col min="4101" max="4101" width="13.5" style="1613" customWidth="1"/>
    <col min="4102" max="4102" width="9" style="1613"/>
    <col min="4103" max="4103" width="9.375" style="1613" bestFit="1" customWidth="1"/>
    <col min="4104" max="4105" width="9" style="1613"/>
    <col min="4106" max="4106" width="9.375" style="1613" bestFit="1" customWidth="1"/>
    <col min="4107" max="4107" width="4" style="1613" customWidth="1"/>
    <col min="4108" max="4108" width="5.125" style="1613" customWidth="1"/>
    <col min="4109" max="4109" width="13.75" style="1613" customWidth="1"/>
    <col min="4110" max="4352" width="9" style="1613"/>
    <col min="4353" max="4353" width="4.875" style="1613" customWidth="1"/>
    <col min="4354" max="4354" width="13.25" style="1613" customWidth="1"/>
    <col min="4355" max="4355" width="15.625" style="1613" customWidth="1"/>
    <col min="4356" max="4356" width="9.375" style="1613" bestFit="1" customWidth="1"/>
    <col min="4357" max="4357" width="13.5" style="1613" customWidth="1"/>
    <col min="4358" max="4358" width="9" style="1613"/>
    <col min="4359" max="4359" width="9.375" style="1613" bestFit="1" customWidth="1"/>
    <col min="4360" max="4361" width="9" style="1613"/>
    <col min="4362" max="4362" width="9.375" style="1613" bestFit="1" customWidth="1"/>
    <col min="4363" max="4363" width="4" style="1613" customWidth="1"/>
    <col min="4364" max="4364" width="5.125" style="1613" customWidth="1"/>
    <col min="4365" max="4365" width="13.75" style="1613" customWidth="1"/>
    <col min="4366" max="4608" width="9" style="1613"/>
    <col min="4609" max="4609" width="4.875" style="1613" customWidth="1"/>
    <col min="4610" max="4610" width="13.25" style="1613" customWidth="1"/>
    <col min="4611" max="4611" width="15.625" style="1613" customWidth="1"/>
    <col min="4612" max="4612" width="9.375" style="1613" bestFit="1" customWidth="1"/>
    <col min="4613" max="4613" width="13.5" style="1613" customWidth="1"/>
    <col min="4614" max="4614" width="9" style="1613"/>
    <col min="4615" max="4615" width="9.375" style="1613" bestFit="1" customWidth="1"/>
    <col min="4616" max="4617" width="9" style="1613"/>
    <col min="4618" max="4618" width="9.375" style="1613" bestFit="1" customWidth="1"/>
    <col min="4619" max="4619" width="4" style="1613" customWidth="1"/>
    <col min="4620" max="4620" width="5.125" style="1613" customWidth="1"/>
    <col min="4621" max="4621" width="13.75" style="1613" customWidth="1"/>
    <col min="4622" max="4864" width="9" style="1613"/>
    <col min="4865" max="4865" width="4.875" style="1613" customWidth="1"/>
    <col min="4866" max="4866" width="13.25" style="1613" customWidth="1"/>
    <col min="4867" max="4867" width="15.625" style="1613" customWidth="1"/>
    <col min="4868" max="4868" width="9.375" style="1613" bestFit="1" customWidth="1"/>
    <col min="4869" max="4869" width="13.5" style="1613" customWidth="1"/>
    <col min="4870" max="4870" width="9" style="1613"/>
    <col min="4871" max="4871" width="9.375" style="1613" bestFit="1" customWidth="1"/>
    <col min="4872" max="4873" width="9" style="1613"/>
    <col min="4874" max="4874" width="9.375" style="1613" bestFit="1" customWidth="1"/>
    <col min="4875" max="4875" width="4" style="1613" customWidth="1"/>
    <col min="4876" max="4876" width="5.125" style="1613" customWidth="1"/>
    <col min="4877" max="4877" width="13.75" style="1613" customWidth="1"/>
    <col min="4878" max="5120" width="9" style="1613"/>
    <col min="5121" max="5121" width="4.875" style="1613" customWidth="1"/>
    <col min="5122" max="5122" width="13.25" style="1613" customWidth="1"/>
    <col min="5123" max="5123" width="15.625" style="1613" customWidth="1"/>
    <col min="5124" max="5124" width="9.375" style="1613" bestFit="1" customWidth="1"/>
    <col min="5125" max="5125" width="13.5" style="1613" customWidth="1"/>
    <col min="5126" max="5126" width="9" style="1613"/>
    <col min="5127" max="5127" width="9.375" style="1613" bestFit="1" customWidth="1"/>
    <col min="5128" max="5129" width="9" style="1613"/>
    <col min="5130" max="5130" width="9.375" style="1613" bestFit="1" customWidth="1"/>
    <col min="5131" max="5131" width="4" style="1613" customWidth="1"/>
    <col min="5132" max="5132" width="5.125" style="1613" customWidth="1"/>
    <col min="5133" max="5133" width="13.75" style="1613" customWidth="1"/>
    <col min="5134" max="5376" width="9" style="1613"/>
    <col min="5377" max="5377" width="4.875" style="1613" customWidth="1"/>
    <col min="5378" max="5378" width="13.25" style="1613" customWidth="1"/>
    <col min="5379" max="5379" width="15.625" style="1613" customWidth="1"/>
    <col min="5380" max="5380" width="9.375" style="1613" bestFit="1" customWidth="1"/>
    <col min="5381" max="5381" width="13.5" style="1613" customWidth="1"/>
    <col min="5382" max="5382" width="9" style="1613"/>
    <col min="5383" max="5383" width="9.375" style="1613" bestFit="1" customWidth="1"/>
    <col min="5384" max="5385" width="9" style="1613"/>
    <col min="5386" max="5386" width="9.375" style="1613" bestFit="1" customWidth="1"/>
    <col min="5387" max="5387" width="4" style="1613" customWidth="1"/>
    <col min="5388" max="5388" width="5.125" style="1613" customWidth="1"/>
    <col min="5389" max="5389" width="13.75" style="1613" customWidth="1"/>
    <col min="5390" max="5632" width="9" style="1613"/>
    <col min="5633" max="5633" width="4.875" style="1613" customWidth="1"/>
    <col min="5634" max="5634" width="13.25" style="1613" customWidth="1"/>
    <col min="5635" max="5635" width="15.625" style="1613" customWidth="1"/>
    <col min="5636" max="5636" width="9.375" style="1613" bestFit="1" customWidth="1"/>
    <col min="5637" max="5637" width="13.5" style="1613" customWidth="1"/>
    <col min="5638" max="5638" width="9" style="1613"/>
    <col min="5639" max="5639" width="9.375" style="1613" bestFit="1" customWidth="1"/>
    <col min="5640" max="5641" width="9" style="1613"/>
    <col min="5642" max="5642" width="9.375" style="1613" bestFit="1" customWidth="1"/>
    <col min="5643" max="5643" width="4" style="1613" customWidth="1"/>
    <col min="5644" max="5644" width="5.125" style="1613" customWidth="1"/>
    <col min="5645" max="5645" width="13.75" style="1613" customWidth="1"/>
    <col min="5646" max="5888" width="9" style="1613"/>
    <col min="5889" max="5889" width="4.875" style="1613" customWidth="1"/>
    <col min="5890" max="5890" width="13.25" style="1613" customWidth="1"/>
    <col min="5891" max="5891" width="15.625" style="1613" customWidth="1"/>
    <col min="5892" max="5892" width="9.375" style="1613" bestFit="1" customWidth="1"/>
    <col min="5893" max="5893" width="13.5" style="1613" customWidth="1"/>
    <col min="5894" max="5894" width="9" style="1613"/>
    <col min="5895" max="5895" width="9.375" style="1613" bestFit="1" customWidth="1"/>
    <col min="5896" max="5897" width="9" style="1613"/>
    <col min="5898" max="5898" width="9.375" style="1613" bestFit="1" customWidth="1"/>
    <col min="5899" max="5899" width="4" style="1613" customWidth="1"/>
    <col min="5900" max="5900" width="5.125" style="1613" customWidth="1"/>
    <col min="5901" max="5901" width="13.75" style="1613" customWidth="1"/>
    <col min="5902" max="6144" width="9" style="1613"/>
    <col min="6145" max="6145" width="4.875" style="1613" customWidth="1"/>
    <col min="6146" max="6146" width="13.25" style="1613" customWidth="1"/>
    <col min="6147" max="6147" width="15.625" style="1613" customWidth="1"/>
    <col min="6148" max="6148" width="9.375" style="1613" bestFit="1" customWidth="1"/>
    <col min="6149" max="6149" width="13.5" style="1613" customWidth="1"/>
    <col min="6150" max="6150" width="9" style="1613"/>
    <col min="6151" max="6151" width="9.375" style="1613" bestFit="1" customWidth="1"/>
    <col min="6152" max="6153" width="9" style="1613"/>
    <col min="6154" max="6154" width="9.375" style="1613" bestFit="1" customWidth="1"/>
    <col min="6155" max="6155" width="4" style="1613" customWidth="1"/>
    <col min="6156" max="6156" width="5.125" style="1613" customWidth="1"/>
    <col min="6157" max="6157" width="13.75" style="1613" customWidth="1"/>
    <col min="6158" max="6400" width="9" style="1613"/>
    <col min="6401" max="6401" width="4.875" style="1613" customWidth="1"/>
    <col min="6402" max="6402" width="13.25" style="1613" customWidth="1"/>
    <col min="6403" max="6403" width="15.625" style="1613" customWidth="1"/>
    <col min="6404" max="6404" width="9.375" style="1613" bestFit="1" customWidth="1"/>
    <col min="6405" max="6405" width="13.5" style="1613" customWidth="1"/>
    <col min="6406" max="6406" width="9" style="1613"/>
    <col min="6407" max="6407" width="9.375" style="1613" bestFit="1" customWidth="1"/>
    <col min="6408" max="6409" width="9" style="1613"/>
    <col min="6410" max="6410" width="9.375" style="1613" bestFit="1" customWidth="1"/>
    <col min="6411" max="6411" width="4" style="1613" customWidth="1"/>
    <col min="6412" max="6412" width="5.125" style="1613" customWidth="1"/>
    <col min="6413" max="6413" width="13.75" style="1613" customWidth="1"/>
    <col min="6414" max="6656" width="9" style="1613"/>
    <col min="6657" max="6657" width="4.875" style="1613" customWidth="1"/>
    <col min="6658" max="6658" width="13.25" style="1613" customWidth="1"/>
    <col min="6659" max="6659" width="15.625" style="1613" customWidth="1"/>
    <col min="6660" max="6660" width="9.375" style="1613" bestFit="1" customWidth="1"/>
    <col min="6661" max="6661" width="13.5" style="1613" customWidth="1"/>
    <col min="6662" max="6662" width="9" style="1613"/>
    <col min="6663" max="6663" width="9.375" style="1613" bestFit="1" customWidth="1"/>
    <col min="6664" max="6665" width="9" style="1613"/>
    <col min="6666" max="6666" width="9.375" style="1613" bestFit="1" customWidth="1"/>
    <col min="6667" max="6667" width="4" style="1613" customWidth="1"/>
    <col min="6668" max="6668" width="5.125" style="1613" customWidth="1"/>
    <col min="6669" max="6669" width="13.75" style="1613" customWidth="1"/>
    <col min="6670" max="6912" width="9" style="1613"/>
    <col min="6913" max="6913" width="4.875" style="1613" customWidth="1"/>
    <col min="6914" max="6914" width="13.25" style="1613" customWidth="1"/>
    <col min="6915" max="6915" width="15.625" style="1613" customWidth="1"/>
    <col min="6916" max="6916" width="9.375" style="1613" bestFit="1" customWidth="1"/>
    <col min="6917" max="6917" width="13.5" style="1613" customWidth="1"/>
    <col min="6918" max="6918" width="9" style="1613"/>
    <col min="6919" max="6919" width="9.375" style="1613" bestFit="1" customWidth="1"/>
    <col min="6920" max="6921" width="9" style="1613"/>
    <col min="6922" max="6922" width="9.375" style="1613" bestFit="1" customWidth="1"/>
    <col min="6923" max="6923" width="4" style="1613" customWidth="1"/>
    <col min="6924" max="6924" width="5.125" style="1613" customWidth="1"/>
    <col min="6925" max="6925" width="13.75" style="1613" customWidth="1"/>
    <col min="6926" max="7168" width="9" style="1613"/>
    <col min="7169" max="7169" width="4.875" style="1613" customWidth="1"/>
    <col min="7170" max="7170" width="13.25" style="1613" customWidth="1"/>
    <col min="7171" max="7171" width="15.625" style="1613" customWidth="1"/>
    <col min="7172" max="7172" width="9.375" style="1613" bestFit="1" customWidth="1"/>
    <col min="7173" max="7173" width="13.5" style="1613" customWidth="1"/>
    <col min="7174" max="7174" width="9" style="1613"/>
    <col min="7175" max="7175" width="9.375" style="1613" bestFit="1" customWidth="1"/>
    <col min="7176" max="7177" width="9" style="1613"/>
    <col min="7178" max="7178" width="9.375" style="1613" bestFit="1" customWidth="1"/>
    <col min="7179" max="7179" width="4" style="1613" customWidth="1"/>
    <col min="7180" max="7180" width="5.125" style="1613" customWidth="1"/>
    <col min="7181" max="7181" width="13.75" style="1613" customWidth="1"/>
    <col min="7182" max="7424" width="9" style="1613"/>
    <col min="7425" max="7425" width="4.875" style="1613" customWidth="1"/>
    <col min="7426" max="7426" width="13.25" style="1613" customWidth="1"/>
    <col min="7427" max="7427" width="15.625" style="1613" customWidth="1"/>
    <col min="7428" max="7428" width="9.375" style="1613" bestFit="1" customWidth="1"/>
    <col min="7429" max="7429" width="13.5" style="1613" customWidth="1"/>
    <col min="7430" max="7430" width="9" style="1613"/>
    <col min="7431" max="7431" width="9.375" style="1613" bestFit="1" customWidth="1"/>
    <col min="7432" max="7433" width="9" style="1613"/>
    <col min="7434" max="7434" width="9.375" style="1613" bestFit="1" customWidth="1"/>
    <col min="7435" max="7435" width="4" style="1613" customWidth="1"/>
    <col min="7436" max="7436" width="5.125" style="1613" customWidth="1"/>
    <col min="7437" max="7437" width="13.75" style="1613" customWidth="1"/>
    <col min="7438" max="7680" width="9" style="1613"/>
    <col min="7681" max="7681" width="4.875" style="1613" customWidth="1"/>
    <col min="7682" max="7682" width="13.25" style="1613" customWidth="1"/>
    <col min="7683" max="7683" width="15.625" style="1613" customWidth="1"/>
    <col min="7684" max="7684" width="9.375" style="1613" bestFit="1" customWidth="1"/>
    <col min="7685" max="7685" width="13.5" style="1613" customWidth="1"/>
    <col min="7686" max="7686" width="9" style="1613"/>
    <col min="7687" max="7687" width="9.375" style="1613" bestFit="1" customWidth="1"/>
    <col min="7688" max="7689" width="9" style="1613"/>
    <col min="7690" max="7690" width="9.375" style="1613" bestFit="1" customWidth="1"/>
    <col min="7691" max="7691" width="4" style="1613" customWidth="1"/>
    <col min="7692" max="7692" width="5.125" style="1613" customWidth="1"/>
    <col min="7693" max="7693" width="13.75" style="1613" customWidth="1"/>
    <col min="7694" max="7936" width="9" style="1613"/>
    <col min="7937" max="7937" width="4.875" style="1613" customWidth="1"/>
    <col min="7938" max="7938" width="13.25" style="1613" customWidth="1"/>
    <col min="7939" max="7939" width="15.625" style="1613" customWidth="1"/>
    <col min="7940" max="7940" width="9.375" style="1613" bestFit="1" customWidth="1"/>
    <col min="7941" max="7941" width="13.5" style="1613" customWidth="1"/>
    <col min="7942" max="7942" width="9" style="1613"/>
    <col min="7943" max="7943" width="9.375" style="1613" bestFit="1" customWidth="1"/>
    <col min="7944" max="7945" width="9" style="1613"/>
    <col min="7946" max="7946" width="9.375" style="1613" bestFit="1" customWidth="1"/>
    <col min="7947" max="7947" width="4" style="1613" customWidth="1"/>
    <col min="7948" max="7948" width="5.125" style="1613" customWidth="1"/>
    <col min="7949" max="7949" width="13.75" style="1613" customWidth="1"/>
    <col min="7950" max="8192" width="9" style="1613"/>
    <col min="8193" max="8193" width="4.875" style="1613" customWidth="1"/>
    <col min="8194" max="8194" width="13.25" style="1613" customWidth="1"/>
    <col min="8195" max="8195" width="15.625" style="1613" customWidth="1"/>
    <col min="8196" max="8196" width="9.375" style="1613" bestFit="1" customWidth="1"/>
    <col min="8197" max="8197" width="13.5" style="1613" customWidth="1"/>
    <col min="8198" max="8198" width="9" style="1613"/>
    <col min="8199" max="8199" width="9.375" style="1613" bestFit="1" customWidth="1"/>
    <col min="8200" max="8201" width="9" style="1613"/>
    <col min="8202" max="8202" width="9.375" style="1613" bestFit="1" customWidth="1"/>
    <col min="8203" max="8203" width="4" style="1613" customWidth="1"/>
    <col min="8204" max="8204" width="5.125" style="1613" customWidth="1"/>
    <col min="8205" max="8205" width="13.75" style="1613" customWidth="1"/>
    <col min="8206" max="8448" width="9" style="1613"/>
    <col min="8449" max="8449" width="4.875" style="1613" customWidth="1"/>
    <col min="8450" max="8450" width="13.25" style="1613" customWidth="1"/>
    <col min="8451" max="8451" width="15.625" style="1613" customWidth="1"/>
    <col min="8452" max="8452" width="9.375" style="1613" bestFit="1" customWidth="1"/>
    <col min="8453" max="8453" width="13.5" style="1613" customWidth="1"/>
    <col min="8454" max="8454" width="9" style="1613"/>
    <col min="8455" max="8455" width="9.375" style="1613" bestFit="1" customWidth="1"/>
    <col min="8456" max="8457" width="9" style="1613"/>
    <col min="8458" max="8458" width="9.375" style="1613" bestFit="1" customWidth="1"/>
    <col min="8459" max="8459" width="4" style="1613" customWidth="1"/>
    <col min="8460" max="8460" width="5.125" style="1613" customWidth="1"/>
    <col min="8461" max="8461" width="13.75" style="1613" customWidth="1"/>
    <col min="8462" max="8704" width="9" style="1613"/>
    <col min="8705" max="8705" width="4.875" style="1613" customWidth="1"/>
    <col min="8706" max="8706" width="13.25" style="1613" customWidth="1"/>
    <col min="8707" max="8707" width="15.625" style="1613" customWidth="1"/>
    <col min="8708" max="8708" width="9.375" style="1613" bestFit="1" customWidth="1"/>
    <col min="8709" max="8709" width="13.5" style="1613" customWidth="1"/>
    <col min="8710" max="8710" width="9" style="1613"/>
    <col min="8711" max="8711" width="9.375" style="1613" bestFit="1" customWidth="1"/>
    <col min="8712" max="8713" width="9" style="1613"/>
    <col min="8714" max="8714" width="9.375" style="1613" bestFit="1" customWidth="1"/>
    <col min="8715" max="8715" width="4" style="1613" customWidth="1"/>
    <col min="8716" max="8716" width="5.125" style="1613" customWidth="1"/>
    <col min="8717" max="8717" width="13.75" style="1613" customWidth="1"/>
    <col min="8718" max="8960" width="9" style="1613"/>
    <col min="8961" max="8961" width="4.875" style="1613" customWidth="1"/>
    <col min="8962" max="8962" width="13.25" style="1613" customWidth="1"/>
    <col min="8963" max="8963" width="15.625" style="1613" customWidth="1"/>
    <col min="8964" max="8964" width="9.375" style="1613" bestFit="1" customWidth="1"/>
    <col min="8965" max="8965" width="13.5" style="1613" customWidth="1"/>
    <col min="8966" max="8966" width="9" style="1613"/>
    <col min="8967" max="8967" width="9.375" style="1613" bestFit="1" customWidth="1"/>
    <col min="8968" max="8969" width="9" style="1613"/>
    <col min="8970" max="8970" width="9.375" style="1613" bestFit="1" customWidth="1"/>
    <col min="8971" max="8971" width="4" style="1613" customWidth="1"/>
    <col min="8972" max="8972" width="5.125" style="1613" customWidth="1"/>
    <col min="8973" max="8973" width="13.75" style="1613" customWidth="1"/>
    <col min="8974" max="9216" width="9" style="1613"/>
    <col min="9217" max="9217" width="4.875" style="1613" customWidth="1"/>
    <col min="9218" max="9218" width="13.25" style="1613" customWidth="1"/>
    <col min="9219" max="9219" width="15.625" style="1613" customWidth="1"/>
    <col min="9220" max="9220" width="9.375" style="1613" bestFit="1" customWidth="1"/>
    <col min="9221" max="9221" width="13.5" style="1613" customWidth="1"/>
    <col min="9222" max="9222" width="9" style="1613"/>
    <col min="9223" max="9223" width="9.375" style="1613" bestFit="1" customWidth="1"/>
    <col min="9224" max="9225" width="9" style="1613"/>
    <col min="9226" max="9226" width="9.375" style="1613" bestFit="1" customWidth="1"/>
    <col min="9227" max="9227" width="4" style="1613" customWidth="1"/>
    <col min="9228" max="9228" width="5.125" style="1613" customWidth="1"/>
    <col min="9229" max="9229" width="13.75" style="1613" customWidth="1"/>
    <col min="9230" max="9472" width="9" style="1613"/>
    <col min="9473" max="9473" width="4.875" style="1613" customWidth="1"/>
    <col min="9474" max="9474" width="13.25" style="1613" customWidth="1"/>
    <col min="9475" max="9475" width="15.625" style="1613" customWidth="1"/>
    <col min="9476" max="9476" width="9.375" style="1613" bestFit="1" customWidth="1"/>
    <col min="9477" max="9477" width="13.5" style="1613" customWidth="1"/>
    <col min="9478" max="9478" width="9" style="1613"/>
    <col min="9479" max="9479" width="9.375" style="1613" bestFit="1" customWidth="1"/>
    <col min="9480" max="9481" width="9" style="1613"/>
    <col min="9482" max="9482" width="9.375" style="1613" bestFit="1" customWidth="1"/>
    <col min="9483" max="9483" width="4" style="1613" customWidth="1"/>
    <col min="9484" max="9484" width="5.125" style="1613" customWidth="1"/>
    <col min="9485" max="9485" width="13.75" style="1613" customWidth="1"/>
    <col min="9486" max="9728" width="9" style="1613"/>
    <col min="9729" max="9729" width="4.875" style="1613" customWidth="1"/>
    <col min="9730" max="9730" width="13.25" style="1613" customWidth="1"/>
    <col min="9731" max="9731" width="15.625" style="1613" customWidth="1"/>
    <col min="9732" max="9732" width="9.375" style="1613" bestFit="1" customWidth="1"/>
    <col min="9733" max="9733" width="13.5" style="1613" customWidth="1"/>
    <col min="9734" max="9734" width="9" style="1613"/>
    <col min="9735" max="9735" width="9.375" style="1613" bestFit="1" customWidth="1"/>
    <col min="9736" max="9737" width="9" style="1613"/>
    <col min="9738" max="9738" width="9.375" style="1613" bestFit="1" customWidth="1"/>
    <col min="9739" max="9739" width="4" style="1613" customWidth="1"/>
    <col min="9740" max="9740" width="5.125" style="1613" customWidth="1"/>
    <col min="9741" max="9741" width="13.75" style="1613" customWidth="1"/>
    <col min="9742" max="9984" width="9" style="1613"/>
    <col min="9985" max="9985" width="4.875" style="1613" customWidth="1"/>
    <col min="9986" max="9986" width="13.25" style="1613" customWidth="1"/>
    <col min="9987" max="9987" width="15.625" style="1613" customWidth="1"/>
    <col min="9988" max="9988" width="9.375" style="1613" bestFit="1" customWidth="1"/>
    <col min="9989" max="9989" width="13.5" style="1613" customWidth="1"/>
    <col min="9990" max="9990" width="9" style="1613"/>
    <col min="9991" max="9991" width="9.375" style="1613" bestFit="1" customWidth="1"/>
    <col min="9992" max="9993" width="9" style="1613"/>
    <col min="9994" max="9994" width="9.375" style="1613" bestFit="1" customWidth="1"/>
    <col min="9995" max="9995" width="4" style="1613" customWidth="1"/>
    <col min="9996" max="9996" width="5.125" style="1613" customWidth="1"/>
    <col min="9997" max="9997" width="13.75" style="1613" customWidth="1"/>
    <col min="9998" max="10240" width="9" style="1613"/>
    <col min="10241" max="10241" width="4.875" style="1613" customWidth="1"/>
    <col min="10242" max="10242" width="13.25" style="1613" customWidth="1"/>
    <col min="10243" max="10243" width="15.625" style="1613" customWidth="1"/>
    <col min="10244" max="10244" width="9.375" style="1613" bestFit="1" customWidth="1"/>
    <col min="10245" max="10245" width="13.5" style="1613" customWidth="1"/>
    <col min="10246" max="10246" width="9" style="1613"/>
    <col min="10247" max="10247" width="9.375" style="1613" bestFit="1" customWidth="1"/>
    <col min="10248" max="10249" width="9" style="1613"/>
    <col min="10250" max="10250" width="9.375" style="1613" bestFit="1" customWidth="1"/>
    <col min="10251" max="10251" width="4" style="1613" customWidth="1"/>
    <col min="10252" max="10252" width="5.125" style="1613" customWidth="1"/>
    <col min="10253" max="10253" width="13.75" style="1613" customWidth="1"/>
    <col min="10254" max="10496" width="9" style="1613"/>
    <col min="10497" max="10497" width="4.875" style="1613" customWidth="1"/>
    <col min="10498" max="10498" width="13.25" style="1613" customWidth="1"/>
    <col min="10499" max="10499" width="15.625" style="1613" customWidth="1"/>
    <col min="10500" max="10500" width="9.375" style="1613" bestFit="1" customWidth="1"/>
    <col min="10501" max="10501" width="13.5" style="1613" customWidth="1"/>
    <col min="10502" max="10502" width="9" style="1613"/>
    <col min="10503" max="10503" width="9.375" style="1613" bestFit="1" customWidth="1"/>
    <col min="10504" max="10505" width="9" style="1613"/>
    <col min="10506" max="10506" width="9.375" style="1613" bestFit="1" customWidth="1"/>
    <col min="10507" max="10507" width="4" style="1613" customWidth="1"/>
    <col min="10508" max="10508" width="5.125" style="1613" customWidth="1"/>
    <col min="10509" max="10509" width="13.75" style="1613" customWidth="1"/>
    <col min="10510" max="10752" width="9" style="1613"/>
    <col min="10753" max="10753" width="4.875" style="1613" customWidth="1"/>
    <col min="10754" max="10754" width="13.25" style="1613" customWidth="1"/>
    <col min="10755" max="10755" width="15.625" style="1613" customWidth="1"/>
    <col min="10756" max="10756" width="9.375" style="1613" bestFit="1" customWidth="1"/>
    <col min="10757" max="10757" width="13.5" style="1613" customWidth="1"/>
    <col min="10758" max="10758" width="9" style="1613"/>
    <col min="10759" max="10759" width="9.375" style="1613" bestFit="1" customWidth="1"/>
    <col min="10760" max="10761" width="9" style="1613"/>
    <col min="10762" max="10762" width="9.375" style="1613" bestFit="1" customWidth="1"/>
    <col min="10763" max="10763" width="4" style="1613" customWidth="1"/>
    <col min="10764" max="10764" width="5.125" style="1613" customWidth="1"/>
    <col min="10765" max="10765" width="13.75" style="1613" customWidth="1"/>
    <col min="10766" max="11008" width="9" style="1613"/>
    <col min="11009" max="11009" width="4.875" style="1613" customWidth="1"/>
    <col min="11010" max="11010" width="13.25" style="1613" customWidth="1"/>
    <col min="11011" max="11011" width="15.625" style="1613" customWidth="1"/>
    <col min="11012" max="11012" width="9.375" style="1613" bestFit="1" customWidth="1"/>
    <col min="11013" max="11013" width="13.5" style="1613" customWidth="1"/>
    <col min="11014" max="11014" width="9" style="1613"/>
    <col min="11015" max="11015" width="9.375" style="1613" bestFit="1" customWidth="1"/>
    <col min="11016" max="11017" width="9" style="1613"/>
    <col min="11018" max="11018" width="9.375" style="1613" bestFit="1" customWidth="1"/>
    <col min="11019" max="11019" width="4" style="1613" customWidth="1"/>
    <col min="11020" max="11020" width="5.125" style="1613" customWidth="1"/>
    <col min="11021" max="11021" width="13.75" style="1613" customWidth="1"/>
    <col min="11022" max="11264" width="9" style="1613"/>
    <col min="11265" max="11265" width="4.875" style="1613" customWidth="1"/>
    <col min="11266" max="11266" width="13.25" style="1613" customWidth="1"/>
    <col min="11267" max="11267" width="15.625" style="1613" customWidth="1"/>
    <col min="11268" max="11268" width="9.375" style="1613" bestFit="1" customWidth="1"/>
    <col min="11269" max="11269" width="13.5" style="1613" customWidth="1"/>
    <col min="11270" max="11270" width="9" style="1613"/>
    <col min="11271" max="11271" width="9.375" style="1613" bestFit="1" customWidth="1"/>
    <col min="11272" max="11273" width="9" style="1613"/>
    <col min="11274" max="11274" width="9.375" style="1613" bestFit="1" customWidth="1"/>
    <col min="11275" max="11275" width="4" style="1613" customWidth="1"/>
    <col min="11276" max="11276" width="5.125" style="1613" customWidth="1"/>
    <col min="11277" max="11277" width="13.75" style="1613" customWidth="1"/>
    <col min="11278" max="11520" width="9" style="1613"/>
    <col min="11521" max="11521" width="4.875" style="1613" customWidth="1"/>
    <col min="11522" max="11522" width="13.25" style="1613" customWidth="1"/>
    <col min="11523" max="11523" width="15.625" style="1613" customWidth="1"/>
    <col min="11524" max="11524" width="9.375" style="1613" bestFit="1" customWidth="1"/>
    <col min="11525" max="11525" width="13.5" style="1613" customWidth="1"/>
    <col min="11526" max="11526" width="9" style="1613"/>
    <col min="11527" max="11527" width="9.375" style="1613" bestFit="1" customWidth="1"/>
    <col min="11528" max="11529" width="9" style="1613"/>
    <col min="11530" max="11530" width="9.375" style="1613" bestFit="1" customWidth="1"/>
    <col min="11531" max="11531" width="4" style="1613" customWidth="1"/>
    <col min="11532" max="11532" width="5.125" style="1613" customWidth="1"/>
    <col min="11533" max="11533" width="13.75" style="1613" customWidth="1"/>
    <col min="11534" max="11776" width="9" style="1613"/>
    <col min="11777" max="11777" width="4.875" style="1613" customWidth="1"/>
    <col min="11778" max="11778" width="13.25" style="1613" customWidth="1"/>
    <col min="11779" max="11779" width="15.625" style="1613" customWidth="1"/>
    <col min="11780" max="11780" width="9.375" style="1613" bestFit="1" customWidth="1"/>
    <col min="11781" max="11781" width="13.5" style="1613" customWidth="1"/>
    <col min="11782" max="11782" width="9" style="1613"/>
    <col min="11783" max="11783" width="9.375" style="1613" bestFit="1" customWidth="1"/>
    <col min="11784" max="11785" width="9" style="1613"/>
    <col min="11786" max="11786" width="9.375" style="1613" bestFit="1" customWidth="1"/>
    <col min="11787" max="11787" width="4" style="1613" customWidth="1"/>
    <col min="11788" max="11788" width="5.125" style="1613" customWidth="1"/>
    <col min="11789" max="11789" width="13.75" style="1613" customWidth="1"/>
    <col min="11790" max="12032" width="9" style="1613"/>
    <col min="12033" max="12033" width="4.875" style="1613" customWidth="1"/>
    <col min="12034" max="12034" width="13.25" style="1613" customWidth="1"/>
    <col min="12035" max="12035" width="15.625" style="1613" customWidth="1"/>
    <col min="12036" max="12036" width="9.375" style="1613" bestFit="1" customWidth="1"/>
    <col min="12037" max="12037" width="13.5" style="1613" customWidth="1"/>
    <col min="12038" max="12038" width="9" style="1613"/>
    <col min="12039" max="12039" width="9.375" style="1613" bestFit="1" customWidth="1"/>
    <col min="12040" max="12041" width="9" style="1613"/>
    <col min="12042" max="12042" width="9.375" style="1613" bestFit="1" customWidth="1"/>
    <col min="12043" max="12043" width="4" style="1613" customWidth="1"/>
    <col min="12044" max="12044" width="5.125" style="1613" customWidth="1"/>
    <col min="12045" max="12045" width="13.75" style="1613" customWidth="1"/>
    <col min="12046" max="12288" width="9" style="1613"/>
    <col min="12289" max="12289" width="4.875" style="1613" customWidth="1"/>
    <col min="12290" max="12290" width="13.25" style="1613" customWidth="1"/>
    <col min="12291" max="12291" width="15.625" style="1613" customWidth="1"/>
    <col min="12292" max="12292" width="9.375" style="1613" bestFit="1" customWidth="1"/>
    <col min="12293" max="12293" width="13.5" style="1613" customWidth="1"/>
    <col min="12294" max="12294" width="9" style="1613"/>
    <col min="12295" max="12295" width="9.375" style="1613" bestFit="1" customWidth="1"/>
    <col min="12296" max="12297" width="9" style="1613"/>
    <col min="12298" max="12298" width="9.375" style="1613" bestFit="1" customWidth="1"/>
    <col min="12299" max="12299" width="4" style="1613" customWidth="1"/>
    <col min="12300" max="12300" width="5.125" style="1613" customWidth="1"/>
    <col min="12301" max="12301" width="13.75" style="1613" customWidth="1"/>
    <col min="12302" max="12544" width="9" style="1613"/>
    <col min="12545" max="12545" width="4.875" style="1613" customWidth="1"/>
    <col min="12546" max="12546" width="13.25" style="1613" customWidth="1"/>
    <col min="12547" max="12547" width="15.625" style="1613" customWidth="1"/>
    <col min="12548" max="12548" width="9.375" style="1613" bestFit="1" customWidth="1"/>
    <col min="12549" max="12549" width="13.5" style="1613" customWidth="1"/>
    <col min="12550" max="12550" width="9" style="1613"/>
    <col min="12551" max="12551" width="9.375" style="1613" bestFit="1" customWidth="1"/>
    <col min="12552" max="12553" width="9" style="1613"/>
    <col min="12554" max="12554" width="9.375" style="1613" bestFit="1" customWidth="1"/>
    <col min="12555" max="12555" width="4" style="1613" customWidth="1"/>
    <col min="12556" max="12556" width="5.125" style="1613" customWidth="1"/>
    <col min="12557" max="12557" width="13.75" style="1613" customWidth="1"/>
    <col min="12558" max="12800" width="9" style="1613"/>
    <col min="12801" max="12801" width="4.875" style="1613" customWidth="1"/>
    <col min="12802" max="12802" width="13.25" style="1613" customWidth="1"/>
    <col min="12803" max="12803" width="15.625" style="1613" customWidth="1"/>
    <col min="12804" max="12804" width="9.375" style="1613" bestFit="1" customWidth="1"/>
    <col min="12805" max="12805" width="13.5" style="1613" customWidth="1"/>
    <col min="12806" max="12806" width="9" style="1613"/>
    <col min="12807" max="12807" width="9.375" style="1613" bestFit="1" customWidth="1"/>
    <col min="12808" max="12809" width="9" style="1613"/>
    <col min="12810" max="12810" width="9.375" style="1613" bestFit="1" customWidth="1"/>
    <col min="12811" max="12811" width="4" style="1613" customWidth="1"/>
    <col min="12812" max="12812" width="5.125" style="1613" customWidth="1"/>
    <col min="12813" max="12813" width="13.75" style="1613" customWidth="1"/>
    <col min="12814" max="13056" width="9" style="1613"/>
    <col min="13057" max="13057" width="4.875" style="1613" customWidth="1"/>
    <col min="13058" max="13058" width="13.25" style="1613" customWidth="1"/>
    <col min="13059" max="13059" width="15.625" style="1613" customWidth="1"/>
    <col min="13060" max="13060" width="9.375" style="1613" bestFit="1" customWidth="1"/>
    <col min="13061" max="13061" width="13.5" style="1613" customWidth="1"/>
    <col min="13062" max="13062" width="9" style="1613"/>
    <col min="13063" max="13063" width="9.375" style="1613" bestFit="1" customWidth="1"/>
    <col min="13064" max="13065" width="9" style="1613"/>
    <col min="13066" max="13066" width="9.375" style="1613" bestFit="1" customWidth="1"/>
    <col min="13067" max="13067" width="4" style="1613" customWidth="1"/>
    <col min="13068" max="13068" width="5.125" style="1613" customWidth="1"/>
    <col min="13069" max="13069" width="13.75" style="1613" customWidth="1"/>
    <col min="13070" max="13312" width="9" style="1613"/>
    <col min="13313" max="13313" width="4.875" style="1613" customWidth="1"/>
    <col min="13314" max="13314" width="13.25" style="1613" customWidth="1"/>
    <col min="13315" max="13315" width="15.625" style="1613" customWidth="1"/>
    <col min="13316" max="13316" width="9.375" style="1613" bestFit="1" customWidth="1"/>
    <col min="13317" max="13317" width="13.5" style="1613" customWidth="1"/>
    <col min="13318" max="13318" width="9" style="1613"/>
    <col min="13319" max="13319" width="9.375" style="1613" bestFit="1" customWidth="1"/>
    <col min="13320" max="13321" width="9" style="1613"/>
    <col min="13322" max="13322" width="9.375" style="1613" bestFit="1" customWidth="1"/>
    <col min="13323" max="13323" width="4" style="1613" customWidth="1"/>
    <col min="13324" max="13324" width="5.125" style="1613" customWidth="1"/>
    <col min="13325" max="13325" width="13.75" style="1613" customWidth="1"/>
    <col min="13326" max="13568" width="9" style="1613"/>
    <col min="13569" max="13569" width="4.875" style="1613" customWidth="1"/>
    <col min="13570" max="13570" width="13.25" style="1613" customWidth="1"/>
    <col min="13571" max="13571" width="15.625" style="1613" customWidth="1"/>
    <col min="13572" max="13572" width="9.375" style="1613" bestFit="1" customWidth="1"/>
    <col min="13573" max="13573" width="13.5" style="1613" customWidth="1"/>
    <col min="13574" max="13574" width="9" style="1613"/>
    <col min="13575" max="13575" width="9.375" style="1613" bestFit="1" customWidth="1"/>
    <col min="13576" max="13577" width="9" style="1613"/>
    <col min="13578" max="13578" width="9.375" style="1613" bestFit="1" customWidth="1"/>
    <col min="13579" max="13579" width="4" style="1613" customWidth="1"/>
    <col min="13580" max="13580" width="5.125" style="1613" customWidth="1"/>
    <col min="13581" max="13581" width="13.75" style="1613" customWidth="1"/>
    <col min="13582" max="13824" width="9" style="1613"/>
    <col min="13825" max="13825" width="4.875" style="1613" customWidth="1"/>
    <col min="13826" max="13826" width="13.25" style="1613" customWidth="1"/>
    <col min="13827" max="13827" width="15.625" style="1613" customWidth="1"/>
    <col min="13828" max="13828" width="9.375" style="1613" bestFit="1" customWidth="1"/>
    <col min="13829" max="13829" width="13.5" style="1613" customWidth="1"/>
    <col min="13830" max="13830" width="9" style="1613"/>
    <col min="13831" max="13831" width="9.375" style="1613" bestFit="1" customWidth="1"/>
    <col min="13832" max="13833" width="9" style="1613"/>
    <col min="13834" max="13834" width="9.375" style="1613" bestFit="1" customWidth="1"/>
    <col min="13835" max="13835" width="4" style="1613" customWidth="1"/>
    <col min="13836" max="13836" width="5.125" style="1613" customWidth="1"/>
    <col min="13837" max="13837" width="13.75" style="1613" customWidth="1"/>
    <col min="13838" max="14080" width="9" style="1613"/>
    <col min="14081" max="14081" width="4.875" style="1613" customWidth="1"/>
    <col min="14082" max="14082" width="13.25" style="1613" customWidth="1"/>
    <col min="14083" max="14083" width="15.625" style="1613" customWidth="1"/>
    <col min="14084" max="14084" width="9.375" style="1613" bestFit="1" customWidth="1"/>
    <col min="14085" max="14085" width="13.5" style="1613" customWidth="1"/>
    <col min="14086" max="14086" width="9" style="1613"/>
    <col min="14087" max="14087" width="9.375" style="1613" bestFit="1" customWidth="1"/>
    <col min="14088" max="14089" width="9" style="1613"/>
    <col min="14090" max="14090" width="9.375" style="1613" bestFit="1" customWidth="1"/>
    <col min="14091" max="14091" width="4" style="1613" customWidth="1"/>
    <col min="14092" max="14092" width="5.125" style="1613" customWidth="1"/>
    <col min="14093" max="14093" width="13.75" style="1613" customWidth="1"/>
    <col min="14094" max="14336" width="9" style="1613"/>
    <col min="14337" max="14337" width="4.875" style="1613" customWidth="1"/>
    <col min="14338" max="14338" width="13.25" style="1613" customWidth="1"/>
    <col min="14339" max="14339" width="15.625" style="1613" customWidth="1"/>
    <col min="14340" max="14340" width="9.375" style="1613" bestFit="1" customWidth="1"/>
    <col min="14341" max="14341" width="13.5" style="1613" customWidth="1"/>
    <col min="14342" max="14342" width="9" style="1613"/>
    <col min="14343" max="14343" width="9.375" style="1613" bestFit="1" customWidth="1"/>
    <col min="14344" max="14345" width="9" style="1613"/>
    <col min="14346" max="14346" width="9.375" style="1613" bestFit="1" customWidth="1"/>
    <col min="14347" max="14347" width="4" style="1613" customWidth="1"/>
    <col min="14348" max="14348" width="5.125" style="1613" customWidth="1"/>
    <col min="14349" max="14349" width="13.75" style="1613" customWidth="1"/>
    <col min="14350" max="14592" width="9" style="1613"/>
    <col min="14593" max="14593" width="4.875" style="1613" customWidth="1"/>
    <col min="14594" max="14594" width="13.25" style="1613" customWidth="1"/>
    <col min="14595" max="14595" width="15.625" style="1613" customWidth="1"/>
    <col min="14596" max="14596" width="9.375" style="1613" bestFit="1" customWidth="1"/>
    <col min="14597" max="14597" width="13.5" style="1613" customWidth="1"/>
    <col min="14598" max="14598" width="9" style="1613"/>
    <col min="14599" max="14599" width="9.375" style="1613" bestFit="1" customWidth="1"/>
    <col min="14600" max="14601" width="9" style="1613"/>
    <col min="14602" max="14602" width="9.375" style="1613" bestFit="1" customWidth="1"/>
    <col min="14603" max="14603" width="4" style="1613" customWidth="1"/>
    <col min="14604" max="14604" width="5.125" style="1613" customWidth="1"/>
    <col min="14605" max="14605" width="13.75" style="1613" customWidth="1"/>
    <col min="14606" max="14848" width="9" style="1613"/>
    <col min="14849" max="14849" width="4.875" style="1613" customWidth="1"/>
    <col min="14850" max="14850" width="13.25" style="1613" customWidth="1"/>
    <col min="14851" max="14851" width="15.625" style="1613" customWidth="1"/>
    <col min="14852" max="14852" width="9.375" style="1613" bestFit="1" customWidth="1"/>
    <col min="14853" max="14853" width="13.5" style="1613" customWidth="1"/>
    <col min="14854" max="14854" width="9" style="1613"/>
    <col min="14855" max="14855" width="9.375" style="1613" bestFit="1" customWidth="1"/>
    <col min="14856" max="14857" width="9" style="1613"/>
    <col min="14858" max="14858" width="9.375" style="1613" bestFit="1" customWidth="1"/>
    <col min="14859" max="14859" width="4" style="1613" customWidth="1"/>
    <col min="14860" max="14860" width="5.125" style="1613" customWidth="1"/>
    <col min="14861" max="14861" width="13.75" style="1613" customWidth="1"/>
    <col min="14862" max="15104" width="9" style="1613"/>
    <col min="15105" max="15105" width="4.875" style="1613" customWidth="1"/>
    <col min="15106" max="15106" width="13.25" style="1613" customWidth="1"/>
    <col min="15107" max="15107" width="15.625" style="1613" customWidth="1"/>
    <col min="15108" max="15108" width="9.375" style="1613" bestFit="1" customWidth="1"/>
    <col min="15109" max="15109" width="13.5" style="1613" customWidth="1"/>
    <col min="15110" max="15110" width="9" style="1613"/>
    <col min="15111" max="15111" width="9.375" style="1613" bestFit="1" customWidth="1"/>
    <col min="15112" max="15113" width="9" style="1613"/>
    <col min="15114" max="15114" width="9.375" style="1613" bestFit="1" customWidth="1"/>
    <col min="15115" max="15115" width="4" style="1613" customWidth="1"/>
    <col min="15116" max="15116" width="5.125" style="1613" customWidth="1"/>
    <col min="15117" max="15117" width="13.75" style="1613" customWidth="1"/>
    <col min="15118" max="15360" width="9" style="1613"/>
    <col min="15361" max="15361" width="4.875" style="1613" customWidth="1"/>
    <col min="15362" max="15362" width="13.25" style="1613" customWidth="1"/>
    <col min="15363" max="15363" width="15.625" style="1613" customWidth="1"/>
    <col min="15364" max="15364" width="9.375" style="1613" bestFit="1" customWidth="1"/>
    <col min="15365" max="15365" width="13.5" style="1613" customWidth="1"/>
    <col min="15366" max="15366" width="9" style="1613"/>
    <col min="15367" max="15367" width="9.375" style="1613" bestFit="1" customWidth="1"/>
    <col min="15368" max="15369" width="9" style="1613"/>
    <col min="15370" max="15370" width="9.375" style="1613" bestFit="1" customWidth="1"/>
    <col min="15371" max="15371" width="4" style="1613" customWidth="1"/>
    <col min="15372" max="15372" width="5.125" style="1613" customWidth="1"/>
    <col min="15373" max="15373" width="13.75" style="1613" customWidth="1"/>
    <col min="15374" max="15616" width="9" style="1613"/>
    <col min="15617" max="15617" width="4.875" style="1613" customWidth="1"/>
    <col min="15618" max="15618" width="13.25" style="1613" customWidth="1"/>
    <col min="15619" max="15619" width="15.625" style="1613" customWidth="1"/>
    <col min="15620" max="15620" width="9.375" style="1613" bestFit="1" customWidth="1"/>
    <col min="15621" max="15621" width="13.5" style="1613" customWidth="1"/>
    <col min="15622" max="15622" width="9" style="1613"/>
    <col min="15623" max="15623" width="9.375" style="1613" bestFit="1" customWidth="1"/>
    <col min="15624" max="15625" width="9" style="1613"/>
    <col min="15626" max="15626" width="9.375" style="1613" bestFit="1" customWidth="1"/>
    <col min="15627" max="15627" width="4" style="1613" customWidth="1"/>
    <col min="15628" max="15628" width="5.125" style="1613" customWidth="1"/>
    <col min="15629" max="15629" width="13.75" style="1613" customWidth="1"/>
    <col min="15630" max="15872" width="9" style="1613"/>
    <col min="15873" max="15873" width="4.875" style="1613" customWidth="1"/>
    <col min="15874" max="15874" width="13.25" style="1613" customWidth="1"/>
    <col min="15875" max="15875" width="15.625" style="1613" customWidth="1"/>
    <col min="15876" max="15876" width="9.375" style="1613" bestFit="1" customWidth="1"/>
    <col min="15877" max="15877" width="13.5" style="1613" customWidth="1"/>
    <col min="15878" max="15878" width="9" style="1613"/>
    <col min="15879" max="15879" width="9.375" style="1613" bestFit="1" customWidth="1"/>
    <col min="15880" max="15881" width="9" style="1613"/>
    <col min="15882" max="15882" width="9.375" style="1613" bestFit="1" customWidth="1"/>
    <col min="15883" max="15883" width="4" style="1613" customWidth="1"/>
    <col min="15884" max="15884" width="5.125" style="1613" customWidth="1"/>
    <col min="15885" max="15885" width="13.75" style="1613" customWidth="1"/>
    <col min="15886" max="16128" width="9" style="1613"/>
    <col min="16129" max="16129" width="4.875" style="1613" customWidth="1"/>
    <col min="16130" max="16130" width="13.25" style="1613" customWidth="1"/>
    <col min="16131" max="16131" width="15.625" style="1613" customWidth="1"/>
    <col min="16132" max="16132" width="9.375" style="1613" bestFit="1" customWidth="1"/>
    <col min="16133" max="16133" width="13.5" style="1613" customWidth="1"/>
    <col min="16134" max="16134" width="9" style="1613"/>
    <col min="16135" max="16135" width="9.375" style="1613" bestFit="1" customWidth="1"/>
    <col min="16136" max="16137" width="9" style="1613"/>
    <col min="16138" max="16138" width="9.375" style="1613" bestFit="1" customWidth="1"/>
    <col min="16139" max="16139" width="4" style="1613" customWidth="1"/>
    <col min="16140" max="16140" width="5.125" style="1613" customWidth="1"/>
    <col min="16141" max="16141" width="13.75" style="1613" customWidth="1"/>
    <col min="16142" max="16384" width="9" style="1613"/>
  </cols>
  <sheetData>
    <row r="1" spans="1:257" s="1677" customFormat="1" ht="14.25" thickBot="1">
      <c r="A1" s="1671"/>
      <c r="B1" s="1678" t="s">
        <v>1295</v>
      </c>
      <c r="C1" s="1672">
        <f>项目基本情况!D3</f>
        <v>43976</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0" t="s">
        <v>1367</v>
      </c>
      <c r="E1" s="1754" t="s">
        <v>1371</v>
      </c>
      <c r="F1" s="1755" t="s">
        <v>1375</v>
      </c>
    </row>
    <row r="2" spans="1:13" ht="20.25">
      <c r="A2" s="1761" t="s">
        <v>1368</v>
      </c>
    </row>
    <row r="3" spans="1:13" ht="16.5">
      <c r="A3" s="1762" t="s">
        <v>1369</v>
      </c>
    </row>
    <row r="4" spans="1:13" ht="14.25">
      <c r="A4" s="1752" t="s">
        <v>1370</v>
      </c>
      <c r="B4" s="1757" t="s">
        <v>1372</v>
      </c>
      <c r="C4" s="1758"/>
      <c r="D4" s="1759"/>
      <c r="E4" s="1757" t="s">
        <v>27</v>
      </c>
      <c r="F4" s="1758"/>
      <c r="G4" s="1759"/>
      <c r="H4" s="1757" t="s">
        <v>1373</v>
      </c>
      <c r="I4" s="1758"/>
      <c r="J4" s="1759"/>
      <c r="K4" s="1757" t="s">
        <v>6</v>
      </c>
      <c r="L4" s="1758"/>
      <c r="M4" s="1759"/>
    </row>
    <row r="5" spans="1:13" ht="14.25">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ht="14.25">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2" customWidth="1"/>
    <col min="2" max="9" width="12.125" style="1922" customWidth="1"/>
    <col min="10" max="16384" width="9" style="1922"/>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1635</v>
      </c>
      <c r="B2" s="3080" t="s">
        <v>1636</v>
      </c>
      <c r="C2" s="3080" t="s">
        <v>1637</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74"/>
      <c r="B3" s="3074"/>
      <c r="C3" s="3074"/>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24811.999999999996</v>
      </c>
      <c r="C4" s="1022">
        <f>项目基本情况!C18</f>
        <v>11141.12</v>
      </c>
      <c r="D4" s="1022">
        <f ca="1">结果表!D118</f>
        <v>57397</v>
      </c>
      <c r="E4" s="1022">
        <f ca="1">结果表!E118</f>
        <v>23133</v>
      </c>
      <c r="F4" s="1022">
        <f ca="1">结果表!F118</f>
        <v>6307</v>
      </c>
      <c r="G4" s="1022">
        <f ca="1">结果表!G118</f>
        <v>2542</v>
      </c>
      <c r="H4" s="1022">
        <f ca="1">结果表!H118</f>
        <v>63704</v>
      </c>
      <c r="I4" s="1022">
        <f ca="1">结果表!I118</f>
        <v>25675</v>
      </c>
    </row>
    <row r="5" spans="1:9" ht="30" customHeight="1">
      <c r="A5" s="3074" t="s">
        <v>1634</v>
      </c>
      <c r="B5" s="3074"/>
      <c r="C5" s="3074"/>
      <c r="D5" s="3075" t="str">
        <f ca="1">结果表!D119</f>
        <v>伍亿柒仟叁佰玖拾柒万元整</v>
      </c>
      <c r="E5" s="3075"/>
      <c r="F5" s="3075" t="str">
        <f ca="1">结果表!F119</f>
        <v>陆仟叁佰零柒万元整</v>
      </c>
      <c r="G5" s="3075"/>
      <c r="H5" s="3075" t="str">
        <f ca="1">结果表!H119</f>
        <v>陆亿叁仟柒佰零肆万元整</v>
      </c>
      <c r="I5" s="3075"/>
    </row>
    <row r="6" spans="1:9" ht="15.75">
      <c r="A6" s="3073" t="str">
        <f>结果表!A120</f>
        <v>估价师知悉的法定优先受偿款</v>
      </c>
      <c r="B6" s="3073"/>
      <c r="C6" s="3073"/>
      <c r="D6" s="3073">
        <f>结果表!D120</f>
        <v>0</v>
      </c>
      <c r="E6" s="3073"/>
      <c r="F6" s="3073"/>
      <c r="G6" s="3073"/>
      <c r="H6" s="3073"/>
      <c r="I6" s="3073"/>
    </row>
    <row r="7" spans="1:9" ht="15">
      <c r="A7" s="3074" t="s">
        <v>1634</v>
      </c>
      <c r="B7" s="3074"/>
      <c r="C7" s="3074"/>
      <c r="D7" s="3076" t="str">
        <f>结果表!D121</f>
        <v>零元整</v>
      </c>
      <c r="E7" s="3077"/>
      <c r="F7" s="3077"/>
      <c r="G7" s="3077"/>
      <c r="H7" s="3077"/>
      <c r="I7" s="3078"/>
    </row>
    <row r="8" spans="1:9" ht="15.75">
      <c r="A8" s="3073" t="str">
        <f>结果表!A122</f>
        <v>房地产抵押价值</v>
      </c>
      <c r="B8" s="3073"/>
      <c r="C8" s="3073"/>
      <c r="D8" s="3073">
        <f ca="1">结果表!D122</f>
        <v>63704</v>
      </c>
      <c r="E8" s="3073"/>
      <c r="F8" s="3073"/>
      <c r="G8" s="3073"/>
      <c r="H8" s="3073"/>
      <c r="I8" s="3073"/>
    </row>
    <row r="9" spans="1:9" ht="15">
      <c r="A9" s="3074" t="s">
        <v>1634</v>
      </c>
      <c r="B9" s="3074"/>
      <c r="C9" s="3074"/>
      <c r="D9" s="3075" t="str">
        <f ca="1">结果表!D123</f>
        <v>陆亿叁仟柒佰零肆万元整</v>
      </c>
      <c r="E9" s="3075"/>
      <c r="F9" s="3075"/>
      <c r="G9" s="3075"/>
      <c r="H9" s="3075"/>
      <c r="I9" s="3075"/>
    </row>
    <row r="10" spans="1:9" ht="15.75">
      <c r="A10" s="3073" t="str">
        <f>结果表!A124</f>
        <v/>
      </c>
      <c r="B10" s="3073"/>
      <c r="C10" s="3073"/>
      <c r="D10" s="3073" t="str">
        <f>结果表!D124</f>
        <v>——</v>
      </c>
      <c r="E10" s="3073"/>
      <c r="F10" s="3073"/>
      <c r="G10" s="3073"/>
      <c r="H10" s="3073"/>
      <c r="I10" s="3073"/>
    </row>
    <row r="11" spans="1:9" ht="15">
      <c r="A11" s="3074" t="s">
        <v>1634</v>
      </c>
      <c r="B11" s="3074"/>
      <c r="C11" s="3074"/>
      <c r="D11" s="3075" t="e">
        <f>结果表!D125</f>
        <v>#VALUE!</v>
      </c>
      <c r="E11" s="3075"/>
      <c r="F11" s="3075"/>
      <c r="G11" s="3075"/>
      <c r="H11" s="3075"/>
      <c r="I11" s="3075"/>
    </row>
    <row r="12" spans="1:9" ht="15.75">
      <c r="A12" s="3073" t="str">
        <f>结果表!A126</f>
        <v/>
      </c>
      <c r="B12" s="3073"/>
      <c r="C12" s="3073"/>
      <c r="D12" s="3073" t="str">
        <f>结果表!D126</f>
        <v>——</v>
      </c>
      <c r="E12" s="3073"/>
      <c r="F12" s="3073"/>
      <c r="G12" s="3073"/>
      <c r="H12" s="3073"/>
      <c r="I12" s="3073"/>
    </row>
    <row r="13" spans="1:9" ht="15.75" thickBot="1">
      <c r="A13" s="3070" t="s">
        <v>1634</v>
      </c>
      <c r="B13" s="3070"/>
      <c r="C13" s="3070"/>
      <c r="D13" s="3071" t="e">
        <f>结果表!D127</f>
        <v>#VALUE!</v>
      </c>
      <c r="E13" s="3071"/>
      <c r="F13" s="3071"/>
      <c r="G13" s="3071"/>
      <c r="H13" s="3071"/>
      <c r="I13" s="3071"/>
    </row>
    <row r="14" spans="1:9" ht="15" thickTop="1">
      <c r="A14" s="3072" t="s">
        <v>1639</v>
      </c>
      <c r="B14" s="3072"/>
      <c r="C14" s="3072"/>
      <c r="D14" s="3072"/>
      <c r="E14" s="3072"/>
      <c r="F14" s="3072"/>
      <c r="G14" s="3072"/>
      <c r="H14" s="3072"/>
      <c r="I14" s="3072"/>
    </row>
    <row r="16" spans="1:9" ht="18.75">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2" customWidth="1"/>
    <col min="2" max="3" width="22.375" style="1922" customWidth="1"/>
    <col min="4" max="4" width="23" style="1922" customWidth="1"/>
    <col min="5" max="16384" width="9" style="1922"/>
  </cols>
  <sheetData>
    <row r="1" spans="1:4" ht="18.75">
      <c r="A1" s="3087" t="s">
        <v>1656</v>
      </c>
      <c r="B1" s="3087"/>
      <c r="C1" s="3087"/>
      <c r="D1" s="3087"/>
    </row>
    <row r="2" spans="1:4" ht="18">
      <c r="A2" s="3088" t="s">
        <v>1640</v>
      </c>
      <c r="B2" s="3088"/>
      <c r="C2" s="3088"/>
      <c r="D2" s="3088"/>
    </row>
    <row r="3" spans="1:4" ht="18.75">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8">
      <c r="A6" s="3088" t="s">
        <v>1646</v>
      </c>
      <c r="B6" s="3088"/>
      <c r="C6" s="3088"/>
      <c r="D6" s="3088"/>
    </row>
    <row r="7" spans="1:4" ht="18.75">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8.75">
      <c r="A10" s="1961" t="s">
        <v>1648</v>
      </c>
      <c r="B10" s="713"/>
      <c r="C10" s="713"/>
      <c r="D10" s="713"/>
    </row>
    <row r="11" spans="1:4" ht="30" customHeight="1">
      <c r="A11" s="3089" t="s">
        <v>1649</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1" t="str">
        <f>IF(项目基本情况!B8="抵押","4.本次评估估价师所知悉的法定优先受偿款情况说明如下：","——")</f>
        <v>4.本次评估估价师所知悉的法定优先受偿款情况说明如下：</v>
      </c>
      <c r="B14" s="3086"/>
      <c r="C14" s="3086"/>
      <c r="D14" s="3086"/>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3" t="s">
        <v>1650</v>
      </c>
      <c r="B16" s="3083"/>
      <c r="C16" s="3083"/>
      <c r="D16" s="3083"/>
    </row>
    <row r="17" spans="1:4" ht="144" customHeight="1">
      <c r="A17" s="3083" t="s">
        <v>1651</v>
      </c>
      <c r="B17" s="3083"/>
      <c r="C17" s="3083"/>
      <c r="D17" s="3083"/>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1"/>
      <c r="C20" s="3081"/>
      <c r="D20" s="3081"/>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1652</v>
      </c>
      <c r="B22" s="3085"/>
      <c r="C22" s="3085"/>
      <c r="D22" s="3085"/>
    </row>
    <row r="23" spans="1:4">
      <c r="A23" s="1962"/>
      <c r="B23" s="1934"/>
      <c r="C23" s="1934"/>
      <c r="D23" s="1934"/>
    </row>
    <row r="24" spans="1:4">
      <c r="A24" s="1962"/>
      <c r="B24" s="1934"/>
      <c r="C24" s="1934"/>
      <c r="D24" s="1934"/>
    </row>
    <row r="25" spans="1:4" ht="18.75">
      <c r="A25" s="1963" t="s">
        <v>1653</v>
      </c>
    </row>
    <row r="26" spans="1:4" ht="18">
      <c r="A26" s="1932"/>
    </row>
    <row r="27" spans="1:4" ht="18.75">
      <c r="A27" s="1932" t="s">
        <v>1654</v>
      </c>
    </row>
    <row r="30" spans="1:4" ht="18.75">
      <c r="D30" s="1963" t="s">
        <v>1655</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0" customWidth="1"/>
    <col min="3" max="10" width="12.5" style="1920" customWidth="1"/>
    <col min="11" max="16384" width="9" style="1920"/>
  </cols>
  <sheetData>
    <row r="1" spans="1:10" ht="18.75">
      <c r="A1" s="1953" t="s">
        <v>866</v>
      </c>
      <c r="B1" s="1964"/>
      <c r="C1" s="1964"/>
      <c r="D1" s="1964"/>
      <c r="E1" s="1964"/>
      <c r="F1" s="1964"/>
      <c r="G1" s="1964"/>
      <c r="H1" s="1964"/>
      <c r="I1" s="1964"/>
      <c r="J1" s="1964"/>
    </row>
    <row r="2" spans="1:10" ht="18.75">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0" customWidth="1"/>
    <col min="2" max="16384" width="14.5" style="1952"/>
  </cols>
  <sheetData>
    <row r="1" spans="1:7" s="1967" customFormat="1" ht="18.75">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3.5">
      <c r="A15" s="3095" t="s">
        <v>1663</v>
      </c>
      <c r="B15" s="3090" t="s">
        <v>136</v>
      </c>
      <c r="C15" s="3091"/>
    </row>
    <row r="16" spans="1:7" ht="13.5">
      <c r="A16" s="3096"/>
      <c r="B16" s="3090" t="s">
        <v>69</v>
      </c>
      <c r="C16" s="3091"/>
    </row>
    <row r="17" spans="1:3" ht="13.5">
      <c r="A17" s="3096"/>
      <c r="B17" s="3093" t="s">
        <v>1664</v>
      </c>
      <c r="C17" s="1977" t="s">
        <v>1663</v>
      </c>
    </row>
    <row r="18" spans="1:3" ht="13.5">
      <c r="A18" s="3096"/>
      <c r="B18" s="3093"/>
      <c r="C18" s="1977" t="s">
        <v>1665</v>
      </c>
    </row>
    <row r="19" spans="1:3" ht="13.5">
      <c r="A19" s="3096"/>
      <c r="B19" s="3093"/>
      <c r="C19" s="1977" t="s">
        <v>1666</v>
      </c>
    </row>
    <row r="20" spans="1:3" ht="13.5">
      <c r="A20" s="3097"/>
      <c r="B20" s="3092" t="s">
        <v>1667</v>
      </c>
      <c r="C20" s="3091"/>
    </row>
    <row r="21" spans="1:3" ht="13.5">
      <c r="A21" s="1978" t="s">
        <v>1668</v>
      </c>
      <c r="B21" s="1979"/>
      <c r="C21" s="1980"/>
    </row>
    <row r="22" spans="1:3" ht="13.5">
      <c r="A22" s="3094" t="s">
        <v>1669</v>
      </c>
      <c r="B22" s="3092" t="s">
        <v>1670</v>
      </c>
      <c r="C22" s="3091"/>
    </row>
    <row r="23" spans="1:3" ht="13.5">
      <c r="A23" s="3094"/>
      <c r="B23" s="3092" t="s">
        <v>1671</v>
      </c>
      <c r="C23" s="3091"/>
    </row>
    <row r="24" spans="1:3" ht="13.5">
      <c r="A24" s="3094"/>
      <c r="B24" s="3092" t="s">
        <v>1672</v>
      </c>
      <c r="C24" s="3091"/>
    </row>
    <row r="25" spans="1:3" ht="13.5">
      <c r="A25" s="3094"/>
      <c r="B25" s="3093" t="s">
        <v>1673</v>
      </c>
      <c r="C25" s="1977" t="s">
        <v>1674</v>
      </c>
    </row>
    <row r="26" spans="1:3" ht="13.5">
      <c r="A26" s="3094"/>
      <c r="B26" s="3093"/>
      <c r="C26" s="1977" t="s">
        <v>1675</v>
      </c>
    </row>
    <row r="27" spans="1:3" ht="13.5">
      <c r="A27" s="3094"/>
      <c r="B27" s="3093"/>
      <c r="C27" s="1977" t="s">
        <v>1676</v>
      </c>
    </row>
    <row r="28" spans="1:3" ht="13.5">
      <c r="A28" s="3094"/>
      <c r="B28" s="3093"/>
      <c r="C28" s="1977" t="s">
        <v>1677</v>
      </c>
    </row>
    <row r="29" spans="1:3" ht="13.5">
      <c r="A29" s="3094"/>
      <c r="B29" s="3093"/>
      <c r="C29" s="1977" t="s">
        <v>1678</v>
      </c>
    </row>
    <row r="30" spans="1:3" ht="13.5">
      <c r="A30" s="3094"/>
      <c r="B30" s="3093"/>
      <c r="C30" s="1977" t="s">
        <v>1679</v>
      </c>
    </row>
    <row r="31" spans="1:3" ht="13.5">
      <c r="A31" s="3094"/>
      <c r="B31" s="3093"/>
      <c r="C31" s="1977" t="s">
        <v>1680</v>
      </c>
    </row>
    <row r="32" spans="1:3" ht="13.5">
      <c r="A32" s="3094"/>
      <c r="B32" s="3093"/>
      <c r="C32" s="1977" t="s">
        <v>1681</v>
      </c>
    </row>
    <row r="33" spans="1:3" ht="13.5">
      <c r="A33" s="3094"/>
      <c r="B33" s="3093"/>
      <c r="C33" s="1977" t="s">
        <v>1682</v>
      </c>
    </row>
    <row r="34" spans="1:3">
      <c r="A34" s="1981" t="s">
        <v>76</v>
      </c>
    </row>
    <row r="37" spans="1:3">
      <c r="A37" s="1981" t="s">
        <v>1683</v>
      </c>
    </row>
    <row r="38" spans="1:3" ht="13.5">
      <c r="A38" s="1982" t="s">
        <v>77</v>
      </c>
    </row>
    <row r="39" spans="1:3" ht="13.5">
      <c r="A39" s="1982" t="s">
        <v>78</v>
      </c>
    </row>
    <row r="40" spans="1:3" ht="13.5">
      <c r="A40" s="1982" t="s">
        <v>79</v>
      </c>
    </row>
    <row r="41" spans="1:3" ht="13.5">
      <c r="A41" s="1983" t="s">
        <v>80</v>
      </c>
    </row>
    <row r="42" spans="1:3" ht="13.5">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3"/>
    <col min="3" max="3" width="32.25" style="993" customWidth="1"/>
    <col min="4" max="5" width="22.625" style="993"/>
    <col min="6" max="6" width="25.625" style="993" customWidth="1"/>
    <col min="7" max="16384" width="22.625" style="993"/>
  </cols>
  <sheetData>
    <row r="2" spans="1:6" ht="24" customHeight="1">
      <c r="A2" s="995" t="s">
        <v>825</v>
      </c>
      <c r="B2" s="996">
        <f ca="1">TODAY()</f>
        <v>43977</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098" t="s">
        <v>842</v>
      </c>
      <c r="B25" s="3098"/>
      <c r="C25" s="3098"/>
      <c r="D25" s="3098"/>
      <c r="E25" s="3098"/>
      <c r="F25" s="3098"/>
      <c r="G25" s="3098"/>
    </row>
    <row r="26" spans="1:7" s="1003" customFormat="1" ht="24" customHeight="1">
      <c r="A26" s="3099" t="s">
        <v>843</v>
      </c>
      <c r="B26" s="3099"/>
      <c r="C26" s="3100"/>
      <c r="D26" s="3101" t="s">
        <v>844</v>
      </c>
      <c r="E26" s="3099"/>
      <c r="F26" s="3099"/>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2020-05-26T05:16:53Z</dcterms:modified>
</cp:coreProperties>
</file>