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销售台账" sheetId="86"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sheetId="15" r:id="rId21"/>
    <sheet name="典型户型修正" sheetId="31" state="hidden" r:id="rId22"/>
    <sheet name="结果表(仓储)" sheetId="83" r:id="rId23"/>
    <sheet name="成本法" sheetId="68" r:id="rId24"/>
    <sheet name="成本法 (元)" sheetId="69" state="hidden" r:id="rId25"/>
    <sheet name="假设开发法" sheetId="12" state="hidden" r:id="rId26"/>
    <sheet name="收益法(仓储)" sheetId="80" r:id="rId27"/>
    <sheet name="收益法 (元)" sheetId="67" state="hidden" r:id="rId28"/>
    <sheet name="结果表(车库)" sheetId="84" r:id="rId29"/>
    <sheet name="成本法(车库)" sheetId="82" r:id="rId30"/>
    <sheet name="收益法(车库)" sheetId="81" r:id="rId31"/>
    <sheet name="收益法-酒店模型" sheetId="77" state="hidden" r:id="rId32"/>
    <sheet name="基准地价修正" sheetId="43" r:id="rId33"/>
    <sheet name="收益法（汇总）" sheetId="70"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约" sheetId="85" r:id="rId52"/>
  </sheets>
  <externalReferences>
    <externalReference r:id="rId53"/>
    <externalReference r:id="rId54"/>
    <externalReference r:id="rId55"/>
  </externalReferences>
  <definedNames>
    <definedName name="_xlnm._FilterDatabase" localSheetId="1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_FilterDatabase" localSheetId="13" hidden="1">销售台账!$A$1:$J$298</definedName>
    <definedName name="_xlnm.Print_Area" localSheetId="1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3">成本法!$A$1:$G$57</definedName>
    <definedName name="_xlnm.Print_Area" localSheetId="24">'成本法 (元)'!$A$1:$G$57</definedName>
    <definedName name="_xlnm.Print_Area" localSheetId="29">'成本法(车库)'!$A$1:$G$57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'结果表(仓储)'!$A$1:$I$127</definedName>
    <definedName name="_xlnm.Print_Area" localSheetId="28">'结果表(车库)'!$A$1:$I$127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6">'收益法(仓储)'!$A$1:$F$43,'收益法(仓储)'!$H$3:$M$29,'收益法(仓储)'!$A$46:$F$71,'收益法(仓储)'!$I$46:$N$65</definedName>
    <definedName name="_xlnm.Print_Area" localSheetId="30">'收益法(车库)'!$A$1:$F$43,'收益法(车库)'!$H$3:$M$29,'收益法(车库)'!$A$46:$F$71,'收益法(车库)'!$I$46:$N$65</definedName>
    <definedName name="_xlnm.Print_Area" localSheetId="33">'收益法（汇总）'!$A$1:$F$13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19" i="1" l="1"/>
  <c r="AH8" i="1" l="1"/>
  <c r="I20" i="3"/>
  <c r="O21" i="3"/>
  <c r="J20" i="3"/>
  <c r="P21" i="3"/>
  <c r="G21" i="6" s="1"/>
  <c r="J12" i="86"/>
  <c r="N6" i="1" l="1"/>
  <c r="B17" i="74"/>
  <c r="C17" i="74"/>
  <c r="V19" i="1" l="1"/>
  <c r="AT22" i="3" l="1"/>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6" i="84"/>
  <c r="M56" i="84"/>
  <c r="K56" i="84"/>
  <c r="J56" i="84"/>
  <c r="J57" i="84" s="1"/>
  <c r="J59" i="84" s="1"/>
  <c r="J61" i="84" s="1"/>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C24" i="84"/>
  <c r="D17" i="84"/>
  <c r="C17" i="84"/>
  <c r="C18" i="84" s="1"/>
  <c r="D18" i="84" s="1"/>
  <c r="L4" i="84"/>
  <c r="K4" i="84"/>
  <c r="A2" i="84"/>
  <c r="H1" i="84"/>
  <c r="A120" i="83"/>
  <c r="A118" i="83"/>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8" i="83"/>
  <c r="B118" i="83" s="1"/>
  <c r="B15" i="74" s="1"/>
  <c r="D17" i="83"/>
  <c r="C17" i="83"/>
  <c r="L4" i="83"/>
  <c r="K4" i="83"/>
  <c r="A2" i="83"/>
  <c r="H1" i="83"/>
  <c r="G41" i="82"/>
  <c r="F38" i="82"/>
  <c r="E37" i="82"/>
  <c r="F36" i="82"/>
  <c r="F35" i="82"/>
  <c r="F34" i="82"/>
  <c r="F30" i="82"/>
  <c r="F48" i="82" s="1"/>
  <c r="C30" i="82"/>
  <c r="G22" i="82"/>
  <c r="F21" i="82"/>
  <c r="F40" i="82" s="1"/>
  <c r="F20" i="82"/>
  <c r="F39" i="82" s="1"/>
  <c r="E19" i="82"/>
  <c r="C19" i="82"/>
  <c r="E10" i="82"/>
  <c r="E9" i="82"/>
  <c r="F7" i="82"/>
  <c r="G1" i="82"/>
  <c r="D33" i="43"/>
  <c r="E2" i="82"/>
  <c r="C36" i="82"/>
  <c r="C92" i="84" l="1"/>
  <c r="C94" i="84"/>
  <c r="K120" i="84"/>
  <c r="D121" i="84"/>
  <c r="H110" i="84"/>
  <c r="C18" i="83"/>
  <c r="D18" i="83" s="1"/>
  <c r="K120" i="83"/>
  <c r="D121" i="83"/>
  <c r="C74" i="83"/>
  <c r="C92" i="83"/>
  <c r="C94" i="83"/>
  <c r="H109" i="83"/>
  <c r="C21" i="82"/>
  <c r="C40" i="82"/>
  <c r="C48" i="82"/>
  <c r="F27" i="82"/>
  <c r="D9" i="82"/>
  <c r="D124" i="83" l="1"/>
  <c r="D125" i="83" s="1"/>
  <c r="H110" i="83"/>
  <c r="F45" i="82"/>
  <c r="C9" i="82"/>
  <c r="C47" i="82"/>
  <c r="D45" i="82" s="1"/>
  <c r="C29" i="82"/>
  <c r="D27" i="82" s="1"/>
  <c r="C37" i="34" l="1"/>
  <c r="I7" i="34"/>
  <c r="G7" i="34"/>
  <c r="E7" i="34"/>
  <c r="G44" i="43"/>
  <c r="D41" i="43"/>
  <c r="G62" i="43"/>
  <c r="G63" i="43"/>
  <c r="G64" i="43"/>
  <c r="G65" i="43"/>
  <c r="G66" i="43"/>
  <c r="G67" i="43"/>
  <c r="G68" i="43"/>
  <c r="G69" i="43"/>
  <c r="G61" i="43"/>
  <c r="AM8" i="1"/>
  <c r="AL8" i="1"/>
  <c r="Y8" i="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F21" i="80"/>
  <c r="M20" i="80"/>
  <c r="F20" i="80"/>
  <c r="M19" i="80"/>
  <c r="M18" i="80"/>
  <c r="F18" i="80"/>
  <c r="M17" i="80"/>
  <c r="F17" i="80"/>
  <c r="F15" i="80"/>
  <c r="G1" i="80"/>
  <c r="AM7" i="1"/>
  <c r="AL7" i="1"/>
  <c r="AK7" i="1"/>
  <c r="AK8" i="1" s="1"/>
  <c r="Y7" i="1"/>
  <c r="Y6" i="1"/>
  <c r="N8" i="1"/>
  <c r="N7" i="1"/>
  <c r="L7" i="1"/>
  <c r="F13" i="4"/>
  <c r="G13" i="4"/>
  <c r="B59" i="1"/>
  <c r="M9" i="80"/>
  <c r="M23" i="80"/>
  <c r="F6" i="81"/>
  <c r="F37" i="80"/>
  <c r="F16" i="80"/>
  <c r="M27" i="80"/>
  <c r="F6" i="80"/>
  <c r="F26" i="80"/>
  <c r="M9" i="81"/>
  <c r="D24" i="81" l="1"/>
  <c r="P61" i="81"/>
  <c r="D22" i="81"/>
  <c r="F65" i="80"/>
  <c r="C27" i="80"/>
  <c r="D23" i="80"/>
  <c r="D22" i="80"/>
  <c r="D24" i="80"/>
  <c r="P61" i="80"/>
  <c r="L47" i="81"/>
  <c r="F9" i="80"/>
  <c r="F26" i="81"/>
  <c r="J15" i="81"/>
  <c r="M6" i="80"/>
  <c r="M6" i="81"/>
  <c r="M27" i="81"/>
  <c r="F42" i="80"/>
  <c r="F16" i="81"/>
  <c r="C76" i="80"/>
  <c r="F37" i="81"/>
  <c r="F38" i="81"/>
  <c r="M26" i="80"/>
  <c r="F36" i="80"/>
  <c r="F7" i="81"/>
  <c r="M28" i="81"/>
  <c r="J15" i="80"/>
  <c r="F42" i="81"/>
  <c r="M28" i="80"/>
  <c r="M8" i="81"/>
  <c r="F40" i="80"/>
  <c r="F13" i="80"/>
  <c r="M24" i="81"/>
  <c r="F8" i="81"/>
  <c r="C76" i="81"/>
  <c r="M22" i="81"/>
  <c r="L48" i="80"/>
  <c r="F36" i="81"/>
  <c r="M22" i="80"/>
  <c r="F38" i="80"/>
  <c r="M26" i="81"/>
  <c r="M8" i="80"/>
  <c r="F13" i="81"/>
  <c r="F8" i="80"/>
  <c r="F9" i="81"/>
  <c r="L48" i="81"/>
  <c r="M24" i="80"/>
  <c r="M23" i="81"/>
  <c r="F40" i="81"/>
  <c r="L47" i="80"/>
  <c r="F64" i="81" l="1"/>
  <c r="F66" i="81"/>
  <c r="F51" i="81"/>
  <c r="C6" i="81"/>
  <c r="F68" i="81"/>
  <c r="L57" i="81"/>
  <c r="L56" i="81"/>
  <c r="J60" i="81"/>
  <c r="Q48" i="81" s="1"/>
  <c r="J53" i="81"/>
  <c r="J57" i="81"/>
  <c r="J55" i="81" s="1"/>
  <c r="J58" i="81" s="1"/>
  <c r="Q50" i="81" s="1"/>
  <c r="I54" i="81"/>
  <c r="L60" i="81"/>
  <c r="J59" i="81"/>
  <c r="C27" i="81"/>
  <c r="F65" i="81"/>
  <c r="F50" i="81"/>
  <c r="M7" i="81"/>
  <c r="J6" i="81" s="1"/>
  <c r="N59" i="81"/>
  <c r="L59" i="81"/>
  <c r="L58" i="81"/>
  <c r="M59" i="81"/>
  <c r="Q71" i="81"/>
  <c r="F66" i="80"/>
  <c r="N59" i="80"/>
  <c r="L59" i="80"/>
  <c r="L58" i="80"/>
  <c r="M59" i="80"/>
  <c r="Q71" i="80"/>
  <c r="F64" i="80"/>
  <c r="F51" i="80"/>
  <c r="F68" i="80"/>
  <c r="L57" i="80"/>
  <c r="L56" i="80"/>
  <c r="J60" i="80"/>
  <c r="Q48" i="80" s="1"/>
  <c r="I54" i="80"/>
  <c r="L60" i="80"/>
  <c r="J59" i="80"/>
  <c r="J57" i="80"/>
  <c r="J55" i="80" s="1"/>
  <c r="J58" i="80" s="1"/>
  <c r="Q50" i="80" s="1"/>
  <c r="J53" i="80"/>
  <c r="Q60" i="81" l="1"/>
  <c r="Q73" i="81"/>
  <c r="Q66" i="81"/>
  <c r="Q57" i="81"/>
  <c r="Q61" i="81"/>
  <c r="Q74" i="81"/>
  <c r="F1" i="81"/>
  <c r="Q52" i="81"/>
  <c r="L46" i="81"/>
  <c r="C33" i="81"/>
  <c r="C32" i="81"/>
  <c r="C49" i="81"/>
  <c r="J19" i="81"/>
  <c r="J18" i="81"/>
  <c r="L46" i="80"/>
  <c r="F1" i="80"/>
  <c r="Q52" i="80"/>
  <c r="Q66" i="80"/>
  <c r="Q57" i="80"/>
  <c r="Q61" i="80"/>
  <c r="Q74" i="80"/>
  <c r="Q60" i="80"/>
  <c r="Q73" i="80"/>
  <c r="C61" i="81" l="1"/>
  <c r="G20" i="6" l="1"/>
  <c r="F20" i="6"/>
  <c r="K21" i="3"/>
  <c r="K20" i="3"/>
  <c r="I14" i="3"/>
  <c r="I13" i="3"/>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s="1"/>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D1" i="43"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c r="H114" i="34"/>
  <c r="I114" i="34"/>
  <c r="J114" i="34"/>
  <c r="K114" i="34"/>
  <c r="L114" i="34"/>
  <c r="M114" i="34"/>
  <c r="H38" i="34"/>
  <c r="AB38" i="34"/>
  <c r="J36" i="34"/>
  <c r="W36" i="34" s="1"/>
  <c r="H25" i="34"/>
  <c r="AB25" i="34"/>
  <c r="J25" i="34"/>
  <c r="AC25" i="34"/>
  <c r="AB23" i="34"/>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BQ5" i="3"/>
  <c r="AC5" i="3"/>
  <c r="AZ549" i="3"/>
  <c r="AZ506" i="3"/>
  <c r="AZ496" i="3"/>
  <c r="G548" i="3"/>
  <c r="G538" i="3"/>
  <c r="G520" i="3"/>
  <c r="G502" i="3"/>
  <c r="BS5" i="3"/>
  <c r="AZ343"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U43" i="34"/>
  <c r="AC42" i="34"/>
  <c r="U39" i="34"/>
  <c r="AB41" i="34"/>
  <c r="AA45" i="34"/>
  <c r="AA25" i="34"/>
  <c r="U28" i="34"/>
  <c r="AA29" i="34"/>
  <c r="U27" i="34"/>
  <c r="S2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32" i="34"/>
  <c r="AC29" i="34"/>
  <c r="W29" i="34"/>
  <c r="W46" i="34"/>
  <c r="AC46" i="34"/>
  <c r="S32" i="34"/>
  <c r="AA32" i="34"/>
  <c r="U30" i="34"/>
  <c r="AB30" i="34"/>
  <c r="U38" i="34"/>
  <c r="W40" i="34"/>
  <c r="AA36" i="34"/>
  <c r="S36" i="34"/>
  <c r="S8" i="34"/>
  <c r="AB9" i="34"/>
  <c r="U9" i="34"/>
  <c r="S46" i="34"/>
  <c r="AA46" i="34"/>
  <c r="U32" i="34"/>
  <c r="AB32" i="34"/>
  <c r="U14" i="34"/>
  <c r="AC43"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B8" i="76"/>
  <c r="M28" i="67"/>
  <c r="F6" i="73"/>
  <c r="AO13" i="1"/>
  <c r="B13" i="76"/>
  <c r="B11" i="76"/>
  <c r="F9" i="15"/>
  <c r="M8" i="15"/>
  <c r="F42" i="67"/>
  <c r="F16" i="67"/>
  <c r="F6" i="15"/>
  <c r="C76" i="67"/>
  <c r="M22" i="15"/>
  <c r="F42" i="15"/>
  <c r="F38" i="67"/>
  <c r="F7" i="67"/>
  <c r="E13" i="76"/>
  <c r="F26" i="15"/>
  <c r="B9" i="76"/>
  <c r="M8" i="67"/>
  <c r="F13" i="67"/>
  <c r="F3" i="73"/>
  <c r="M24" i="15"/>
  <c r="M28" i="15"/>
  <c r="F36" i="15"/>
  <c r="C76" i="15"/>
  <c r="F40" i="15"/>
  <c r="F13" i="15"/>
  <c r="M26" i="67"/>
  <c r="M23" i="15"/>
  <c r="M6" i="15"/>
  <c r="F9" i="67"/>
  <c r="F37" i="67"/>
  <c r="M29" i="80"/>
  <c r="F43" i="67"/>
  <c r="E2" i="69"/>
  <c r="M6" i="67"/>
  <c r="D4" i="73"/>
  <c r="E9" i="76"/>
  <c r="M9" i="15"/>
  <c r="L47" i="67"/>
  <c r="F20" i="31"/>
  <c r="F8" i="15"/>
  <c r="E2" i="68"/>
  <c r="F36" i="67"/>
  <c r="B12" i="76"/>
  <c r="F6" i="67"/>
  <c r="B10" i="76"/>
  <c r="E8" i="76"/>
  <c r="E12" i="76"/>
  <c r="E7" i="76"/>
  <c r="F40" i="67"/>
  <c r="D7" i="73"/>
  <c r="F7" i="80"/>
  <c r="E11" i="76"/>
  <c r="F38" i="15"/>
  <c r="J15" i="67"/>
  <c r="J15" i="15"/>
  <c r="B7" i="76"/>
  <c r="F7" i="73"/>
  <c r="M26" i="15"/>
  <c r="F4" i="73"/>
  <c r="M9" i="67"/>
  <c r="M24" i="67"/>
  <c r="F26" i="67"/>
  <c r="F37" i="15"/>
  <c r="M22" i="67"/>
  <c r="L48" i="67"/>
  <c r="D6" i="73"/>
  <c r="D5" i="73"/>
  <c r="M29" i="67"/>
  <c r="F8" i="67"/>
  <c r="E10" i="76"/>
  <c r="L48" i="15"/>
  <c r="D3" i="73"/>
  <c r="F5" i="73"/>
  <c r="F43" i="80"/>
  <c r="F16" i="15"/>
  <c r="M23" i="67"/>
  <c r="F19" i="6" l="1"/>
  <c r="T20" i="1" s="1"/>
  <c r="G27" i="6"/>
  <c r="E21" i="6"/>
  <c r="H42" i="43"/>
  <c r="BA21" i="3"/>
  <c r="AZ21" i="3" s="1"/>
  <c r="E19" i="6"/>
  <c r="K6" i="1" s="1"/>
  <c r="M6" i="1" s="1"/>
  <c r="O6" i="1" s="1"/>
  <c r="BD5" i="3"/>
  <c r="BP5" i="3"/>
  <c r="F71" i="80"/>
  <c r="M7" i="80"/>
  <c r="J6" i="80" s="1"/>
  <c r="C6" i="80"/>
  <c r="F50" i="80"/>
  <c r="C49" i="80" s="1"/>
  <c r="C61" i="80" s="1"/>
  <c r="M7" i="1"/>
  <c r="BF5" i="3"/>
  <c r="BJ5" i="3"/>
  <c r="BN5" i="3"/>
  <c r="BR5" i="3"/>
  <c r="AB33" i="34"/>
  <c r="C18" i="9"/>
  <c r="D18" i="9" s="1"/>
  <c r="U44" i="34"/>
  <c r="S44" i="34"/>
  <c r="S43" i="34"/>
  <c r="AC39" i="34"/>
  <c r="H112" i="34"/>
  <c r="I112" i="34" s="1"/>
  <c r="J112" i="34" s="1"/>
  <c r="K112" i="34" s="1"/>
  <c r="L112" i="34" s="1"/>
  <c r="M112" i="34" s="1"/>
  <c r="F37" i="34"/>
  <c r="AA37" i="34" s="1"/>
  <c r="H37" i="34"/>
  <c r="U37" i="34" s="1"/>
  <c r="J37" i="34"/>
  <c r="AC37" i="34" s="1"/>
  <c r="S37" i="34"/>
  <c r="AC36" i="34"/>
  <c r="AB35" i="34"/>
  <c r="AA33" i="34"/>
  <c r="W33" i="34"/>
  <c r="W41" i="34"/>
  <c r="AA41" i="34"/>
  <c r="AA40" i="34"/>
  <c r="AA39" i="34"/>
  <c r="S35" i="34"/>
  <c r="U21" i="34"/>
  <c r="S21" i="34"/>
  <c r="F82" i="34"/>
  <c r="G82" i="34" s="1"/>
  <c r="J19" i="34"/>
  <c r="H19" i="34"/>
  <c r="AB19" i="34" s="1"/>
  <c r="F19" i="34"/>
  <c r="U19" i="34"/>
  <c r="F80" i="34"/>
  <c r="G80" i="34" s="1"/>
  <c r="F17" i="34"/>
  <c r="H17" i="34"/>
  <c r="U17" i="34" s="1"/>
  <c r="J17" i="34"/>
  <c r="W17" i="34" s="1"/>
  <c r="AB17" i="34"/>
  <c r="AC17" i="34"/>
  <c r="F78" i="34"/>
  <c r="G78" i="34" s="1"/>
  <c r="F15" i="34"/>
  <c r="H15" i="34"/>
  <c r="J15" i="34"/>
  <c r="W12" i="34"/>
  <c r="AC12" i="34"/>
  <c r="AC14" i="34"/>
  <c r="S13" i="34"/>
  <c r="F12" i="34"/>
  <c r="O7" i="1"/>
  <c r="P7" i="1" s="1"/>
  <c r="H50" i="43"/>
  <c r="B41" i="1"/>
  <c r="C21" i="68"/>
  <c r="C40" i="69"/>
  <c r="G29" i="6"/>
  <c r="F29" i="6"/>
  <c r="F30" i="6" s="1"/>
  <c r="BL5" i="3"/>
  <c r="AZ15" i="3"/>
  <c r="G28" i="6"/>
  <c r="E28" i="6" s="1"/>
  <c r="K14" i="1" s="1"/>
  <c r="G5" i="3"/>
  <c r="B3" i="3" s="1"/>
  <c r="E227" i="3" s="1"/>
  <c r="BA5" i="3"/>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K6" i="3"/>
  <c r="E14" i="6"/>
  <c r="E63" i="39" s="1"/>
  <c r="I4" i="6"/>
  <c r="G3" i="43" s="1"/>
  <c r="F26" i="43" s="1"/>
  <c r="G30"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88" i="9" s="1"/>
  <c r="C89" i="9" s="1"/>
  <c r="C87" i="9" s="1"/>
  <c r="E12" i="6"/>
  <c r="E57" i="40" s="1"/>
  <c r="N6" i="3"/>
  <c r="E396" i="3"/>
  <c r="E533" i="3"/>
  <c r="E561" i="3"/>
  <c r="E439" i="3"/>
  <c r="E231" i="3"/>
  <c r="E185" i="3"/>
  <c r="E528" i="3"/>
  <c r="E361" i="3"/>
  <c r="E180" i="3"/>
  <c r="E134" i="3"/>
  <c r="E350" i="3"/>
  <c r="E495" i="3"/>
  <c r="E399" i="3"/>
  <c r="E15" i="6"/>
  <c r="E64" i="39" s="1"/>
  <c r="E11" i="6"/>
  <c r="E60" i="39" s="1"/>
  <c r="E10" i="6"/>
  <c r="E13" i="6"/>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M29" i="15"/>
  <c r="C16" i="15"/>
  <c r="F7" i="15"/>
  <c r="F43" i="15"/>
  <c r="D9" i="68"/>
  <c r="C36" i="68"/>
  <c r="C16" i="67"/>
  <c r="G1" i="73"/>
  <c r="C16" i="80"/>
  <c r="T21" i="1" l="1"/>
  <c r="V20" i="1"/>
  <c r="V21" i="1" s="1"/>
  <c r="E347" i="3"/>
  <c r="E124" i="3"/>
  <c r="E586" i="3"/>
  <c r="E301" i="3"/>
  <c r="E91" i="3"/>
  <c r="E503" i="3"/>
  <c r="E183" i="3"/>
  <c r="E261" i="3"/>
  <c r="E216" i="3"/>
  <c r="E380" i="3"/>
  <c r="E538" i="3"/>
  <c r="AR6" i="3"/>
  <c r="E151" i="3"/>
  <c r="E516" i="3"/>
  <c r="E553" i="3"/>
  <c r="G31" i="6"/>
  <c r="M18" i="84"/>
  <c r="B118" i="84" s="1"/>
  <c r="B16" i="74" s="1"/>
  <c r="K8" i="1"/>
  <c r="M7" i="15"/>
  <c r="J6" i="15" s="1"/>
  <c r="J18" i="15" s="1"/>
  <c r="C6" i="15"/>
  <c r="F50" i="15"/>
  <c r="C49" i="15" s="1"/>
  <c r="F71" i="15"/>
  <c r="E182" i="3"/>
  <c r="AP6" i="1"/>
  <c r="C36" i="69" s="1"/>
  <c r="AA6" i="3"/>
  <c r="E280" i="3"/>
  <c r="E353" i="3"/>
  <c r="AN6" i="3"/>
  <c r="E402" i="3"/>
  <c r="E303" i="3"/>
  <c r="E159" i="3"/>
  <c r="E254" i="3"/>
  <c r="E221" i="3"/>
  <c r="E302" i="3"/>
  <c r="E17" i="3"/>
  <c r="E213" i="3"/>
  <c r="E565" i="3"/>
  <c r="E304" i="3"/>
  <c r="E237" i="3"/>
  <c r="E169" i="3"/>
  <c r="E298" i="3"/>
  <c r="E321" i="3"/>
  <c r="E338" i="3"/>
  <c r="E418" i="3"/>
  <c r="E506" i="3"/>
  <c r="E523" i="3"/>
  <c r="S6" i="3"/>
  <c r="E390" i="3"/>
  <c r="E229" i="3"/>
  <c r="E569" i="3"/>
  <c r="E239" i="3"/>
  <c r="E282" i="3"/>
  <c r="E366" i="3"/>
  <c r="J18" i="80"/>
  <c r="J19" i="80"/>
  <c r="E29" i="6"/>
  <c r="K15" i="1" s="1"/>
  <c r="C33" i="80"/>
  <c r="C32" i="80"/>
  <c r="S19" i="34"/>
  <c r="AA19" i="34"/>
  <c r="AC19" i="34"/>
  <c r="W19" i="34"/>
  <c r="AA17" i="34"/>
  <c r="S17" i="34"/>
  <c r="AC15" i="34"/>
  <c r="W15" i="34"/>
  <c r="AA15" i="34"/>
  <c r="S15" i="34"/>
  <c r="AB15" i="34"/>
  <c r="U15" i="34"/>
  <c r="S12" i="34"/>
  <c r="AA12" i="34"/>
  <c r="E265" i="3"/>
  <c r="AT6" i="3"/>
  <c r="F11" i="81"/>
  <c r="M11" i="81"/>
  <c r="J10" i="81" s="1"/>
  <c r="J5" i="81" s="1"/>
  <c r="F11" i="80"/>
  <c r="M11" i="80"/>
  <c r="J10" i="80" s="1"/>
  <c r="J5" i="80" s="1"/>
  <c r="F48" i="9"/>
  <c r="O52" i="9" s="1"/>
  <c r="F30" i="68"/>
  <c r="F28" i="67"/>
  <c r="C28" i="67" s="1"/>
  <c r="F52" i="9"/>
  <c r="F32" i="67"/>
  <c r="F60" i="67" s="1"/>
  <c r="F32" i="15"/>
  <c r="F60" i="15" s="1"/>
  <c r="F28" i="15"/>
  <c r="C28" i="15" s="1"/>
  <c r="F54" i="9"/>
  <c r="F30" i="11"/>
  <c r="F31" i="12"/>
  <c r="C31" i="12" s="1"/>
  <c r="M18" i="67"/>
  <c r="J18" i="67" s="1"/>
  <c r="F30" i="69"/>
  <c r="M18" i="15"/>
  <c r="D68" i="9"/>
  <c r="N94" i="46"/>
  <c r="J26" i="43"/>
  <c r="E26" i="43"/>
  <c r="H26" i="43"/>
  <c r="E572" i="3"/>
  <c r="E400" i="3"/>
  <c r="E454" i="3"/>
  <c r="E77" i="3"/>
  <c r="E273" i="3"/>
  <c r="E489" i="3"/>
  <c r="E327" i="3"/>
  <c r="E214" i="3"/>
  <c r="E465" i="3"/>
  <c r="AK6" i="3"/>
  <c r="E504"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201" i="3"/>
  <c r="E247" i="3"/>
  <c r="E431" i="3"/>
  <c r="E579" i="3"/>
  <c r="E509" i="3"/>
  <c r="AJ6" i="3"/>
  <c r="E322" i="3"/>
  <c r="E268" i="3"/>
  <c r="E526" i="3"/>
  <c r="E217" i="3"/>
  <c r="E109" i="3"/>
  <c r="E377" i="3"/>
  <c r="E211" i="3"/>
  <c r="E70" i="3"/>
  <c r="E557" i="3"/>
  <c r="AO6" i="3"/>
  <c r="E89" i="3"/>
  <c r="E362" i="3"/>
  <c r="E146" i="3"/>
  <c r="E577" i="3"/>
  <c r="E472" i="3"/>
  <c r="E277" i="3"/>
  <c r="E181" i="3"/>
  <c r="E502" i="3"/>
  <c r="E473" i="3"/>
  <c r="E28" i="3"/>
  <c r="E531" i="3"/>
  <c r="E345" i="3"/>
  <c r="E485" i="3"/>
  <c r="Z6" i="3"/>
  <c r="E204" i="3"/>
  <c r="E368" i="3"/>
  <c r="E74" i="3"/>
  <c r="E315" i="3"/>
  <c r="E171" i="3"/>
  <c r="E106" i="3"/>
  <c r="E468" i="3"/>
  <c r="E587" i="3"/>
  <c r="E406" i="3"/>
  <c r="E560" i="3"/>
  <c r="E133" i="3"/>
  <c r="E228" i="3"/>
  <c r="E545" i="3"/>
  <c r="E568" i="3"/>
  <c r="E536" i="3"/>
  <c r="E413" i="3"/>
  <c r="E281" i="3"/>
  <c r="E46" i="3"/>
  <c r="E286" i="3"/>
  <c r="E430" i="3"/>
  <c r="E187" i="3"/>
  <c r="E451" i="3"/>
  <c r="AH6" i="3"/>
  <c r="E188" i="3"/>
  <c r="E36" i="3"/>
  <c r="E212" i="3"/>
  <c r="E499" i="3"/>
  <c r="E466" i="3"/>
  <c r="E374" i="3"/>
  <c r="E39" i="3"/>
  <c r="E259" i="3"/>
  <c r="E525" i="3"/>
  <c r="E420" i="3"/>
  <c r="E16" i="3"/>
  <c r="E346" i="3"/>
  <c r="E38" i="3"/>
  <c r="E333" i="3"/>
  <c r="E219" i="3"/>
  <c r="E20" i="3"/>
  <c r="P6" i="1"/>
  <c r="C13" i="12" s="1"/>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39" i="3"/>
  <c r="E148" i="3"/>
  <c r="E199" i="3"/>
  <c r="E575" i="3"/>
  <c r="R6" i="3"/>
  <c r="E442" i="3"/>
  <c r="E541" i="3"/>
  <c r="E449" i="3"/>
  <c r="E500" i="3"/>
  <c r="E520" i="3"/>
  <c r="E57" i="3"/>
  <c r="E240" i="3"/>
  <c r="E378" i="3"/>
  <c r="E140" i="3"/>
  <c r="E456" i="3"/>
  <c r="E13" i="3"/>
  <c r="E115" i="3"/>
  <c r="E356" i="3"/>
  <c r="E543" i="3"/>
  <c r="E25" i="3"/>
  <c r="E43" i="3"/>
  <c r="E455" i="3"/>
  <c r="E170" i="3"/>
  <c r="J6" i="3"/>
  <c r="E484" i="3"/>
  <c r="E194" i="3"/>
  <c r="E325" i="3"/>
  <c r="E289" i="3"/>
  <c r="E101" i="3"/>
  <c r="E365" i="3"/>
  <c r="E218" i="3"/>
  <c r="E62" i="3"/>
  <c r="E50" i="3"/>
  <c r="E340" i="3"/>
  <c r="E147" i="3"/>
  <c r="E112" i="3"/>
  <c r="E52" i="3"/>
  <c r="E392" i="3"/>
  <c r="E339" i="3"/>
  <c r="E235" i="3"/>
  <c r="E275" i="3"/>
  <c r="E220" i="3"/>
  <c r="E142" i="3"/>
  <c r="E103" i="3"/>
  <c r="E64" i="3"/>
  <c r="E425" i="3"/>
  <c r="E409" i="3"/>
  <c r="E76" i="3"/>
  <c r="E242" i="3"/>
  <c r="E401" i="3"/>
  <c r="E440" i="3"/>
  <c r="E393" i="3"/>
  <c r="E174" i="3"/>
  <c r="E190" i="3"/>
  <c r="E129" i="3"/>
  <c r="E78" i="3"/>
  <c r="E96" i="3"/>
  <c r="E18" i="3"/>
  <c r="E412" i="3"/>
  <c r="E482" i="3"/>
  <c r="E428" i="3"/>
  <c r="E75" i="3"/>
  <c r="E94" i="3"/>
  <c r="E372" i="3"/>
  <c r="E226" i="3"/>
  <c r="E178" i="3"/>
  <c r="E463" i="3"/>
  <c r="E498" i="3"/>
  <c r="E490" i="3"/>
  <c r="E486" i="3"/>
  <c r="E493" i="3"/>
  <c r="E223" i="3"/>
  <c r="E60" i="3"/>
  <c r="AL6" i="3"/>
  <c r="E391" i="3"/>
  <c r="E243" i="3"/>
  <c r="E225" i="3"/>
  <c r="E198" i="3"/>
  <c r="E41" i="3"/>
  <c r="E26" i="3"/>
  <c r="E470" i="3"/>
  <c r="E494" i="3"/>
  <c r="E497" i="3"/>
  <c r="E360" i="3"/>
  <c r="E408" i="3"/>
  <c r="E469" i="3"/>
  <c r="E405" i="3"/>
  <c r="E534" i="3"/>
  <c r="E369" i="3"/>
  <c r="E197" i="3"/>
  <c r="E296" i="3"/>
  <c r="E544" i="3"/>
  <c r="E389" i="3"/>
  <c r="E349" i="3"/>
  <c r="E363" i="3"/>
  <c r="E292" i="3"/>
  <c r="E241" i="3"/>
  <c r="E258" i="3"/>
  <c r="E192" i="3"/>
  <c r="E132" i="3"/>
  <c r="E152" i="3"/>
  <c r="E95" i="3"/>
  <c r="E37" i="3"/>
  <c r="E56" i="3"/>
  <c r="E479" i="3"/>
  <c r="E417" i="3"/>
  <c r="E491" i="3"/>
  <c r="E435" i="3"/>
  <c r="E517" i="3"/>
  <c r="E554" i="3"/>
  <c r="AP6" i="3"/>
  <c r="I3" i="6"/>
  <c r="E255" i="3"/>
  <c r="E524" i="3"/>
  <c r="E176" i="3"/>
  <c r="E364" i="3"/>
  <c r="E123" i="3"/>
  <c r="AQ6" i="3"/>
  <c r="E299" i="3"/>
  <c r="E234" i="3"/>
  <c r="E160" i="3"/>
  <c r="E467" i="3"/>
  <c r="E59" i="3"/>
  <c r="E108" i="3"/>
  <c r="E427" i="3"/>
  <c r="E137" i="3"/>
  <c r="E100" i="3"/>
  <c r="E79" i="3"/>
  <c r="E15" i="3"/>
  <c r="E540" i="3"/>
  <c r="E58" i="3"/>
  <c r="E202" i="3"/>
  <c r="E483" i="3"/>
  <c r="E422" i="3"/>
  <c r="E105" i="3"/>
  <c r="E42" i="3"/>
  <c r="E332" i="3"/>
  <c r="E139" i="3"/>
  <c r="E104" i="3"/>
  <c r="E452" i="3"/>
  <c r="E556" i="3"/>
  <c r="E512" i="3"/>
  <c r="T6" i="3"/>
  <c r="E173" i="3"/>
  <c r="E205" i="3"/>
  <c r="E375" i="3"/>
  <c r="E348" i="3"/>
  <c r="E297" i="3"/>
  <c r="E155" i="3"/>
  <c r="E131" i="3"/>
  <c r="E90" i="3"/>
  <c r="E436" i="3"/>
  <c r="E460" i="3"/>
  <c r="E582" i="3"/>
  <c r="E566" i="3"/>
  <c r="E459" i="3"/>
  <c r="E416" i="3"/>
  <c r="E398" i="3"/>
  <c r="E487" i="3"/>
  <c r="E464" i="3"/>
  <c r="E421" i="3"/>
  <c r="E552" i="3"/>
  <c r="E542" i="3"/>
  <c r="AD6" i="3"/>
  <c r="E312" i="3"/>
  <c r="E141" i="3"/>
  <c r="E167" i="3"/>
  <c r="E149" i="3"/>
  <c r="E244" i="3"/>
  <c r="E16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510" i="3"/>
  <c r="E329" i="3"/>
  <c r="E564" i="3"/>
  <c r="E376" i="3"/>
  <c r="E40" i="3"/>
  <c r="E276" i="3"/>
  <c r="E110" i="3"/>
  <c r="E462" i="3"/>
  <c r="E446" i="3"/>
  <c r="E98" i="3"/>
  <c r="E138" i="3"/>
  <c r="E163" i="3"/>
  <c r="E248" i="3"/>
  <c r="E209" i="3"/>
  <c r="E266" i="3"/>
  <c r="E307" i="3"/>
  <c r="E386" i="3"/>
  <c r="E354" i="3"/>
  <c r="E584" i="3"/>
  <c r="E66" i="3"/>
  <c r="E24" i="3"/>
  <c r="E48" i="3"/>
  <c r="E87" i="3"/>
  <c r="E127" i="3"/>
  <c r="E250" i="3"/>
  <c r="E284" i="3"/>
  <c r="E341" i="3"/>
  <c r="Y6" i="3"/>
  <c r="E51" i="3"/>
  <c r="E154" i="3"/>
  <c r="E179" i="3"/>
  <c r="E222" i="3"/>
  <c r="E323" i="3"/>
  <c r="E373" i="3"/>
  <c r="E82" i="3"/>
  <c r="E116" i="3"/>
  <c r="E507" i="3"/>
  <c r="E419" i="3"/>
  <c r="E119" i="3"/>
  <c r="L6" i="3"/>
  <c r="E488" i="3"/>
  <c r="E521" i="3"/>
  <c r="E47" i="3"/>
  <c r="E65" i="3"/>
  <c r="E195" i="3"/>
  <c r="E200" i="3"/>
  <c r="E267" i="3"/>
  <c r="E249" i="3"/>
  <c r="E300" i="3"/>
  <c r="E371" i="3"/>
  <c r="E310" i="3"/>
  <c r="E492" i="3"/>
  <c r="E23" i="3"/>
  <c r="E84" i="3"/>
  <c r="E67" i="3"/>
  <c r="E33" i="3"/>
  <c r="E144" i="3"/>
  <c r="E184" i="3"/>
  <c r="E233" i="3"/>
  <c r="E355" i="3"/>
  <c r="E381" i="3"/>
  <c r="E68" i="3"/>
  <c r="E63" i="3"/>
  <c r="E81" i="3"/>
  <c r="E118" i="3"/>
  <c r="E264" i="3"/>
  <c r="E283" i="3"/>
  <c r="E309" i="3"/>
  <c r="E513" i="3"/>
  <c r="E21" i="3"/>
  <c r="E324" i="3"/>
  <c r="E383" i="3"/>
  <c r="E342" i="3"/>
  <c r="E522" i="3"/>
  <c r="E35" i="3"/>
  <c r="E86" i="3"/>
  <c r="E34" i="3"/>
  <c r="E49" i="3"/>
  <c r="E206" i="3"/>
  <c r="E232" i="3"/>
  <c r="E251" i="3"/>
  <c r="E370" i="3"/>
  <c r="AF6" i="3"/>
  <c r="E102" i="3"/>
  <c r="E80" i="3"/>
  <c r="E113" i="3"/>
  <c r="E158" i="3"/>
  <c r="E287" i="3"/>
  <c r="E308" i="3"/>
  <c r="E326" i="3"/>
  <c r="E22" i="3"/>
  <c r="E83" i="3"/>
  <c r="E19"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AE12" i="1"/>
  <c r="AE10" i="1"/>
  <c r="M29" i="81"/>
  <c r="F43" i="81"/>
  <c r="F27" i="68"/>
  <c r="F41" i="67"/>
  <c r="AE7" i="1"/>
  <c r="AE8" i="1"/>
  <c r="F41" i="81" s="1"/>
  <c r="AE6" i="1"/>
  <c r="U21" i="1" l="1"/>
  <c r="K16" i="1"/>
  <c r="F71" i="81"/>
  <c r="G16" i="1"/>
  <c r="M8" i="1"/>
  <c r="Q16" i="1"/>
  <c r="H16" i="1"/>
  <c r="J5" i="15"/>
  <c r="J24" i="15" s="1"/>
  <c r="F24" i="81"/>
  <c r="F22" i="82"/>
  <c r="D26" i="43"/>
  <c r="C25" i="43" s="1"/>
  <c r="C33" i="43" s="1"/>
  <c r="F69" i="81"/>
  <c r="J26" i="81"/>
  <c r="J29" i="81" s="1"/>
  <c r="J24" i="81"/>
  <c r="C24" i="81"/>
  <c r="C53" i="81"/>
  <c r="C48" i="81" s="1"/>
  <c r="C10" i="81"/>
  <c r="C5" i="81" s="1"/>
  <c r="L36" i="43"/>
  <c r="L37" i="43" s="1"/>
  <c r="F24" i="80"/>
  <c r="J26" i="80"/>
  <c r="J24" i="80"/>
  <c r="C53" i="80"/>
  <c r="C48" i="80" s="1"/>
  <c r="C10" i="80"/>
  <c r="C5" i="80" s="1"/>
  <c r="C32" i="15"/>
  <c r="C32" i="67"/>
  <c r="F48" i="69"/>
  <c r="C48" i="69"/>
  <c r="C30" i="69"/>
  <c r="F48" i="68"/>
  <c r="C48" i="68"/>
  <c r="C30" i="68"/>
  <c r="C48" i="11"/>
  <c r="C30" i="11"/>
  <c r="H6" i="3"/>
  <c r="AC6" i="3"/>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6" i="82"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6" i="81"/>
  <c r="F41" i="80"/>
  <c r="M27" i="15"/>
  <c r="C17" i="81"/>
  <c r="D10" i="82"/>
  <c r="M27" i="67"/>
  <c r="F41" i="15"/>
  <c r="F27" i="69" l="1"/>
  <c r="F27" i="11"/>
  <c r="F28" i="12"/>
  <c r="C29" i="12" s="1"/>
  <c r="D28" i="12" s="1"/>
  <c r="F10" i="39"/>
  <c r="H10" i="39"/>
  <c r="J10" i="39"/>
  <c r="J10" i="40"/>
  <c r="F10" i="40"/>
  <c r="H10" i="40"/>
  <c r="F69" i="80"/>
  <c r="J29" i="80"/>
  <c r="D19" i="82"/>
  <c r="D37" i="82" s="1"/>
  <c r="C37" i="82" s="1"/>
  <c r="C10" i="82"/>
  <c r="C8" i="82" s="1"/>
  <c r="E8" i="70"/>
  <c r="B14" i="74"/>
  <c r="F41" i="82"/>
  <c r="C26" i="82"/>
  <c r="D22" i="82" s="1"/>
  <c r="C24" i="82"/>
  <c r="C44" i="82"/>
  <c r="D41" i="82" s="1"/>
  <c r="R50" i="34"/>
  <c r="C49" i="34" s="1"/>
  <c r="G54" i="34"/>
  <c r="H54" i="34" s="1"/>
  <c r="Q36" i="43"/>
  <c r="M36" i="43"/>
  <c r="P36" i="43"/>
  <c r="O36" i="43"/>
  <c r="N36" i="43"/>
  <c r="C38" i="81"/>
  <c r="C66" i="81"/>
  <c r="C60" i="81"/>
  <c r="C38" i="80"/>
  <c r="C66" i="80"/>
  <c r="C60" i="80"/>
  <c r="C24" i="80"/>
  <c r="E6" i="3"/>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34" i="82"/>
  <c r="C17" i="15"/>
  <c r="C14" i="67"/>
  <c r="C14" i="81"/>
  <c r="D10" i="68"/>
  <c r="C17" i="67"/>
  <c r="C17" i="80"/>
  <c r="S10" i="40" l="1"/>
  <c r="AA10" i="40"/>
  <c r="W10" i="39"/>
  <c r="AC10" i="39"/>
  <c r="AA10" i="39"/>
  <c r="S10" i="39"/>
  <c r="C29" i="11"/>
  <c r="D27" i="11" s="1"/>
  <c r="C47" i="11"/>
  <c r="D45" i="11" s="1"/>
  <c r="AB10" i="40"/>
  <c r="U10" i="40"/>
  <c r="AC10" i="40"/>
  <c r="W10" i="40"/>
  <c r="U10" i="39"/>
  <c r="AB10" i="39"/>
  <c r="C47" i="69"/>
  <c r="D45" i="69" s="1"/>
  <c r="C29" i="69"/>
  <c r="D27" i="69" s="1"/>
  <c r="F45" i="69"/>
  <c r="B1" i="74"/>
  <c r="B30" i="74"/>
  <c r="C18" i="81"/>
  <c r="C15" i="81"/>
  <c r="C35" i="82"/>
  <c r="C38" i="82"/>
  <c r="M19" i="83"/>
  <c r="C118" i="83" s="1"/>
  <c r="C15" i="74" s="1"/>
  <c r="L19" i="84"/>
  <c r="M19" i="84"/>
  <c r="C118" i="84" s="1"/>
  <c r="C16" i="74" s="1"/>
  <c r="S20" i="6"/>
  <c r="L18" i="83"/>
  <c r="S21" i="6"/>
  <c r="L18" i="84"/>
  <c r="E7" i="70"/>
  <c r="C14" i="74"/>
  <c r="B2" i="74" s="1"/>
  <c r="C6" i="68"/>
  <c r="C50" i="34"/>
  <c r="D30" i="6"/>
  <c r="C25" i="11"/>
  <c r="C22" i="11" s="1"/>
  <c r="C31" i="11" s="1"/>
  <c r="H24" i="6"/>
  <c r="R24" i="6" s="1"/>
  <c r="R11" i="1" s="1"/>
  <c r="H22" i="6"/>
  <c r="H25" i="6"/>
  <c r="R25" i="6" s="1"/>
  <c r="R12" i="1"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80"/>
  <c r="C34" i="68"/>
  <c r="E6" i="76"/>
  <c r="B6" i="76"/>
  <c r="C14" i="15"/>
  <c r="D8" i="74" l="1"/>
  <c r="D7" i="74"/>
  <c r="C30" i="74"/>
  <c r="C19" i="81"/>
  <c r="C20" i="81" s="1"/>
  <c r="C33" i="82"/>
  <c r="C39" i="82" s="1"/>
  <c r="C15" i="80"/>
  <c r="C18" i="80"/>
  <c r="L19" i="83"/>
  <c r="C7" i="82"/>
  <c r="C5" i="82" s="1"/>
  <c r="B3" i="43"/>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2" i="82" l="1"/>
  <c r="C26" i="81"/>
  <c r="C23" i="81"/>
  <c r="C19" i="80"/>
  <c r="C20" i="80" s="1"/>
  <c r="C21" i="12"/>
  <c r="C22" i="12" s="1"/>
  <c r="C46" i="82"/>
  <c r="C45" i="82" s="1"/>
  <c r="C43" i="82"/>
  <c r="C41" i="82" s="1"/>
  <c r="C23" i="82"/>
  <c r="C20" i="82"/>
  <c r="C25" i="82" s="1"/>
  <c r="C5" i="68"/>
  <c r="C23" i="68" s="1"/>
  <c r="J7" i="21"/>
  <c r="D7" i="71"/>
  <c r="C6" i="71"/>
  <c r="C23" i="67"/>
  <c r="C29" i="67" s="1"/>
  <c r="J59" i="67" s="1"/>
  <c r="J60" i="67" s="1"/>
  <c r="Q48" i="67" s="1"/>
  <c r="C19" i="15"/>
  <c r="C33" i="68"/>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1" i="9" l="1"/>
  <c r="C20" i="15"/>
  <c r="C26" i="15" s="1"/>
  <c r="C39" i="68"/>
  <c r="C43" i="68" s="1"/>
  <c r="C20" i="68"/>
  <c r="C28" i="68" s="1"/>
  <c r="C27" i="68" s="1"/>
  <c r="C27" i="12"/>
  <c r="C25" i="12" s="1"/>
  <c r="C32" i="12" s="1"/>
  <c r="B2" i="12" s="1"/>
  <c r="B3" i="12" s="1"/>
  <c r="C29" i="81"/>
  <c r="C13" i="81" s="1"/>
  <c r="C49" i="82"/>
  <c r="C51" i="82" s="1"/>
  <c r="C26" i="80"/>
  <c r="C23" i="80"/>
  <c r="C22" i="82"/>
  <c r="C28" i="82"/>
  <c r="C27" i="82" s="1"/>
  <c r="D6" i="71"/>
  <c r="C5" i="71"/>
  <c r="Q49" i="67"/>
  <c r="J14" i="67"/>
  <c r="J13" i="67" s="1"/>
  <c r="J23" i="67" s="1"/>
  <c r="C36" i="67"/>
  <c r="C57" i="67"/>
  <c r="C64" i="67" s="1"/>
  <c r="C13" i="67"/>
  <c r="Q70" i="67" s="1"/>
  <c r="C33" i="11"/>
  <c r="C39" i="11" s="1"/>
  <c r="C61" i="67"/>
  <c r="C42" i="68"/>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80"/>
  <c r="M21" i="80"/>
  <c r="M21" i="15"/>
  <c r="F35" i="15"/>
  <c r="M21" i="81"/>
  <c r="F35" i="81"/>
  <c r="C46" i="68" l="1"/>
  <c r="C45" i="68" s="1"/>
  <c r="C23" i="15"/>
  <c r="C29" i="15" s="1"/>
  <c r="C36" i="15" s="1"/>
  <c r="C94" i="9"/>
  <c r="C92" i="9"/>
  <c r="C25" i="68"/>
  <c r="C22" i="68" s="1"/>
  <c r="C31" i="68" s="1"/>
  <c r="C57" i="81"/>
  <c r="C64" i="81" s="1"/>
  <c r="J14" i="81"/>
  <c r="J13" i="81" s="1"/>
  <c r="J23" i="81" s="1"/>
  <c r="Q49" i="81"/>
  <c r="C36" i="81"/>
  <c r="C29" i="80"/>
  <c r="C75" i="81"/>
  <c r="C56" i="81"/>
  <c r="C65" i="81" s="1"/>
  <c r="C37" i="81"/>
  <c r="Q70" i="81"/>
  <c r="C31" i="82"/>
  <c r="C52" i="82" s="1"/>
  <c r="B2" i="82" s="1"/>
  <c r="F63" i="81"/>
  <c r="C62" i="81" s="1"/>
  <c r="C59" i="81" s="1"/>
  <c r="C34" i="81"/>
  <c r="C31" i="81" s="1"/>
  <c r="J20" i="81"/>
  <c r="J17" i="81" s="1"/>
  <c r="F63" i="80"/>
  <c r="C62" i="80" s="1"/>
  <c r="C59" i="80" s="1"/>
  <c r="C34" i="80"/>
  <c r="C31" i="80" s="1"/>
  <c r="J20" i="80"/>
  <c r="J17" i="80" s="1"/>
  <c r="D5" i="71"/>
  <c r="M24" i="43" s="1"/>
  <c r="C56" i="67"/>
  <c r="C65" i="67" s="1"/>
  <c r="J22" i="67"/>
  <c r="C37" i="67"/>
  <c r="C75" i="67"/>
  <c r="J59" i="15"/>
  <c r="J60" i="15" s="1"/>
  <c r="Q48" i="15" s="1"/>
  <c r="C46" i="11"/>
  <c r="C45" i="11" s="1"/>
  <c r="C43" i="11"/>
  <c r="C42" i="11"/>
  <c r="C34" i="67"/>
  <c r="C31" i="67" s="1"/>
  <c r="F63" i="67"/>
  <c r="C62" i="67" s="1"/>
  <c r="C59" i="67" s="1"/>
  <c r="J20" i="67"/>
  <c r="J17" i="67" s="1"/>
  <c r="J19" i="15"/>
  <c r="C41" i="68"/>
  <c r="C57"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82"/>
  <c r="C13" i="15" l="1"/>
  <c r="Q70" i="15" s="1"/>
  <c r="J14" i="15"/>
  <c r="J13" i="15" s="1"/>
  <c r="J23" i="15" s="1"/>
  <c r="Q49" i="15"/>
  <c r="C49" i="68"/>
  <c r="C51" i="68" s="1"/>
  <c r="C52" i="68" s="1"/>
  <c r="B2" i="68" s="1"/>
  <c r="C58" i="81"/>
  <c r="C67" i="81" s="1"/>
  <c r="C68" i="81" s="1"/>
  <c r="C71" i="81" s="1"/>
  <c r="J22" i="81"/>
  <c r="J16" i="81" s="1"/>
  <c r="J25" i="81" s="1"/>
  <c r="C30" i="81"/>
  <c r="C39" i="81" s="1"/>
  <c r="Q69" i="81" s="1"/>
  <c r="Q68" i="81" s="1"/>
  <c r="C57" i="80"/>
  <c r="C64" i="80" s="1"/>
  <c r="Q49" i="80"/>
  <c r="J14" i="80"/>
  <c r="C13" i="80"/>
  <c r="C36" i="80"/>
  <c r="C102" i="84"/>
  <c r="C21" i="84"/>
  <c r="C57" i="82"/>
  <c r="C56"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J17" i="15"/>
  <c r="C31" i="15"/>
  <c r="C57" i="69"/>
  <c r="C56" i="69" s="1"/>
  <c r="M69" i="39"/>
  <c r="N67" i="39"/>
  <c r="R39" i="35"/>
  <c r="E38" i="35"/>
  <c r="M63" i="40"/>
  <c r="L65" i="40"/>
  <c r="D2" i="21"/>
  <c r="C20" i="84"/>
  <c r="C19" i="83"/>
  <c r="L51" i="67"/>
  <c r="D34" i="84"/>
  <c r="B3" i="68"/>
  <c r="D35" i="84"/>
  <c r="C20" i="83"/>
  <c r="C75" i="15" l="1"/>
  <c r="C56" i="15"/>
  <c r="C65" i="15" s="1"/>
  <c r="C58" i="15" s="1"/>
  <c r="C67" i="15" s="1"/>
  <c r="C68" i="15" s="1"/>
  <c r="C71" i="15" s="1"/>
  <c r="C102" i="83"/>
  <c r="C21" i="83"/>
  <c r="C57" i="68"/>
  <c r="C40" i="81"/>
  <c r="C44" i="81" s="1"/>
  <c r="C80" i="81"/>
  <c r="C79" i="81" s="1"/>
  <c r="C75" i="80"/>
  <c r="C56" i="80"/>
  <c r="C65" i="80" s="1"/>
  <c r="C58" i="80" s="1"/>
  <c r="C67" i="80" s="1"/>
  <c r="C68" i="80" s="1"/>
  <c r="C71" i="80" s="1"/>
  <c r="Q70" i="80"/>
  <c r="C37" i="80"/>
  <c r="C30" i="80" s="1"/>
  <c r="C39" i="80" s="1"/>
  <c r="J13" i="80"/>
  <c r="J23" i="80" s="1"/>
  <c r="J22" i="80"/>
  <c r="C103" i="84"/>
  <c r="C103" i="83"/>
  <c r="L57" i="67"/>
  <c r="L60" i="67" s="1"/>
  <c r="L46" i="67" s="1"/>
  <c r="Q67" i="67"/>
  <c r="C80" i="67"/>
  <c r="C79" i="67" s="1"/>
  <c r="C40" i="67"/>
  <c r="C45" i="67" s="1"/>
  <c r="C56" i="11"/>
  <c r="C57" i="11" s="1"/>
  <c r="B2" i="21"/>
  <c r="B3" i="21" s="1"/>
  <c r="J16" i="15"/>
  <c r="J25" i="15" s="1"/>
  <c r="J26" i="15" s="1"/>
  <c r="J29" i="15" s="1"/>
  <c r="C30" i="15"/>
  <c r="C39" i="15" s="1"/>
  <c r="Q69" i="15" s="1"/>
  <c r="Q68" i="15" s="1"/>
  <c r="O67" i="39"/>
  <c r="O69" i="39" s="1"/>
  <c r="N69" i="39"/>
  <c r="F7" i="39"/>
  <c r="C39" i="35"/>
  <c r="C38" i="35"/>
  <c r="N63" i="40"/>
  <c r="M65" i="40"/>
  <c r="E43" i="35"/>
  <c r="F43" i="35" s="1"/>
  <c r="E42" i="35"/>
  <c r="F42" i="35" s="1"/>
  <c r="I43" i="35"/>
  <c r="J43" i="35" s="1"/>
  <c r="D2" i="33"/>
  <c r="L51" i="81"/>
  <c r="D35" i="83"/>
  <c r="L51" i="80"/>
  <c r="Q67" i="81" l="1"/>
  <c r="C56" i="68"/>
  <c r="B2" i="81"/>
  <c r="C46" i="81"/>
  <c r="C83" i="81"/>
  <c r="C82" i="81" s="1"/>
  <c r="Q56" i="81"/>
  <c r="Q62" i="81" s="1"/>
  <c r="C43" i="81"/>
  <c r="Q65" i="81"/>
  <c r="Q75" i="81" s="1"/>
  <c r="Q47" i="81"/>
  <c r="Q53" i="81" s="1"/>
  <c r="C80" i="80"/>
  <c r="C79" i="80" s="1"/>
  <c r="Q67" i="80"/>
  <c r="J16" i="80"/>
  <c r="J25" i="80" s="1"/>
  <c r="Q69" i="80"/>
  <c r="Q68" i="80" s="1"/>
  <c r="C40" i="80"/>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84"/>
  <c r="D2" i="34"/>
  <c r="D34" i="83"/>
  <c r="D2" i="37"/>
  <c r="D2" i="35"/>
  <c r="D2" i="36"/>
  <c r="D102" i="84" l="1"/>
  <c r="G19" i="84"/>
  <c r="C32" i="84" s="1"/>
  <c r="D21" i="84"/>
  <c r="D22" i="84"/>
  <c r="B3" i="81"/>
  <c r="C46" i="80"/>
  <c r="B2" i="80"/>
  <c r="B3" i="80" s="1"/>
  <c r="Q65" i="80"/>
  <c r="Q75" i="80" s="1"/>
  <c r="C83" i="80"/>
  <c r="C82" i="80" s="1"/>
  <c r="Q47" i="80"/>
  <c r="Q53" i="80" s="1"/>
  <c r="C43" i="80"/>
  <c r="Q56" i="80"/>
  <c r="Q62" i="80" s="1"/>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7" i="1"/>
  <c r="AO12" i="1"/>
  <c r="AO8" i="1"/>
  <c r="AO11" i="1"/>
  <c r="AO10" i="1"/>
  <c r="D20" i="84"/>
  <c r="G21" i="84" l="1"/>
  <c r="G20" i="84"/>
  <c r="D103" i="84"/>
  <c r="C35" i="84"/>
  <c r="F118" i="84" s="1"/>
  <c r="H118" i="84"/>
  <c r="D16" i="74"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3"/>
  <c r="AO6" i="1"/>
  <c r="E16" i="74" l="1"/>
  <c r="F16" i="74"/>
  <c r="I118" i="84"/>
  <c r="C104" i="84"/>
  <c r="H119" i="84"/>
  <c r="H101" i="84"/>
  <c r="C34" i="84"/>
  <c r="D118" i="84" s="1"/>
  <c r="D119" i="84" s="1"/>
  <c r="F119" i="84"/>
  <c r="G118" i="84"/>
  <c r="D102" i="83"/>
  <c r="D21" i="83"/>
  <c r="G19" i="83"/>
  <c r="G21" i="83" s="1"/>
  <c r="D22" i="83"/>
  <c r="B3" i="15"/>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35" i="9"/>
  <c r="D34" i="9"/>
  <c r="D19" i="9"/>
  <c r="D45" i="84" l="1"/>
  <c r="M48" i="84"/>
  <c r="H107" i="84"/>
  <c r="E118" i="84"/>
  <c r="C105" i="84"/>
  <c r="H102" i="84"/>
  <c r="D103" i="83"/>
  <c r="G20" i="83"/>
  <c r="C32" i="83" s="1"/>
  <c r="D102" i="9"/>
  <c r="D21" i="9"/>
  <c r="G19" i="9"/>
  <c r="G21" i="9" s="1"/>
  <c r="D22" i="9"/>
  <c r="B3" i="70"/>
  <c r="C42" i="40"/>
  <c r="C43" i="40"/>
  <c r="E47" i="40"/>
  <c r="F47" i="40" s="1"/>
  <c r="E46" i="40"/>
  <c r="F46" i="40" s="1"/>
  <c r="I47" i="40"/>
  <c r="J47" i="40" s="1"/>
  <c r="D20" i="9"/>
  <c r="D122" i="84" l="1"/>
  <c r="H108" i="84"/>
  <c r="M49" i="84"/>
  <c r="C78" i="84"/>
  <c r="C73" i="84" s="1"/>
  <c r="D52" i="84"/>
  <c r="C93" i="84"/>
  <c r="C86" i="84" s="1"/>
  <c r="C85" i="84"/>
  <c r="C72" i="84"/>
  <c r="C79" i="84" s="1"/>
  <c r="C64" i="84"/>
  <c r="C63" i="84" s="1"/>
  <c r="C67" i="84" s="1"/>
  <c r="D55" i="84"/>
  <c r="M53" i="84" s="1"/>
  <c r="D53" i="84"/>
  <c r="C35" i="83"/>
  <c r="C34" i="83"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23" i="84" l="1"/>
  <c r="G16" i="74"/>
  <c r="C95" i="84"/>
  <c r="C96" i="84" s="1"/>
  <c r="E96" i="84" s="1"/>
  <c r="E97" i="84" s="1"/>
  <c r="C80" i="84"/>
  <c r="E80" i="84" s="1"/>
  <c r="E81" i="84" s="1"/>
  <c r="D59" i="84"/>
  <c r="M55" i="84" s="1"/>
  <c r="C68" i="84"/>
  <c r="D54" i="84" s="1"/>
  <c r="L66" i="84"/>
  <c r="M66" i="84" s="1"/>
  <c r="L65" i="84"/>
  <c r="M65" i="84" s="1"/>
  <c r="L64" i="84"/>
  <c r="M64" i="84" s="1"/>
  <c r="L68" i="84"/>
  <c r="M68" i="84" s="1"/>
  <c r="L67" i="84"/>
  <c r="M67" i="84" s="1"/>
  <c r="L63" i="84"/>
  <c r="M63" i="84" s="1"/>
  <c r="M69" i="84" l="1"/>
  <c r="N69" i="84" s="1"/>
  <c r="C97" i="84"/>
  <c r="D58" i="84" s="1"/>
  <c r="D56" i="84" s="1"/>
  <c r="M54" i="84" s="1"/>
  <c r="N57" i="84" s="1"/>
  <c r="C81" i="84"/>
  <c r="D118" i="83"/>
  <c r="D119" i="83" s="1"/>
  <c r="F118" i="83"/>
  <c r="F119" i="83" s="1"/>
  <c r="H118" i="83"/>
  <c r="D15" i="74" s="1"/>
  <c r="E15" i="74" l="1"/>
  <c r="F15" i="74"/>
  <c r="N58" i="84"/>
  <c r="P57" i="84"/>
  <c r="N59" i="84"/>
  <c r="H111" i="84" s="1"/>
  <c r="D126" i="84" s="1"/>
  <c r="D127" i="84" s="1"/>
  <c r="G118" i="83"/>
  <c r="C104" i="83"/>
  <c r="I118" i="83"/>
  <c r="H101" i="83"/>
  <c r="H119" i="83"/>
  <c r="N61" i="84" l="1"/>
  <c r="H112" i="84" s="1"/>
  <c r="N60" i="84"/>
  <c r="C105" i="83"/>
  <c r="E118" i="83"/>
  <c r="H102" i="83"/>
  <c r="D45" i="83"/>
  <c r="M48" i="83"/>
  <c r="H107" i="83"/>
  <c r="H108" i="83" l="1"/>
  <c r="D122" i="83"/>
  <c r="M49" i="83"/>
  <c r="D52" i="83"/>
  <c r="C78" i="83"/>
  <c r="C73" i="83" s="1"/>
  <c r="D53" i="83"/>
  <c r="C72" i="83"/>
  <c r="C93" i="83"/>
  <c r="C86" i="83" s="1"/>
  <c r="C64" i="83"/>
  <c r="C63" i="83" s="1"/>
  <c r="C67" i="83" s="1"/>
  <c r="D55" i="83"/>
  <c r="M53" i="83" s="1"/>
  <c r="C85" i="83"/>
  <c r="C79" i="83" l="1"/>
  <c r="C80" i="83" s="1"/>
  <c r="E80" i="83" s="1"/>
  <c r="E81" i="83" s="1"/>
  <c r="D123" i="83"/>
  <c r="G15" i="74"/>
  <c r="C95" i="83"/>
  <c r="C68" i="83"/>
  <c r="D54" i="83" s="1"/>
  <c r="D59" i="83"/>
  <c r="M55" i="83" s="1"/>
  <c r="L65" i="83"/>
  <c r="M65" i="83" s="1"/>
  <c r="L64" i="83"/>
  <c r="M64" i="83" s="1"/>
  <c r="L68" i="83"/>
  <c r="M68" i="83" s="1"/>
  <c r="L66" i="83"/>
  <c r="M66" i="83" s="1"/>
  <c r="L67" i="83"/>
  <c r="M67" i="83" s="1"/>
  <c r="L63" i="83"/>
  <c r="M63" i="83" s="1"/>
  <c r="C81" i="83" l="1"/>
  <c r="C96" i="83"/>
  <c r="E96" i="83" s="1"/>
  <c r="E97" i="83" s="1"/>
  <c r="M69" i="83"/>
  <c r="N69" i="83" s="1"/>
  <c r="C97" i="83" l="1"/>
  <c r="D58" i="83" s="1"/>
  <c r="D56" i="83" s="1"/>
  <c r="M54" i="83" s="1"/>
  <c r="N57" i="83" s="1"/>
  <c r="P57" i="83" l="1"/>
  <c r="N58" i="83"/>
  <c r="N59" i="83"/>
  <c r="H111" i="83" s="1"/>
  <c r="D126" i="83" s="1"/>
  <c r="D127" i="83" s="1"/>
  <c r="N61" i="83" l="1"/>
  <c r="H112" i="83" s="1"/>
  <c r="N60" i="83"/>
  <c r="D118" i="9"/>
  <c r="F118" i="9"/>
  <c r="H118" i="9"/>
  <c r="G118" i="9" l="1"/>
  <c r="G4" i="52" s="1"/>
  <c r="B52" i="72" s="1"/>
  <c r="F30" i="74"/>
  <c r="G30" i="74" s="1"/>
  <c r="D4" i="52"/>
  <c r="B47" i="72" s="1"/>
  <c r="D30" i="74"/>
  <c r="E30" i="74" s="1"/>
  <c r="C104" i="9"/>
  <c r="D14" i="74"/>
  <c r="F4" i="52"/>
  <c r="B51" i="72" s="1"/>
  <c r="H4" i="52"/>
  <c r="D119" i="9"/>
  <c r="D5" i="52" s="1"/>
  <c r="B49" i="72" s="1"/>
  <c r="H101" i="9"/>
  <c r="I118" i="9"/>
  <c r="F119" i="9"/>
  <c r="F5" i="52" s="1"/>
  <c r="B53" i="72" s="1"/>
  <c r="H119" i="9"/>
  <c r="H5" i="52" s="1"/>
  <c r="F31" i="74" l="1"/>
  <c r="D31" i="74"/>
  <c r="H30" i="74"/>
  <c r="I30" i="74" s="1"/>
  <c r="E14" i="74"/>
  <c r="F14" i="74"/>
  <c r="D5" i="53"/>
  <c r="H107" i="9"/>
  <c r="I4" i="52"/>
  <c r="E118" i="9"/>
  <c r="E4" i="52" s="1"/>
  <c r="B48" i="72" s="1"/>
  <c r="C105" i="9"/>
  <c r="H102" i="9"/>
  <c r="H31" i="74" l="1"/>
  <c r="H108" i="9"/>
  <c r="D13" i="53"/>
  <c r="D122" i="9"/>
  <c r="G14" i="74" s="1"/>
  <c r="D7" i="53"/>
  <c r="B21" i="72" s="1"/>
  <c r="D6" i="53"/>
  <c r="B22" i="72" s="1"/>
  <c r="B20" i="72"/>
  <c r="D59" i="9" l="1"/>
  <c r="M55" i="9" s="1"/>
  <c r="D8" i="52"/>
  <c r="D123" i="9"/>
  <c r="D9" i="52" s="1"/>
  <c r="D14" i="53"/>
  <c r="B32" i="72" s="1"/>
  <c r="B30" i="72"/>
  <c r="D15" i="53"/>
  <c r="B31" i="72" s="1"/>
  <c r="D17" i="74" l="1"/>
  <c r="F17" i="74" l="1"/>
  <c r="B5" i="74"/>
  <c r="E17" i="74"/>
  <c r="D45" i="9" l="1"/>
  <c r="D5" i="74"/>
  <c r="M48" i="9"/>
  <c r="C5" i="74"/>
  <c r="G17" i="74" l="1"/>
  <c r="B6" i="74" s="1"/>
  <c r="C64" i="9"/>
  <c r="C63" i="9" s="1"/>
  <c r="C67" i="9" s="1"/>
  <c r="C68" i="9" s="1"/>
  <c r="D54" i="9" s="1"/>
  <c r="C85" i="9"/>
  <c r="C93" i="9"/>
  <c r="C86" i="9" s="1"/>
  <c r="D53" i="9"/>
  <c r="D48" i="9" s="1"/>
  <c r="M52" i="9" s="1"/>
  <c r="C72" i="9"/>
  <c r="C78" i="9"/>
  <c r="C73" i="9" s="1"/>
  <c r="D52" i="9"/>
  <c r="D55" i="9"/>
  <c r="M53" i="9" s="1"/>
  <c r="C95" i="9" l="1"/>
  <c r="C96" i="9" s="1"/>
  <c r="E96" i="9" s="1"/>
  <c r="E97" i="9" s="1"/>
  <c r="M49" i="9"/>
  <c r="D6" i="74"/>
  <c r="C6" i="74"/>
  <c r="C79" i="9"/>
  <c r="C97" i="9" l="1"/>
  <c r="D58" i="9" s="1"/>
  <c r="D56" i="9" s="1"/>
  <c r="M54" i="9" s="1"/>
  <c r="N57" i="9" s="1"/>
  <c r="N59" i="9" s="1"/>
  <c r="C80" i="9"/>
  <c r="E80" i="9" s="1"/>
  <c r="E81" i="9" s="1"/>
  <c r="L65" i="9"/>
  <c r="M65" i="9" s="1"/>
  <c r="L66" i="9"/>
  <c r="M66" i="9" s="1"/>
  <c r="L63" i="9"/>
  <c r="M63" i="9" s="1"/>
  <c r="L64" i="9"/>
  <c r="M64" i="9" s="1"/>
  <c r="L68" i="9"/>
  <c r="M68" i="9" s="1"/>
  <c r="L67" i="9"/>
  <c r="M67" i="9" s="1"/>
  <c r="N60" i="9" l="1"/>
  <c r="H111" i="9"/>
  <c r="P57" i="9"/>
  <c r="N58" i="9"/>
  <c r="N61" i="9"/>
  <c r="H112" i="9" s="1"/>
  <c r="C81" i="9"/>
  <c r="M69" i="9"/>
  <c r="N69" i="9" s="1"/>
  <c r="C8" i="74" l="1"/>
  <c r="D21" i="53"/>
  <c r="B39" i="72" s="1"/>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<sst xmlns="http://schemas.openxmlformats.org/spreadsheetml/2006/main" count="11038" uniqueCount="3787">
  <si>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</si>
  <si>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</si>
  <si>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</si>
  <si>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</si>
  <si>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</si>
  <si>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</si>
  <si>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</si>
  <si>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</si>
  <si>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</si>
  <si>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</si>
  <si>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</si>
  <si>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</si>
  <si>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</si>
  <si>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</si>
  <si>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</si>
  <si>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</si>
  <si>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</si>
  <si>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</si>
  <si>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</si>
  <si>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</si>
  <si>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</si>
  <si>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</si>
  <si>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</si>
  <si>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</si>
  <si>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</si>
  <si>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</si>
  <si>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</si>
  <si>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</si>
  <si>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</si>
  <si>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</si>
  <si>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</si>
  <si>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</si>
  <si>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</si>
  <si>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</si>
  <si>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</si>
  <si>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</si>
  <si>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</si>
  <si>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</si>
  <si>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</si>
  <si>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</si>
  <si>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</si>
  <si>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</si>
  <si>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</si>
  <si>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</si>
  <si>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</si>
  <si>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</si>
  <si>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</si>
  <si>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</si>
  <si>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</si>
  <si>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</si>
  <si>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</si>
  <si>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</si>
  <si>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</si>
  <si>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</si>
  <si>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</si>
  <si>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</si>
  <si>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</si>
  <si>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</si>
  <si>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</si>
  <si>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</si>
  <si>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</si>
  <si>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</si>
  <si>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</si>
  <si>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</si>
  <si>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</si>
  <si>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</si>
  <si>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</si>
  <si>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</si>
  <si>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</si>
  <si>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</si>
  <si>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</si>
  <si>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</si>
  <si>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</si>
  <si>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</si>
  <si>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</si>
  <si>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</si>
  <si>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</si>
  <si>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</si>
  <si>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</si>
  <si>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</si>
  <si>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</si>
  <si>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</si>
  <si>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</si>
  <si>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</si>
  <si>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</si>
  <si>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</si>
  <si>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</si>
  <si>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</si>
  <si>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</si>
  <si>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</si>
  <si>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</si>
  <si>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</si>
  <si>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</si>
  <si>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</si>
  <si>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</si>
  <si>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</si>
  <si>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</si>
  <si>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</si>
  <si>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</si>
  <si>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</si>
  <si>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</si>
  <si>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</si>
  <si>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</si>
  <si>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</si>
  <si>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</si>
  <si>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</si>
  <si>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</si>
  <si>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</si>
  <si>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</si>
  <si>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</si>
  <si>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</si>
  <si>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</si>
  <si>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</si>
  <si>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</si>
  <si>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</si>
  <si>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</si>
  <si>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</si>
  <si>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</si>
  <si>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</si>
  <si>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</si>
  <si>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</si>
  <si>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</si>
  <si>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</si>
  <si>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</si>
  <si>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</si>
  <si>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</si>
  <si>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</si>
  <si>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</si>
  <si>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</si>
  <si>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</si>
  <si>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</si>
  <si>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</si>
  <si>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</si>
  <si>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</si>
  <si>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</si>
  <si>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</si>
  <si>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</si>
  <si>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</si>
  <si>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</si>
  <si>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</si>
  <si>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</si>
  <si>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</si>
  <si>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</si>
  <si>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</si>
  <si>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</si>
  <si>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</si>
  <si>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</si>
  <si>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</si>
  <si>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</si>
  <si>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</si>
  <si>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</si>
  <si>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</si>
  <si>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</si>
  <si>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</si>
  <si>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</si>
  <si>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</si>
  <si>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</si>
  <si>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</si>
  <si>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</si>
  <si>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</si>
  <si>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</si>
  <si>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</si>
  <si>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</si>
  <si>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</si>
  <si>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</si>
  <si>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</si>
  <si>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</si>
  <si>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</si>
  <si>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</si>
  <si>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</si>
  <si>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</si>
  <si>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</si>
  <si>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</si>
  <si>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</si>
  <si>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</si>
  <si>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</si>
  <si>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</si>
  <si>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</si>
  <si>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</si>
  <si>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</si>
  <si>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</si>
  <si>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</si>
  <si>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</si>
  <si>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</si>
  <si>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</si>
  <si>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</si>
  <si>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</si>
  <si>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</si>
  <si>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</si>
  <si>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</si>
  <si>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</si>
  <si>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</si>
  <si>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</si>
  <si>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</si>
  <si>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</si>
  <si>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</si>
  <si>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</si>
  <si>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</si>
  <si>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</si>
  <si>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</si>
  <si>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</si>
  <si>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</si>
  <si>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</si>
  <si>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</si>
  <si>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</si>
  <si>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</si>
  <si>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</si>
  <si>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</si>
  <si>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</si>
  <si>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</si>
  <si>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</si>
  <si>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</si>
  <si>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</si>
  <si>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</si>
  <si>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</si>
  <si>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</si>
  <si>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</si>
  <si>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</si>
  <si>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</si>
  <si>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</si>
  <si>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</si>
  <si>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</si>
  <si>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</si>
  <si>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</si>
  <si>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</si>
  <si>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</si>
  <si>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</si>
  <si>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</si>
  <si>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</si>
  <si>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</si>
  <si>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</si>
  <si>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</si>
  <si>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</si>
  <si>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</si>
  <si>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</si>
  <si>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</si>
  <si>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</si>
  <si>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</si>
  <si>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</si>
  <si>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</si>
  <si>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</si>
  <si>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</si>
  <si>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</si>
  <si>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</si>
  <si>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</si>
  <si>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</si>
  <si>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</si>
  <si>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</si>
  <si>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</si>
  <si>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</si>
  <si>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</si>
  <si>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</si>
  <si>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</si>
  <si>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</si>
  <si>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</si>
  <si>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</si>
  <si>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</si>
  <si>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</si>
  <si>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</si>
  <si>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</si>
  <si>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</si>
  <si>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</si>
  <si>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</si>
  <si>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</si>
  <si>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</si>
  <si>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</si>
  <si>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</si>
  <si>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</si>
  <si>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</si>
  <si>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</si>
  <si>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</si>
  <si>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</si>
  <si>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</si>
  <si>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</si>
  <si>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</si>
  <si>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</si>
  <si>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</si>
  <si>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</si>
  <si>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</si>
  <si>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</si>
  <si>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</si>
  <si>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</si>
  <si>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</si>
  <si>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</si>
  <si>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</si>
  <si>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</si>
  <si>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</si>
  <si>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</si>
  <si>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</si>
  <si>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</si>
  <si>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</si>
  <si>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</si>
  <si>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</si>
  <si>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</si>
  <si>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</si>
  <si>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</si>
  <si>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</si>
  <si>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</si>
  <si>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</si>
  <si>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</si>
  <si>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</si>
  <si>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</si>
  <si>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</si>
  <si>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</si>
  <si>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</si>
  <si>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</si>
  <si>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</si>
  <si>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</si>
  <si>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</si>
  <si>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</si>
  <si>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</si>
  <si>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</si>
  <si>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</si>
  <si>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</si>
  <si>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</si>
  <si>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</si>
  <si>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</si>
  <si>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</si>
  <si>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</si>
  <si>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</si>
  <si>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</si>
  <si>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</si>
  <si>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</si>
  <si>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</si>
  <si>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</si>
  <si>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</si>
  <si>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</si>
  <si>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</si>
  <si>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</si>
  <si>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</si>
  <si>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</si>
  <si>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</si>
  <si>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</si>
  <si>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</si>
  <si>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</si>
  <si>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</si>
  <si>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</si>
  <si>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</si>
  <si>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</si>
  <si>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</si>
  <si>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</si>
  <si>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</si>
  <si>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</si>
  <si>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</si>
  <si>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</si>
  <si>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</si>
  <si>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</si>
  <si>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</si>
  <si>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</si>
  <si>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</si>
  <si>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</si>
  <si>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</si>
  <si>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</si>
  <si>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</si>
  <si>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</si>
  <si>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</si>
  <si>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</si>
  <si>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</si>
  <si>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</si>
  <si>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</si>
  <si>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</si>
  <si>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</si>
  <si>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</si>
  <si>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</si>
  <si>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</si>
  <si>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</si>
  <si>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</si>
  <si>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</si>
  <si>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</si>
  <si>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</si>
  <si>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</si>
  <si>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</si>
  <si>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</si>
  <si>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</si>
  <si>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</si>
  <si>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</si>
  <si>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</si>
  <si>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</si>
  <si>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</si>
  <si>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</si>
  <si>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</si>
  <si>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</si>
  <si>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</si>
  <si>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</si>
  <si>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</si>
  <si>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</si>
  <si>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</si>
  <si>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</si>
  <si>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</si>
  <si>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</si>
  <si>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</si>
  <si>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</si>
  <si>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</si>
  <si>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</si>
  <si>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</si>
  <si>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</si>
  <si>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</si>
  <si>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</si>
  <si>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</si>
  <si>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</si>
  <si>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</si>
  <si>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</si>
  <si>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</si>
  <si>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</si>
  <si>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</si>
  <si>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</si>
  <si>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</si>
  <si>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</si>
  <si>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</si>
  <si>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</si>
  <si>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</si>
  <si>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</si>
  <si>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</si>
  <si>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</si>
  <si>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</si>
  <si>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</si>
  <si>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</si>
  <si>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</si>
  <si>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</si>
  <si>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</si>
  <si>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</si>
  <si>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</si>
  <si>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</si>
  <si>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</si>
  <si>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</si>
  <si>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</si>
  <si>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</si>
  <si>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</si>
  <si>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</si>
  <si>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</si>
  <si>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</si>
  <si>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</si>
  <si>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</si>
  <si>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</si>
  <si>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</si>
  <si>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</si>
  <si>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</si>
  <si>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</si>
  <si>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</si>
  <si>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</si>
  <si>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</si>
  <si>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</si>
  <si>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</si>
  <si>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</si>
  <si>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</si>
  <si>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</si>
  <si>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</si>
  <si>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</si>
  <si>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</si>
  <si>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</si>
  <si>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</si>
  <si>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</si>
  <si>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</si>
  <si>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</si>
  <si>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</si>
  <si>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</si>
  <si>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</si>
  <si>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</si>
  <si>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</si>
  <si>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</si>
  <si>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</si>
  <si>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</si>
  <si>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</si>
  <si>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</si>
  <si>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</si>
  <si>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</si>
  <si>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</si>
  <si>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</si>
  <si>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</si>
  <si>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</si>
  <si>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</si>
  <si>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</si>
  <si>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</si>
  <si>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</si>
  <si>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</si>
  <si>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</si>
  <si>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</si>
  <si>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</si>
  <si>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</si>
  <si>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</si>
  <si>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</si>
  <si>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</si>
  <si>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</si>
  <si>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</si>
  <si>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</si>
  <si>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</si>
  <si>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</si>
  <si>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</si>
  <si>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</si>
  <si>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</si>
  <si>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</si>
  <si>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</si>
  <si>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</si>
  <si>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</si>
  <si>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</si>
  <si>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</si>
  <si>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</si>
  <si>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</si>
  <si>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</si>
  <si>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</si>
  <si>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</si>
  <si>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</si>
  <si>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</si>
  <si>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</si>
  <si>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</si>
  <si>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</si>
  <si>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</si>
  <si>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</si>
  <si>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</si>
  <si>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</si>
  <si>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</si>
  <si>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</si>
  <si>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</si>
  <si>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</si>
  <si>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</si>
  <si>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</si>
  <si>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</si>
  <si>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</si>
  <si>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</si>
  <si>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</si>
  <si>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</si>
  <si>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</si>
  <si>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</si>
  <si>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</si>
  <si>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</si>
  <si>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</si>
  <si>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</si>
  <si>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</si>
  <si>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</si>
  <si>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</si>
  <si>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</si>
  <si>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</si>
  <si>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</si>
  <si>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</si>
  <si>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</si>
  <si>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</si>
  <si>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</si>
  <si>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</si>
  <si>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</si>
  <si>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</si>
  <si>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</si>
  <si>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</si>
  <si>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</si>
  <si>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</si>
  <si>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</si>
  <si>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</si>
  <si>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</si>
  <si>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</si>
  <si>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</si>
  <si>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</si>
  <si>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</si>
  <si>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</si>
  <si>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</si>
  <si>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</si>
  <si>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</si>
  <si>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</si>
  <si>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</si>
  <si>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</si>
  <si>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</si>
  <si>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</si>
  <si>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</si>
  <si>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</si>
  <si>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</si>
  <si>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</si>
  <si>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</si>
  <si>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</si>
  <si>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</si>
  <si>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</si>
  <si>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</si>
  <si>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</si>
  <si>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</si>
  <si>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</si>
  <si>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</si>
  <si>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</si>
  <si>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</si>
  <si>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</si>
  <si>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</si>
  <si>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</si>
  <si>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</si>
  <si>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</si>
  <si>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</si>
  <si>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</si>
  <si>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</si>
  <si>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</si>
  <si>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</si>
  <si>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</si>
  <si>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</si>
  <si>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</si>
  <si>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</si>
  <si>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</si>
  <si>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</si>
  <si>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</si>
  <si>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</si>
  <si>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</si>
  <si>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</si>
  <si>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</si>
  <si>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</si>
  <si>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</si>
  <si>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</si>
  <si>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</si>
  <si>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</si>
  <si>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</si>
  <si>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</si>
  <si>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</si>
  <si>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</si>
  <si>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</si>
  <si>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</si>
  <si>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</si>
  <si>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</si>
  <si>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</si>
  <si>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</si>
  <si>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</si>
  <si>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</si>
  <si>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</si>
  <si>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</si>
  <si>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</si>
  <si>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</si>
  <si>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</si>
  <si>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</si>
  <si>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</si>
  <si>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</si>
  <si>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</si>
  <si>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</si>
  <si>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</si>
  <si>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</si>
  <si>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</si>
  <si>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</si>
  <si>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</si>
  <si>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</si>
  <si>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</si>
  <si>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</si>
  <si>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</si>
  <si>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</si>
  <si>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</si>
  <si>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</si>
  <si>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</si>
  <si>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</si>
  <si>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</si>
  <si>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</si>
  <si>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</si>
  <si>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</si>
  <si>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</si>
  <si>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</si>
  <si>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</si>
  <si>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</si>
  <si>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</si>
  <si>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</si>
  <si>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</si>
  <si>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</si>
  <si>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</si>
  <si>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</si>
  <si>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</si>
  <si>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</si>
  <si>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</si>
  <si>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</si>
  <si>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</si>
  <si>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</si>
  <si>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</si>
  <si>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</si>
  <si>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</si>
  <si>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</si>
  <si>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</si>
  <si>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</si>
  <si>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</si>
  <si>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</si>
  <si>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</si>
  <si>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</si>
  <si>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</si>
  <si>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</si>
  <si>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</si>
  <si>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</si>
  <si>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</si>
  <si>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</si>
  <si>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</si>
  <si>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</si>
  <si>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</si>
  <si>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</si>
  <si>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</si>
  <si>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</si>
  <si>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</si>
  <si>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</si>
  <si>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</si>
  <si>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</si>
  <si>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</si>
  <si>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</si>
  <si>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</si>
  <si>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</si>
  <si>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</si>
  <si>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</si>
  <si>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</si>
  <si>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</si>
  <si>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</si>
  <si>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</si>
  <si>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</si>
  <si>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</si>
  <si>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</si>
  <si>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</si>
  <si>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</si>
  <si>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</si>
  <si>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</si>
  <si>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</si>
  <si>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</si>
  <si>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</si>
  <si>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</si>
  <si>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</si>
  <si>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</si>
  <si>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</si>
  <si>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</si>
  <si>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</si>
  <si>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</si>
  <si>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</si>
  <si>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</si>
  <si>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</si>
  <si>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</si>
  <si>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</si>
  <si>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</si>
  <si>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</si>
  <si>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</si>
  <si>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</si>
  <si>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</si>
  <si>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</si>
  <si>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</si>
  <si>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</si>
  <si>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</si>
  <si>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</si>
  <si>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</si>
  <si>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</si>
  <si>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</si>
  <si>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</si>
  <si>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</si>
  <si>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</si>
  <si>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</si>
  <si>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</si>
  <si>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</si>
  <si>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</si>
  <si>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</si>
  <si>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</si>
  <si>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</si>
  <si>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</si>
  <si>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</si>
  <si>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</si>
  <si>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</si>
  <si>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</si>
  <si>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</si>
  <si>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</si>
  <si>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</si>
  <si>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</si>
  <si>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</si>
  <si>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</si>
  <si>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</si>
  <si>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</si>
  <si>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</si>
  <si>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</si>
  <si>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</si>
  <si>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</si>
  <si>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</si>
  <si>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</si>
  <si>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</si>
  <si>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</si>
  <si>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</si>
  <si>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</si>
  <si>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</si>
  <si>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</si>
  <si>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</si>
  <si>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</si>
  <si>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</si>
  <si>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</si>
  <si>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</si>
  <si>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</si>
  <si>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</si>
  <si>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</si>
  <si>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</si>
  <si>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</si>
  <si>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</si>
  <si>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</si>
  <si>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</si>
  <si>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</si>
  <si>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</si>
  <si>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</si>
  <si>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</si>
  <si>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</si>
  <si>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</si>
  <si>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</si>
  <si>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</si>
  <si>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</si>
  <si>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</si>
  <si>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</si>
  <si>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</si>
  <si>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</si>
  <si>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</si>
  <si>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</si>
  <si>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</si>
  <si>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</si>
  <si>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</si>
  <si>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</si>
  <si>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</si>
  <si>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</si>
  <si>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</si>
  <si>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</si>
  <si>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</si>
  <si>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</si>
  <si>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</si>
  <si>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</si>
  <si>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</si>
  <si>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</si>
  <si>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</si>
  <si>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</si>
  <si>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</si>
  <si>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</si>
  <si>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</si>
  <si>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</si>
  <si>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</si>
  <si>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</si>
  <si>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</si>
  <si>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</si>
  <si>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</si>
  <si>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</si>
  <si>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</si>
  <si>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</si>
  <si>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</si>
  <si>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</si>
  <si>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</si>
  <si>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</si>
  <si>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</si>
  <si>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</si>
  <si>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</si>
  <si>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</si>
  <si>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</si>
  <si>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</si>
  <si>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</si>
  <si>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</si>
  <si>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</si>
  <si>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</si>
  <si>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</si>
  <si>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</si>
  <si>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</si>
  <si>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</si>
  <si>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</si>
  <si>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</si>
  <si>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</si>
  <si>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</si>
  <si>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</si>
  <si>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</si>
  <si>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</si>
  <si>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</si>
  <si>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</si>
  <si>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</si>
  <si>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</si>
  <si>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</si>
  <si>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</si>
  <si>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</si>
  <si>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</si>
  <si>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</si>
  <si>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</si>
  <si>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</si>
  <si>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</si>
  <si>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</si>
  <si>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</si>
  <si>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</si>
  <si>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</si>
  <si>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</si>
  <si>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</si>
  <si>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</si>
  <si>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</si>
  <si>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</si>
  <si>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</si>
  <si>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</si>
  <si>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</si>
  <si>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</si>
  <si>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</si>
  <si>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</si>
  <si>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</si>
  <si>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</si>
  <si>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</si>
  <si>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</si>
  <si>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</si>
  <si>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</si>
  <si>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</si>
  <si>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</si>
  <si>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</si>
  <si>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</si>
  <si>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</si>
  <si>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</si>
  <si>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</si>
  <si>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</si>
  <si>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</si>
  <si>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</si>
  <si>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</si>
  <si>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</si>
  <si>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</si>
  <si>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</si>
  <si>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</si>
  <si>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</si>
  <si>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</si>
  <si>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</si>
  <si>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</si>
  <si>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</si>
  <si>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</si>
  <si>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</si>
  <si>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</si>
  <si>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</si>
  <si>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</si>
  <si>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</si>
  <si>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</si>
  <si>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</si>
  <si>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</si>
  <si>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</si>
  <si>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</si>
  <si>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</si>
  <si>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</si>
  <si>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</si>
  <si>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</si>
  <si>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</si>
  <si>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</si>
  <si>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</si>
  <si>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</si>
  <si>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</si>
  <si>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</si>
  <si>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</si>
  <si>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</si>
  <si>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</si>
  <si>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</si>
  <si>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</si>
  <si>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</si>
  <si>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</si>
  <si>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</si>
  <si>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</si>
  <si>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</si>
  <si>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</si>
  <si>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</si>
  <si>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</si>
  <si>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</si>
  <si>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</si>
  <si>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</si>
  <si>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</si>
  <si>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</si>
  <si>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</si>
  <si>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</si>
  <si>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</si>
  <si>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</si>
  <si>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</si>
  <si>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</si>
  <si>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</si>
  <si>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</si>
  <si>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</si>
  <si>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</si>
  <si>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</si>
  <si>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</si>
  <si>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</si>
  <si>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</si>
  <si>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</si>
  <si>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</si>
  <si>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</si>
  <si>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</si>
  <si>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</si>
  <si>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</si>
  <si>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</si>
  <si>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</si>
  <si>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</si>
  <si>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</si>
  <si>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</si>
  <si>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</si>
  <si>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</si>
  <si>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</si>
  <si>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</si>
  <si>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</si>
  <si>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</si>
  <si>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</si>
  <si>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</si>
  <si>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</si>
  <si>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</si>
  <si>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</si>
  <si>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</si>
  <si>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</si>
  <si>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</si>
  <si>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</si>
  <si>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</si>
  <si>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</si>
  <si>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</si>
  <si>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</si>
  <si>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</si>
  <si>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</si>
  <si>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</si>
  <si>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</si>
  <si>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</si>
  <si>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</si>
  <si>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</si>
  <si>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</si>
  <si>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</si>
  <si>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</si>
  <si>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</si>
  <si>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</si>
  <si>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</si>
  <si>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</si>
  <si>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</si>
  <si>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</si>
  <si>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</si>
  <si>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</si>
  <si>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</si>
  <si>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</si>
  <si>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</si>
  <si>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</si>
  <si>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</si>
  <si>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</si>
  <si>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</si>
  <si>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</si>
  <si>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</si>
  <si>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</si>
  <si>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</si>
  <si>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</si>
  <si>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</si>
  <si>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</si>
  <si>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</si>
  <si>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</si>
  <si>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</si>
  <si>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</si>
  <si>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</si>
  <si>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</si>
  <si>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</si>
  <si>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</si>
  <si>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</si>
  <si>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</si>
  <si>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</si>
  <si>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</si>
  <si>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</si>
  <si>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</si>
  <si>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</si>
  <si>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</si>
  <si>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</si>
  <si>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</si>
  <si>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</si>
  <si>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</si>
  <si>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</si>
  <si>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</si>
  <si>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</si>
  <si>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</si>
  <si>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</si>
  <si>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</si>
  <si>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</si>
  <si>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</si>
  <si>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</si>
  <si>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</si>
  <si>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</si>
  <si>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</si>
  <si>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</si>
  <si>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</si>
  <si>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</si>
  <si>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</si>
  <si>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</si>
  <si>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</si>
  <si>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</si>
  <si>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</si>
  <si>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</si>
  <si>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</si>
  <si>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</si>
  <si>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</si>
  <si>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</si>
  <si>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</si>
  <si>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</si>
  <si>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</si>
  <si>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</si>
  <si>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</si>
  <si>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</si>
  <si>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</si>
  <si>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</si>
  <si>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</si>
  <si>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</si>
  <si>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</si>
  <si>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</si>
  <si>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</si>
  <si>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</si>
  <si>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</si>
  <si>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</si>
  <si>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</si>
  <si>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</si>
  <si>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</si>
  <si>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</si>
  <si>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</si>
  <si>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</si>
  <si>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</si>
  <si>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</si>
  <si>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</si>
  <si>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</si>
  <si>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</si>
  <si>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</si>
  <si>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</si>
  <si>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</si>
  <si>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</si>
  <si>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</si>
  <si>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</si>
  <si>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</si>
  <si>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</si>
  <si>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</si>
  <si>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</si>
  <si>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</si>
  <si>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</si>
  <si>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</si>
  <si>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</si>
  <si>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</si>
  <si>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</si>
  <si>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</si>
  <si>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</si>
  <si>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</si>
  <si>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</si>
  <si>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</si>
  <si>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</si>
  <si>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</si>
  <si>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</si>
  <si>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</si>
  <si>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</si>
  <si>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</si>
  <si>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</si>
  <si>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</si>
  <si>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</si>
  <si>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</si>
  <si>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</si>
  <si>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</si>
  <si>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</si>
  <si>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</si>
  <si>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</si>
  <si>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</si>
  <si>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</si>
  <si>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</si>
  <si>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</si>
  <si>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</si>
  <si>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</si>
  <si>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</si>
  <si>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</si>
  <si>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</si>
  <si>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</si>
  <si>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</si>
  <si>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</si>
  <si>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</si>
  <si>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</si>
  <si>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</si>
  <si>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</si>
  <si>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</si>
  <si>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</si>
  <si>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</si>
  <si>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</si>
  <si>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</si>
  <si>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</si>
  <si>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</si>
  <si>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</si>
  <si>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</si>
  <si>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</si>
  <si>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</si>
  <si>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</si>
  <si>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</si>
  <si>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</si>
  <si>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</si>
  <si>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</si>
  <si>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</si>
  <si>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</si>
  <si>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</si>
  <si>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</si>
  <si>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</si>
  <si>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</si>
  <si>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</si>
  <si>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</si>
  <si>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</si>
  <si>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</si>
  <si>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</si>
  <si>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</si>
  <si>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</si>
  <si>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</si>
  <si>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</si>
  <si>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</si>
  <si>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</si>
  <si>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</si>
  <si>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</si>
  <si>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</si>
  <si>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</si>
  <si>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</si>
  <si>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</si>
  <si>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</si>
  <si>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</si>
  <si>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</si>
  <si>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</si>
  <si>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</si>
  <si>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</si>
  <si>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</si>
  <si>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</si>
  <si>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</si>
  <si>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</si>
  <si>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</si>
  <si>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</si>
  <si>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</si>
  <si>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</si>
  <si>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</si>
  <si>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</si>
  <si>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</si>
  <si>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</si>
  <si>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</si>
  <si>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</si>
  <si>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</si>
  <si>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</si>
  <si>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</si>
  <si>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</si>
  <si>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</si>
  <si>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</si>
  <si>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</si>
  <si>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</si>
  <si>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</si>
  <si>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</si>
  <si>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</si>
  <si>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</si>
  <si>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</si>
  <si>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</si>
  <si>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</si>
  <si>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</si>
  <si>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</si>
  <si>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</si>
  <si>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</si>
  <si>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</si>
  <si>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</si>
  <si>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</si>
  <si>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</si>
  <si>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</si>
  <si>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</si>
  <si>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</si>
  <si>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</si>
  <si>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</si>
  <si>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</si>
  <si>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</si>
  <si>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</si>
  <si>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</si>
  <si>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</si>
  <si>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</si>
  <si>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</si>
  <si>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</si>
  <si>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</si>
  <si>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</si>
  <si>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</si>
  <si>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</si>
  <si>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</si>
  <si>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</si>
  <si>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</si>
  <si>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</si>
  <si>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</si>
  <si>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</si>
  <si>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</si>
  <si>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</si>
  <si>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</si>
  <si>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</si>
  <si>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</si>
  <si>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</si>
  <si>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</si>
  <si>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</si>
  <si>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</si>
  <si>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</si>
  <si>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</si>
  <si>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</si>
  <si>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</si>
  <si>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</si>
  <si>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</si>
  <si>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</si>
  <si>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</si>
  <si>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</si>
  <si>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</si>
  <si>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</si>
  <si>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</si>
  <si>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</si>
  <si>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</si>
  <si>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</si>
  <si>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</si>
  <si>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</si>
  <si>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</si>
  <si>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</si>
  <si>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</si>
  <si>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</si>
  <si>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</si>
  <si>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</si>
  <si>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</si>
  <si>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</si>
  <si>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</si>
  <si>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</si>
  <si>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</si>
  <si>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</si>
  <si>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</si>
  <si>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</si>
  <si>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</si>
  <si>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</si>
  <si>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</si>
  <si>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</si>
  <si>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</si>
  <si>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</si>
  <si>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</si>
  <si>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</si>
  <si>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</si>
  <si>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</si>
  <si>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</si>
  <si>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</si>
  <si>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</si>
  <si>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</si>
  <si>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</si>
  <si>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</si>
  <si>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</si>
  <si>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</si>
  <si>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</si>
  <si>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</si>
  <si>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</si>
  <si>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</si>
  <si>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</si>
  <si>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</si>
  <si>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</si>
  <si>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</si>
  <si>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</si>
  <si>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</si>
  <si>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</si>
  <si>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</si>
  <si>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</si>
  <si>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</si>
  <si>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</si>
  <si>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</si>
  <si>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</si>
  <si>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</si>
  <si>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</si>
  <si>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</si>
  <si>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</si>
  <si>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</si>
  <si>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</si>
  <si>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</si>
  <si>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</si>
  <si>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</si>
  <si>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</si>
  <si>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</si>
  <si>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</si>
  <si>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</si>
  <si>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</si>
  <si>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</si>
  <si>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</si>
  <si>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</si>
  <si>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</si>
  <si>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</si>
  <si>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</si>
  <si>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</si>
  <si>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</si>
  <si>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</si>
  <si>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</si>
  <si>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</si>
  <si>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</si>
  <si>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</si>
  <si>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</si>
  <si>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</si>
  <si>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</si>
  <si>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</si>
  <si>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</si>
  <si>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</si>
  <si>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</si>
  <si>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</si>
  <si>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</si>
  <si>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</si>
  <si>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</si>
  <si>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</si>
  <si>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</si>
  <si>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</si>
  <si>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</si>
  <si>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</si>
  <si>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</si>
  <si>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</si>
  <si>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</si>
  <si>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</si>
  <si>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</si>
  <si>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</si>
  <si>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</si>
  <si>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</si>
  <si>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</si>
  <si>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</si>
  <si>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</si>
  <si>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</si>
  <si>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</si>
  <si>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</si>
  <si>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</si>
  <si>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</si>
  <si>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</si>
  <si>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</si>
  <si>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</si>
  <si>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</si>
  <si>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</si>
  <si>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</si>
  <si>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</si>
  <si>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</si>
  <si>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</si>
  <si>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</si>
  <si>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</si>
  <si>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</si>
  <si>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</si>
  <si>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</si>
  <si>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</si>
  <si>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</si>
  <si>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</si>
  <si>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</si>
  <si>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</si>
  <si>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</si>
  <si>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</si>
  <si>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</si>
  <si>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</si>
  <si>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</si>
  <si>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</si>
  <si>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</si>
  <si>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</si>
  <si>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</si>
  <si>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</si>
  <si>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</si>
  <si>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</si>
  <si>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</si>
  <si>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</si>
  <si>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</si>
  <si>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</si>
  <si>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</si>
  <si>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</si>
  <si>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</si>
  <si>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</si>
  <si>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</si>
  <si>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</si>
  <si>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</si>
  <si>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</si>
  <si>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</si>
  <si>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</si>
  <si>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</si>
  <si>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</si>
  <si>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</si>
  <si>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</si>
  <si>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</si>
  <si>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</si>
  <si>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</si>
  <si>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</si>
  <si>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</si>
  <si>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</si>
  <si>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</si>
  <si>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</si>
  <si>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</si>
  <si>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</si>
  <si>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</si>
  <si>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</si>
  <si>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</si>
  <si>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</si>
  <si>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</si>
  <si>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</si>
  <si>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</si>
  <si>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</si>
  <si>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</si>
  <si>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</si>
  <si>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</si>
  <si>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</si>
  <si>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</si>
  <si>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</si>
  <si>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</si>
  <si>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</si>
  <si>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</si>
  <si>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</si>
  <si>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</si>
  <si>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</si>
  <si>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</si>
  <si>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</si>
  <si>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</si>
  <si>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</si>
  <si>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</si>
  <si>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</si>
  <si>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</si>
  <si>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</si>
  <si>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</si>
  <si>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</si>
  <si>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</si>
  <si>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</si>
  <si>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</si>
  <si>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</si>
  <si>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</si>
  <si>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</si>
  <si>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</si>
  <si>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</si>
  <si>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</si>
  <si>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</si>
  <si>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</si>
  <si>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</si>
  <si>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</si>
  <si>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</si>
  <si>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</si>
  <si>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</si>
  <si>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</si>
  <si>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</si>
  <si>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</si>
  <si>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</si>
  <si>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</si>
  <si>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</si>
  <si>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</si>
  <si>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</si>
  <si>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</si>
  <si>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</si>
  <si>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</si>
  <si>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</si>
  <si>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</si>
  <si>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</si>
  <si>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</si>
  <si>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</si>
  <si>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</si>
  <si>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</si>
  <si>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</si>
  <si>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</si>
  <si>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</si>
  <si>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</si>
  <si>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</si>
  <si>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</si>
  <si>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</si>
  <si>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</si>
  <si>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</si>
  <si>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</si>
  <si>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</si>
  <si>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</si>
  <si>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</si>
  <si>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</si>
  <si>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</si>
  <si>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</si>
  <si>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</si>
  <si>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</si>
  <si>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</si>
  <si>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</si>
  <si>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</si>
  <si>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</si>
  <si>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</si>
  <si>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</si>
  <si>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</si>
  <si>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</si>
  <si>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</si>
  <si>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</si>
  <si>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</si>
  <si>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</si>
  <si>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</si>
  <si>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</si>
  <si>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</si>
  <si>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</si>
  <si>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</si>
  <si>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</si>
  <si>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</si>
  <si>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</si>
  <si>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</si>
  <si>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</si>
  <si>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</si>
  <si>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</si>
  <si>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</si>
  <si>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</si>
  <si>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</si>
  <si>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</si>
  <si>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</si>
  <si>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</si>
  <si>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</si>
  <si>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</si>
  <si>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</si>
  <si>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</si>
  <si>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</si>
  <si>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</si>
  <si>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</si>
  <si>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</si>
  <si>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</si>
  <si>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</si>
  <si>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</si>
  <si>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</si>
  <si>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</si>
  <si>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</si>
  <si>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</si>
  <si>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</si>
  <si>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</si>
  <si>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</si>
  <si>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</si>
  <si>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</si>
  <si>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</si>
  <si>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</si>
  <si>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</si>
  <si>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</si>
  <si>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</si>
  <si>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</si>
  <si>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</si>
  <si>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</si>
  <si>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</si>
  <si>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</si>
  <si>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</si>
  <si>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</si>
  <si>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</si>
  <si>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</si>
  <si>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</si>
  <si>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</si>
  <si>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</si>
  <si>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</si>
  <si>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</si>
  <si>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</si>
  <si>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</si>
  <si>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</si>
  <si>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</si>
  <si>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</si>
  <si>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</si>
  <si>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</si>
  <si>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</si>
  <si>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</si>
  <si>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</si>
  <si>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</si>
  <si>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</si>
  <si>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</si>
  <si>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</si>
  <si>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</si>
  <si>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</si>
  <si>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</si>
  <si>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</si>
  <si>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</si>
  <si>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</si>
  <si>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</si>
  <si>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</si>
  <si>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</si>
  <si>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</si>
  <si>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</si>
  <si>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</si>
  <si>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</si>
  <si>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</si>
  <si>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</si>
  <si>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</si>
  <si>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</si>
  <si>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</si>
  <si>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</si>
  <si>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</si>
  <si>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</si>
  <si>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</si>
  <si>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</si>
  <si>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</si>
  <si>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</si>
  <si>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</si>
  <si>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</si>
  <si>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</si>
  <si>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</si>
  <si>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</si>
  <si>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</si>
  <si>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</si>
  <si>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</si>
  <si>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</si>
  <si>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</si>
  <si>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</si>
  <si>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</si>
  <si>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</si>
  <si>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</si>
  <si>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</si>
  <si>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</si>
  <si>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</si>
  <si>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</si>
  <si>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</si>
  <si>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</si>
  <si>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</si>
  <si>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</si>
  <si>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</si>
  <si>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</si>
  <si>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</si>
  <si>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</si>
  <si>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</si>
  <si>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</si>
  <si>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</si>
  <si>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</si>
  <si>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</si>
  <si>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</si>
  <si>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</si>
  <si>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</si>
  <si>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</si>
  <si>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</si>
  <si>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</si>
  <si>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</si>
  <si>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</si>
  <si>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</si>
  <si>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</si>
  <si>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</si>
  <si>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</si>
  <si>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</si>
  <si>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</si>
  <si>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</si>
  <si>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</si>
  <si>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</si>
  <si>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</si>
  <si>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</si>
  <si>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</si>
  <si>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</si>
  <si>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</si>
  <si>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</si>
  <si>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</si>
  <si>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</si>
  <si>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</si>
  <si>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</si>
  <si>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</si>
  <si>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</si>
  <si>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</si>
  <si>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</si>
  <si>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</si>
  <si>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</si>
  <si>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</si>
  <si>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</si>
  <si>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</si>
  <si>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</si>
  <si>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</si>
  <si>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</si>
  <si>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</si>
  <si>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</si>
  <si>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</si>
  <si>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</si>
  <si>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</si>
  <si>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</si>
  <si>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</si>
  <si>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</si>
  <si>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</si>
  <si>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</si>
  <si>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</si>
  <si>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</si>
  <si>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</si>
  <si>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</si>
  <si>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</si>
  <si>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</si>
  <si>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</si>
  <si>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</si>
  <si>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</si>
  <si>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</si>
  <si>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</si>
  <si>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</si>
  <si>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</si>
  <si>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</si>
  <si>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</si>
  <si>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</si>
  <si>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</si>
  <si>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</si>
  <si>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</si>
  <si>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</si>
  <si>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</si>
  <si>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</si>
  <si>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</si>
  <si>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</si>
  <si>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</si>
  <si>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</si>
  <si>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</si>
  <si>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</si>
  <si>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</si>
  <si>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</si>
  <si>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</si>
  <si>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</si>
  <si>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</si>
  <si>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</si>
  <si>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</si>
  <si>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</si>
  <si>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</si>
  <si>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</si>
  <si>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</si>
  <si>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</si>
  <si>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</si>
  <si>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</si>
  <si>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</si>
  <si>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</si>
  <si>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</si>
  <si>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</si>
  <si>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</si>
  <si>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</si>
  <si>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</si>
  <si>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</si>
  <si>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</si>
  <si>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</si>
  <si>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</si>
  <si>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</si>
  <si>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</si>
  <si>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</si>
  <si>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</si>
  <si>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</si>
  <si>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</si>
  <si>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</si>
  <si>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</si>
  <si>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</si>
  <si>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</si>
  <si>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</si>
  <si>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</si>
  <si>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</si>
  <si>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</si>
  <si>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</si>
  <si>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</si>
  <si>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</si>
  <si>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</si>
  <si>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</si>
  <si>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</si>
  <si>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</si>
  <si>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</si>
  <si>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</si>
  <si>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</si>
  <si>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</si>
  <si>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</si>
  <si>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</si>
  <si>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</si>
  <si>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</si>
  <si>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</si>
  <si>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</si>
  <si>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</si>
  <si>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</si>
  <si>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</si>
  <si>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</si>
  <si>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</si>
  <si>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</si>
  <si>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</si>
  <si>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</si>
  <si>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</si>
  <si>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</si>
  <si>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</si>
  <si>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</si>
  <si>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</si>
  <si>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</si>
  <si>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</si>
  <si>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</si>
  <si>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</si>
  <si>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</si>
  <si>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</si>
  <si>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</si>
  <si>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</si>
  <si>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</si>
  <si>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</si>
  <si>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</si>
  <si>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</si>
  <si>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</si>
  <si>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</si>
  <si>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</si>
  <si>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</si>
  <si>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</si>
  <si>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</si>
  <si>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</si>
  <si>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</si>
  <si>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</si>
  <si>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</si>
  <si>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</si>
  <si>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</si>
  <si>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</si>
  <si>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</si>
  <si>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</si>
  <si>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</si>
  <si>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</si>
  <si>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</si>
  <si>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</si>
  <si>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</si>
  <si>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</si>
  <si>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</si>
  <si>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</si>
  <si>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</si>
  <si>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</si>
  <si>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</si>
  <si>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</si>
  <si>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</si>
  <si>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</si>
  <si>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</si>
  <si>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</si>
  <si>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</si>
  <si>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</si>
  <si>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</si>
  <si>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</si>
  <si>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</si>
  <si>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</si>
  <si>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</si>
  <si>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</si>
  <si>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</si>
  <si>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</si>
  <si>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</si>
  <si>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</si>
  <si>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</si>
  <si>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</si>
  <si>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</si>
  <si>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</si>
  <si>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</si>
  <si>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</si>
  <si>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</si>
  <si>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</si>
  <si>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</si>
  <si>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</si>
  <si>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</si>
  <si>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</si>
  <si>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</si>
  <si>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</si>
  <si>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</si>
  <si>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</si>
  <si>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</si>
  <si>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</si>
  <si>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</si>
  <si>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</si>
  <si>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</si>
  <si>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</si>
  <si>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</si>
  <si>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</si>
  <si>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</si>
  <si>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</si>
  <si>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</si>
  <si>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</si>
  <si>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</si>
  <si>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</si>
  <si>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</si>
  <si>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</si>
  <si>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</si>
  <si>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</si>
  <si>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</si>
  <si>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</si>
  <si>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</si>
  <si>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</si>
  <si>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</si>
  <si>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</si>
  <si>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</si>
  <si>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</si>
  <si>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</si>
  <si>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</si>
  <si>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</si>
  <si>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</si>
  <si>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</si>
  <si>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</si>
  <si>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</si>
  <si>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</si>
  <si>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</si>
  <si>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</si>
  <si>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</si>
  <si>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</si>
  <si>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</si>
  <si>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</si>
  <si>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</si>
  <si>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</si>
  <si>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</si>
  <si>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</si>
  <si>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</si>
  <si>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</si>
  <si>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</si>
  <si>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</si>
  <si>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</si>
  <si>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</si>
  <si>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</si>
  <si>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</si>
  <si>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</si>
  <si>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</si>
  <si>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</si>
  <si>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</si>
  <si>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</si>
  <si>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</si>
  <si>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</si>
  <si>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</si>
  <si>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</si>
  <si>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</si>
  <si>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</si>
  <si>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</si>
  <si>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</si>
  <si>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</si>
  <si>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</si>
  <si>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</si>
  <si>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</si>
  <si>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</si>
  <si>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</si>
  <si>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</si>
  <si>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</si>
  <si>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</si>
  <si>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</si>
  <si>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</si>
  <si>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</si>
  <si>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</si>
  <si>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</si>
  <si>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</si>
  <si>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</si>
  <si>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</si>
  <si>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</si>
  <si>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</si>
  <si>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</si>
  <si>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</si>
  <si>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</si>
  <si>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</si>
  <si>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</si>
  <si>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</si>
  <si>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</si>
  <si>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</si>
  <si>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</si>
  <si>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</si>
  <si>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</si>
  <si>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</si>
  <si>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</si>
  <si>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</si>
  <si>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</si>
  <si>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</si>
  <si>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</si>
  <si>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</si>
  <si>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</si>
  <si>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</si>
  <si>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</si>
  <si>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</si>
  <si>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</si>
  <si>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</si>
  <si>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</si>
  <si>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</si>
  <si>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</si>
  <si>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</si>
  <si>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</si>
  <si>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</si>
  <si>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</si>
  <si>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</si>
  <si>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</si>
  <si>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</si>
  <si>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</si>
  <si>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</si>
  <si>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</si>
  <si>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</si>
  <si>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</si>
  <si>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</si>
  <si>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</si>
  <si>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</si>
  <si>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</si>
  <si>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</si>
  <si>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</si>
  <si>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</si>
  <si>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</si>
  <si>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</si>
  <si>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</si>
  <si>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</si>
  <si>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</si>
  <si>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</si>
  <si>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</si>
  <si>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</si>
  <si>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</si>
  <si>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</si>
  <si>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</si>
  <si>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</si>
  <si>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</si>
  <si>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</si>
  <si>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</si>
  <si>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</si>
  <si>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</si>
  <si>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</si>
  <si>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</si>
  <si>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</si>
  <si>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</si>
  <si>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</si>
  <si>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</si>
  <si>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</si>
  <si>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</si>
  <si>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</si>
  <si>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</si>
  <si>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</si>
  <si>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</si>
  <si>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</si>
  <si>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</si>
  <si>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</si>
  <si>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</si>
  <si>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</si>
  <si>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</si>
  <si>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</si>
  <si>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</si>
  <si>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</si>
  <si>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</si>
  <si>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</si>
  <si>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</si>
  <si>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</si>
  <si>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</si>
  <si>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</si>
  <si>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</si>
  <si>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</si>
  <si>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</si>
  <si>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</si>
  <si>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</si>
  <si>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</si>
  <si>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</si>
  <si>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</si>
  <si>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</si>
  <si>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</si>
  <si>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</si>
  <si>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</si>
  <si>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</si>
  <si>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</si>
  <si>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</si>
  <si>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</si>
  <si>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</si>
  <si>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</si>
  <si>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</si>
  <si>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</si>
  <si>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</si>
  <si>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</si>
  <si>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</si>
  <si>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</si>
  <si>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</si>
  <si>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</si>
  <si>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</si>
  <si>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</si>
  <si>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</si>
  <si>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</si>
  <si>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</si>
  <si>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</si>
  <si>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</si>
  <si>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</si>
  <si>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</si>
  <si>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</si>
  <si>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</si>
  <si>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</si>
  <si>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</si>
  <si>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</si>
  <si>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</si>
  <si>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</si>
  <si>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</si>
  <si>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</si>
  <si>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</si>
  <si>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</si>
  <si>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</si>
  <si>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</si>
  <si>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</si>
  <si>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</si>
  <si>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</si>
  <si>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</si>
  <si>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</si>
  <si>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</si>
  <si>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</si>
  <si>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</si>
  <si>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</si>
  <si>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</si>
  <si>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</si>
  <si>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</si>
  <si>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</si>
  <si>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</si>
  <si>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</si>
  <si>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</si>
  <si>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</si>
  <si>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</si>
  <si>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</si>
  <si>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</si>
  <si>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</si>
  <si>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</si>
  <si>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</si>
  <si>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</si>
  <si>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</si>
  <si>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</si>
  <si>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</si>
  <si>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</si>
  <si>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</si>
  <si>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</si>
  <si>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</si>
  <si>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</si>
  <si>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</si>
  <si>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</si>
  <si>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</si>
  <si>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</si>
  <si>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</si>
  <si>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</si>
  <si>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</si>
  <si>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</si>
  <si>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</si>
  <si>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</si>
  <si>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</si>
  <si>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</si>
  <si>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</si>
  <si>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</si>
  <si>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</si>
  <si>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</si>
  <si>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</si>
  <si>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</si>
  <si>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</si>
  <si>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</si>
  <si>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</si>
  <si>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</si>
  <si>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</si>
  <si>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</si>
  <si>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</si>
  <si>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</si>
  <si>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</si>
  <si>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</si>
  <si>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</si>
  <si>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</si>
  <si>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</si>
  <si>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</si>
  <si>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</si>
  <si>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</si>
  <si>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</si>
  <si>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</si>
  <si>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</si>
  <si>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</si>
  <si>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</si>
  <si>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</si>
  <si>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</si>
  <si>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</si>
  <si>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</si>
  <si>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</si>
  <si>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</si>
  <si>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</si>
  <si>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</si>
  <si>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</si>
  <si>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</si>
  <si>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</si>
  <si>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</si>
  <si>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</si>
  <si>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</si>
  <si>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</si>
  <si>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</si>
  <si>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</si>
  <si>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</si>
  <si>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</si>
  <si>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</si>
  <si>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</si>
  <si>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</si>
  <si>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</si>
  <si>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</si>
  <si>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</si>
  <si>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</si>
  <si>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</si>
  <si>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</si>
  <si>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</si>
  <si>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</si>
  <si>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</si>
  <si>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</si>
  <si>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</si>
  <si>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</si>
  <si>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</si>
  <si>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</si>
  <si>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</si>
  <si>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</si>
  <si>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</si>
  <si>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</si>
  <si>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</si>
  <si>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</si>
  <si>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</si>
  <si>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</si>
  <si>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</si>
  <si>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</si>
  <si>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</si>
  <si>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</si>
  <si>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</si>
  <si>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</si>
  <si>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</si>
  <si>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</si>
  <si>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</si>
  <si>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</si>
  <si>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</si>
  <si>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</si>
  <si>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</si>
  <si>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</si>
  <si>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</si>
  <si>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</si>
  <si>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</si>
  <si>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</si>
  <si>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</si>
  <si>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</si>
  <si>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</si>
  <si>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</si>
  <si>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</si>
  <si>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</si>
  <si>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</si>
  <si>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</si>
  <si>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</si>
  <si>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</si>
  <si>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</si>
  <si>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</si>
  <si>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</si>
  <si>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</si>
  <si>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</si>
  <si>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</si>
  <si>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</si>
  <si>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</si>
  <si>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</si>
  <si>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</si>
  <si>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</si>
  <si>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</si>
  <si>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</si>
  <si>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</si>
  <si>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</si>
  <si>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</si>
  <si>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</si>
  <si>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</si>
  <si>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</si>
  <si>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</si>
  <si>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</si>
  <si>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</si>
  <si>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</si>
  <si>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</si>
  <si>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</si>
  <si>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</si>
  <si>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</si>
  <si>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</si>
  <si>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</si>
  <si>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</si>
  <si>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</si>
  <si>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</si>
  <si>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</si>
  <si>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</si>
  <si>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</si>
  <si>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</si>
  <si>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</si>
  <si>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</si>
  <si>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</si>
  <si>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</si>
  <si>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</si>
  <si>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</si>
  <si>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</si>
  <si>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</si>
  <si>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</si>
  <si>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</si>
  <si>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</si>
  <si>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</si>
  <si>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</si>
  <si>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</si>
  <si>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</si>
  <si>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</si>
  <si>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</si>
  <si>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</si>
  <si>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</si>
  <si>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</si>
  <si>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</si>
  <si>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</si>
  <si>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</si>
  <si>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</si>
  <si>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</si>
  <si>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</si>
  <si>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</si>
  <si>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</si>
  <si>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</si>
  <si>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</si>
  <si>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</si>
  <si>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</si>
  <si>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</si>
  <si>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</si>
  <si>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</si>
  <si>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</si>
  <si>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</si>
  <si>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</si>
  <si>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</si>
  <si>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</si>
  <si>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</si>
  <si>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</si>
  <si>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</si>
  <si>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</si>
  <si>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</si>
  <si>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</si>
  <si>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</si>
  <si>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</si>
  <si>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</si>
  <si>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</si>
  <si>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</si>
  <si>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</si>
  <si>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</si>
  <si>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</si>
  <si>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</si>
  <si>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</si>
  <si>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</si>
  <si>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</si>
  <si>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</si>
  <si>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</si>
  <si>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</si>
  <si>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</si>
  <si>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</si>
  <si>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</si>
  <si>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</si>
  <si>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</si>
  <si>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</si>
  <si>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</si>
  <si>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</si>
  <si>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</si>
  <si>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</si>
  <si>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</si>
  <si>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</si>
  <si>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</si>
  <si>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</si>
  <si>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</si>
  <si>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</si>
  <si>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</si>
  <si>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</si>
  <si>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</si>
  <si>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</si>
  <si>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</si>
  <si>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</si>
  <si>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</si>
  <si>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</si>
  <si>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</si>
  <si>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</si>
  <si>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</si>
  <si>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</si>
  <si>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</si>
  <si>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</si>
  <si>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</si>
  <si>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</si>
  <si>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</si>
  <si>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</si>
  <si>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</si>
  <si>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</si>
  <si>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</si>
  <si>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</si>
  <si>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</si>
  <si>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</si>
  <si>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</si>
  <si>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</si>
  <si>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</si>
  <si>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</si>
  <si>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</si>
  <si>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</si>
  <si>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</si>
  <si>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</si>
  <si>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</si>
  <si>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</si>
  <si>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</si>
  <si>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</si>
  <si>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</si>
  <si>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</si>
  <si>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</si>
  <si>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</si>
  <si>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</si>
  <si>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</si>
  <si>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</si>
  <si>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</si>
  <si>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</si>
  <si>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</si>
  <si>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</si>
  <si>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</si>
  <si>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</si>
  <si>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</si>
  <si>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</si>
  <si>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</si>
  <si>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</si>
  <si>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</si>
  <si>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</si>
  <si>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</si>
  <si>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</si>
  <si>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</si>
  <si>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</si>
  <si>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</si>
  <si>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</si>
  <si>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</si>
  <si>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</si>
  <si>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</si>
  <si>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</si>
  <si>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</si>
  <si>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</si>
  <si>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</si>
  <si>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</si>
  <si>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</si>
  <si>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</si>
  <si>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</si>
  <si>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</si>
  <si>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</si>
  <si>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</si>
  <si>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</si>
  <si>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</si>
  <si>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</si>
  <si>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</si>
  <si>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</si>
  <si>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</si>
  <si>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</si>
  <si>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</si>
  <si>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</si>
  <si>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</si>
  <si>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</si>
  <si>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</si>
  <si>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</si>
  <si>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</si>
  <si>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</si>
  <si>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</si>
  <si>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</si>
  <si>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</si>
  <si>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</si>
  <si>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</si>
  <si>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</si>
  <si>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</si>
  <si>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</si>
  <si>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</si>
  <si>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</si>
  <si>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</si>
  <si>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</si>
  <si>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</si>
  <si>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</si>
  <si>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</si>
  <si>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</si>
  <si>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</si>
  <si>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</si>
  <si>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</si>
  <si>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</si>
  <si>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</si>
  <si>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</si>
  <si>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</si>
  <si>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</si>
  <si>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</si>
  <si>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</si>
  <si>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</si>
  <si>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</si>
  <si>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</si>
  <si>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</si>
  <si>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</si>
  <si>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</si>
  <si>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</si>
  <si>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</si>
  <si>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</si>
  <si>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</si>
  <si>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</si>
  <si>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</si>
  <si>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</si>
  <si>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</si>
  <si>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</si>
  <si>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</si>
  <si>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</si>
  <si>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</si>
  <si>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</si>
  <si>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</si>
  <si>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</si>
  <si>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</si>
  <si>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</si>
  <si>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</si>
  <si>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</si>
  <si>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</si>
  <si>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</si>
  <si>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</si>
  <si>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</si>
  <si>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</si>
  <si>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</si>
  <si>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</si>
  <si>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</si>
  <si>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</si>
  <si>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</si>
  <si>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</si>
  <si>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</si>
  <si>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</si>
  <si>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</si>
  <si>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</si>
  <si>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</si>
  <si>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</si>
  <si>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</si>
  <si>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</si>
  <si>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</si>
  <si>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</si>
  <si>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</si>
  <si>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</si>
  <si>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</si>
  <si>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</si>
  <si>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</si>
  <si>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</si>
  <si>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</si>
  <si>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</si>
  <si>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</si>
  <si>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</si>
  <si>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</si>
  <si>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</si>
  <si>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</si>
  <si>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</si>
  <si>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</si>
  <si>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</si>
  <si>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</si>
  <si>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</si>
  <si>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</si>
  <si>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</si>
  <si>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</si>
  <si>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</si>
  <si>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</si>
  <si>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</si>
  <si>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</si>
  <si>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</si>
  <si>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</si>
  <si>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</si>
  <si>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</si>
  <si>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</si>
  <si>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</si>
  <si>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</si>
  <si>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</si>
  <si>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</si>
  <si>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</si>
  <si>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</si>
  <si>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</si>
  <si>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</si>
  <si>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</si>
  <si>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</si>
  <si>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</si>
  <si>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</si>
  <si>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</si>
  <si>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</si>
  <si>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</si>
  <si>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</si>
  <si>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</si>
  <si>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</si>
  <si>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</si>
  <si>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</si>
  <si>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</si>
  <si>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</si>
  <si>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</si>
  <si>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</si>
  <si>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</si>
  <si>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</si>
  <si>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</si>
  <si>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</si>
  <si>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</si>
  <si>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</si>
  <si>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</si>
  <si>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</si>
  <si>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</si>
  <si>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</si>
  <si>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</si>
  <si>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</si>
  <si>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</si>
  <si>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</si>
  <si>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</si>
  <si>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</si>
  <si>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</si>
  <si>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</si>
  <si>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</si>
  <si>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</si>
  <si>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</si>
  <si>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</si>
  <si>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</si>
  <si>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</si>
  <si>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</si>
  <si>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</si>
  <si>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</si>
  <si>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</si>
  <si>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</si>
  <si>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</si>
  <si>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</si>
  <si>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</si>
  <si>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</si>
  <si>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</si>
  <si>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</si>
  <si>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</si>
  <si>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</si>
  <si>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</si>
  <si>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</si>
  <si>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</si>
  <si>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</si>
  <si>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</si>
  <si>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</si>
  <si>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</si>
  <si>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</si>
  <si>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</si>
  <si>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</si>
  <si>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</si>
  <si>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</si>
  <si>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</si>
  <si>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</si>
  <si>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</si>
  <si>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</si>
  <si>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</si>
  <si>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</si>
  <si>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</si>
  <si>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</si>
  <si>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</si>
  <si>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</si>
  <si>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</si>
  <si>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</si>
  <si>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</si>
  <si>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</si>
  <si>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</si>
  <si>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</si>
  <si>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</si>
  <si>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</si>
  <si>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</si>
  <si>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</si>
  <si>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</si>
  <si>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</si>
  <si>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</si>
  <si>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</si>
  <si>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</si>
  <si>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</si>
  <si>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</si>
  <si>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</si>
  <si>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</si>
  <si>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</si>
  <si>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</si>
  <si>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</si>
  <si>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</si>
  <si>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</si>
  <si>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</si>
  <si>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</si>
  <si>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</si>
  <si>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</si>
  <si>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</si>
  <si>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</si>
  <si>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</si>
  <si>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</si>
  <si>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</si>
  <si>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</si>
  <si>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</si>
  <si>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</si>
  <si>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</si>
  <si>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</si>
  <si>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</si>
  <si>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</si>
  <si>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</si>
  <si>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</si>
  <si>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</si>
  <si>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</si>
  <si>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</si>
  <si>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</si>
  <si>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</si>
  <si>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</si>
  <si>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</si>
  <si>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</si>
  <si>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</si>
  <si>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</si>
  <si>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</si>
  <si>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</si>
  <si>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</si>
  <si>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</si>
  <si>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</si>
  <si>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</si>
  <si>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</si>
  <si>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</si>
  <si>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</si>
  <si>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</si>
  <si>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</si>
  <si>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</si>
  <si>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</si>
  <si>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</si>
  <si>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</si>
  <si>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</si>
  <si>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</si>
  <si>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</si>
  <si>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</si>
  <si>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</si>
  <si>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</si>
  <si>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</si>
  <si>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</si>
  <si>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</si>
  <si>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</si>
  <si>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</si>
  <si>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</si>
  <si>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</si>
  <si>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</si>
  <si>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</si>
  <si>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</si>
  <si>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</si>
  <si>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</si>
  <si>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</si>
  <si>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</si>
  <si>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</si>
  <si>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</si>
  <si>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</si>
  <si>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</si>
  <si>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</si>
  <si>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</si>
  <si>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</si>
  <si>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</si>
  <si>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</si>
  <si>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</si>
  <si>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</si>
  <si>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</si>
  <si>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</si>
  <si>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</si>
  <si>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</si>
  <si>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</si>
  <si>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</si>
  <si>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</si>
  <si>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</si>
  <si>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</si>
  <si>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</si>
  <si>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</si>
  <si>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</si>
  <si>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</si>
  <si>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</si>
  <si>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</si>
  <si>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</si>
  <si>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</si>
  <si>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</si>
  <si>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</si>
  <si>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</si>
  <si>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</si>
  <si>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</si>
  <si>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</si>
  <si>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</si>
  <si>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</si>
  <si>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</si>
  <si>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</si>
  <si>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</si>
  <si>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</si>
  <si>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</si>
  <si>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</si>
  <si>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</si>
  <si>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</si>
  <si>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</si>
  <si>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</si>
  <si>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</si>
  <si>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</si>
  <si>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</si>
  <si>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</si>
  <si>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</si>
  <si>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</si>
  <si>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</si>
  <si>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</si>
  <si>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</si>
  <si>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</si>
  <si>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</si>
  <si>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</si>
  <si>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</si>
  <si>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</si>
  <si>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</si>
  <si>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</si>
  <si>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</si>
  <si>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</si>
  <si>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</si>
  <si>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</si>
  <si>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</si>
  <si>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</si>
  <si>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</si>
  <si>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</si>
  <si>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</si>
  <si>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</si>
  <si>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</si>
  <si>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</si>
  <si>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</si>
  <si>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</si>
  <si>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</si>
  <si>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</si>
  <si>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</si>
  <si>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</si>
  <si>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</si>
  <si>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</si>
  <si>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</si>
  <si>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</si>
  <si>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</si>
  <si>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</si>
  <si>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</si>
  <si>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</si>
  <si>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</si>
  <si>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</si>
  <si>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</si>
  <si>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</si>
  <si>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</si>
  <si>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</si>
  <si>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</si>
  <si>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</si>
  <si>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</si>
  <si>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</si>
  <si>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</si>
  <si>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</si>
  <si>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</si>
  <si>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</si>
  <si>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</si>
  <si>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</si>
  <si>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</si>
  <si>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</si>
  <si>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</si>
  <si>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</si>
  <si>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</si>
  <si>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</si>
  <si>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</si>
  <si>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</si>
  <si>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</si>
  <si>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</si>
  <si>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</si>
  <si>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</si>
  <si>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</si>
  <si>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</si>
  <si>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</si>
  <si>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</si>
  <si>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</si>
  <si>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</si>
  <si>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</si>
  <si>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</si>
  <si>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</si>
  <si>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</si>
  <si>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</si>
  <si>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</si>
  <si>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</si>
  <si>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</si>
  <si>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</si>
  <si>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</si>
  <si>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</si>
  <si>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</si>
  <si>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</si>
  <si>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</si>
  <si>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</si>
  <si>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</si>
  <si>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</si>
  <si>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</si>
  <si>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</si>
  <si>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</si>
  <si>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</si>
  <si>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</si>
  <si>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</si>
  <si>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</si>
  <si>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</si>
  <si>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</si>
  <si>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</si>
  <si>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</si>
  <si>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</si>
  <si>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</si>
  <si>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</si>
  <si>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</si>
  <si>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</si>
  <si>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</si>
  <si>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</si>
  <si>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</si>
  <si>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</si>
  <si>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</si>
  <si>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</si>
  <si>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</si>
  <si>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</si>
  <si>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</si>
  <si>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</si>
  <si>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</si>
  <si>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</si>
  <si>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</si>
  <si>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</si>
  <si>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</si>
  <si>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</si>
  <si>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</si>
  <si>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</si>
  <si>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</si>
  <si>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</si>
  <si>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</si>
  <si>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</si>
  <si>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</si>
  <si>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</si>
  <si>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</si>
  <si>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</si>
  <si>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</si>
  <si>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</si>
  <si>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</si>
  <si>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</si>
  <si>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</si>
  <si>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</si>
  <si>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</si>
  <si>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</si>
  <si>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</si>
  <si>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</si>
  <si>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</si>
  <si>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</si>
  <si>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</si>
  <si>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</si>
  <si>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</si>
  <si>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</si>
  <si>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</si>
  <si>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</si>
  <si>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</si>
  <si>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</si>
  <si>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</si>
  <si>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</si>
  <si>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</si>
  <si>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</si>
  <si>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</si>
  <si>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</si>
  <si>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</si>
  <si>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</si>
  <si>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</si>
  <si>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</si>
  <si>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</si>
  <si>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</si>
  <si>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</si>
  <si>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</si>
  <si>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</si>
  <si>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</si>
  <si>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</si>
  <si>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</si>
  <si>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</si>
  <si>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</si>
  <si>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</si>
  <si>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</si>
  <si>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</si>
  <si>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</si>
  <si>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</si>
  <si>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</si>
  <si>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</si>
  <si>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</si>
  <si>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</si>
  <si>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</si>
  <si>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</si>
  <si>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</si>
  <si>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</si>
  <si>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</si>
  <si>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</si>
  <si>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</si>
  <si>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</si>
  <si>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</si>
  <si>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</si>
  <si>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</si>
  <si>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</si>
  <si>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</si>
  <si>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</si>
  <si>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</si>
  <si>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</si>
  <si>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</si>
  <si>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</si>
  <si>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</si>
  <si>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</si>
  <si>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</si>
  <si>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</si>
  <si>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</si>
  <si>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</si>
  <si>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</si>
  <si>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</si>
  <si>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</si>
  <si>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</si>
  <si>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</si>
  <si>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</si>
  <si>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</si>
  <si>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</si>
  <si>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</si>
  <si>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</si>
  <si>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</si>
  <si>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</si>
  <si>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</si>
  <si>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</si>
  <si>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</si>
  <si>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</si>
  <si>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</si>
  <si>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</si>
  <si>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</si>
  <si>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</si>
  <si>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</si>
  <si>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</si>
  <si>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</si>
  <si>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</si>
  <si>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</si>
  <si>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</si>
  <si>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</si>
  <si>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</si>
  <si>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</si>
  <si>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</si>
  <si>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</si>
  <si>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</si>
  <si>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</si>
  <si>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</si>
  <si>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</si>
  <si>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</si>
  <si>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</si>
  <si>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</si>
  <si>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</si>
  <si>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</si>
  <si>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</si>
  <si>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</si>
  <si>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</si>
  <si>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</si>
  <si>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</si>
  <si>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</si>
  <si>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</si>
  <si>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</si>
  <si>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</si>
  <si>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</si>
  <si>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</si>
  <si>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</si>
  <si>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</si>
  <si>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</si>
  <si>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</si>
  <si>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</si>
  <si>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</si>
  <si>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</si>
  <si>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</si>
  <si>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</si>
  <si>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</si>
  <si>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</si>
  <si>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</si>
  <si>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</si>
  <si>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</si>
  <si>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</si>
  <si>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</si>
  <si>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</si>
  <si>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</si>
  <si>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</si>
  <si>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</si>
  <si>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</si>
  <si>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</si>
  <si>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</si>
  <si>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</si>
  <si>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</si>
  <si>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</si>
  <si>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</si>
  <si>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</si>
  <si>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</si>
  <si>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</si>
  <si>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</si>
  <si>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</si>
  <si>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</si>
  <si>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</si>
  <si>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</si>
  <si>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</si>
  <si>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</si>
  <si>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</si>
  <si>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</si>
  <si>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</si>
  <si>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</si>
  <si>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</si>
  <si>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</si>
  <si>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</si>
  <si>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</si>
  <si>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</si>
  <si>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</si>
  <si>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</si>
  <si>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</si>
  <si>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</si>
  <si>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</si>
  <si>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</si>
  <si>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</si>
  <si>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</si>
  <si>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</si>
  <si>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</si>
  <si>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</si>
  <si>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</si>
  <si>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</si>
  <si>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</si>
  <si>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</si>
  <si>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</si>
  <si>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</si>
  <si>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</si>
  <si>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</si>
  <si>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</si>
  <si>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</si>
  <si>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</si>
  <si>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</si>
  <si>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</si>
  <si>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</si>
  <si>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</si>
  <si>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</si>
  <si>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</si>
  <si>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</si>
  <si>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</si>
  <si>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</si>
  <si>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</si>
  <si>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</si>
  <si>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</si>
  <si>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</si>
  <si>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</si>
  <si>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</si>
  <si>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</si>
  <si>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</si>
  <si>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</si>
  <si>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</si>
  <si>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</si>
  <si>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</si>
  <si>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</si>
  <si>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</si>
  <si>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</si>
  <si>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</si>
  <si>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</si>
  <si>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</si>
  <si>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</si>
  <si>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</si>
  <si>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</si>
  <si>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</si>
  <si>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</si>
  <si>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</si>
  <si>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</si>
  <si>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</si>
  <si>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</si>
  <si>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</si>
  <si>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</si>
  <si>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</si>
  <si>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</si>
  <si>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</si>
  <si>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</si>
  <si>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</si>
  <si>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</si>
  <si>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</si>
  <si>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</si>
  <si>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</si>
  <si>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</si>
  <si>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</si>
  <si>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</si>
  <si>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</si>
  <si>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</si>
  <si>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</si>
  <si>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</si>
  <si>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</si>
  <si>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</si>
  <si>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</si>
  <si>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</si>
  <si>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</si>
  <si>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</si>
  <si>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</si>
  <si>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</si>
  <si>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</si>
  <si>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</si>
  <si>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</si>
  <si>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</si>
  <si>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</si>
  <si>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</si>
  <si>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</si>
  <si>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</si>
  <si>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</si>
  <si>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</si>
  <si>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</si>
  <si>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</si>
  <si>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</si>
  <si>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</si>
  <si>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</si>
  <si>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</si>
  <si>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</si>
  <si>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</si>
  <si>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</si>
  <si>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</si>
  <si>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</si>
  <si>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</si>
  <si>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</si>
  <si>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</si>
  <si>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</si>
  <si>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</si>
  <si>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</si>
  <si>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</si>
  <si>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</si>
  <si>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</si>
  <si>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</si>
  <si>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</si>
  <si>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</si>
  <si>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</si>
  <si>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</si>
  <si>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</si>
  <si>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</si>
  <si>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</si>
  <si>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</si>
  <si>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</si>
  <si>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</si>
  <si>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</si>
  <si>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</si>
  <si>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</si>
  <si>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</si>
  <si>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</si>
  <si>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</si>
  <si>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</si>
  <si>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</si>
  <si>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</si>
  <si>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</si>
  <si>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</si>
  <si>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</si>
  <si>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</si>
  <si>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</si>
  <si>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</si>
  <si>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</si>
  <si>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</si>
  <si>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</si>
  <si>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</si>
  <si>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</si>
  <si>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</si>
  <si>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</si>
  <si>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</si>
  <si>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</si>
  <si>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</si>
  <si>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</si>
  <si>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</si>
  <si>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</si>
  <si>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</si>
  <si>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</si>
  <si>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</si>
  <si>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</si>
  <si>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</si>
  <si>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</si>
  <si>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</si>
  <si>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</si>
  <si>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</si>
  <si>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</si>
  <si>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</si>
  <si>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</si>
  <si>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</si>
  <si>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</si>
  <si>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</si>
  <si>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</si>
  <si>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</si>
  <si>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</si>
  <si>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</si>
  <si>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</si>
  <si>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</si>
  <si>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</si>
  <si>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</si>
  <si>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</si>
  <si>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</si>
  <si>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</si>
  <si>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</si>
  <si>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</si>
  <si>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</si>
  <si>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</si>
  <si>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</si>
  <si>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</si>
  <si>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</si>
  <si>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</si>
  <si>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</si>
  <si>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</si>
  <si>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</si>
  <si>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</si>
  <si>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</si>
  <si>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</si>
  <si>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</si>
  <si>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</si>
  <si>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</si>
  <si>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</si>
  <si>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</si>
  <si>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</si>
  <si>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</si>
  <si>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</si>
  <si>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</si>
  <si>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</si>
  <si>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</si>
  <si>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</si>
  <si>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</si>
  <si>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</si>
  <si>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</si>
  <si>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</si>
  <si>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</si>
  <si>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</si>
  <si>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</si>
  <si>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</si>
  <si>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</si>
  <si>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</si>
  <si>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</si>
  <si>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</si>
  <si>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</si>
  <si>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</si>
  <si>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</si>
  <si>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</si>
  <si>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</si>
  <si>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</si>
  <si>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</si>
  <si>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</si>
  <si>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</si>
  <si>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</si>
  <si>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</si>
  <si>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</si>
  <si>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</si>
  <si>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</si>
  <si>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</si>
  <si>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</si>
  <si>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</si>
  <si>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</si>
  <si>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</si>
  <si>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</si>
  <si>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</si>
  <si>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</si>
  <si>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</si>
  <si>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</si>
  <si>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</si>
  <si>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</si>
  <si>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</si>
  <si>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</si>
  <si>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</si>
  <si>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</si>
  <si>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</si>
  <si>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</si>
  <si>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</si>
  <si>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</si>
  <si>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</si>
  <si>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</si>
  <si>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</si>
  <si>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</si>
  <si>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</si>
  <si>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</si>
  <si>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</si>
  <si>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</si>
  <si>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</si>
  <si>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</si>
  <si>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</si>
  <si>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</si>
  <si>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</si>
  <si>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</si>
  <si>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</si>
  <si>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</si>
  <si>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</si>
  <si>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</si>
  <si>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</si>
  <si>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</si>
  <si>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</si>
  <si>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</si>
  <si>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</si>
  <si>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</si>
  <si>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</si>
  <si>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</si>
  <si>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</si>
  <si>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</si>
  <si>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</si>
  <si>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</si>
  <si>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</si>
  <si>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</si>
  <si>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</si>
  <si>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</si>
  <si>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</si>
  <si>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</si>
  <si>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</si>
  <si>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</si>
  <si>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</si>
  <si>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</si>
  <si>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</si>
  <si>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</si>
  <si>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</si>
  <si>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</si>
  <si>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</si>
  <si>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</si>
  <si>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</si>
  <si>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</si>
  <si>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</si>
  <si>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</si>
  <si>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</si>
  <si>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</si>
  <si>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</si>
  <si>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</si>
  <si>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</si>
  <si>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</si>
  <si>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</si>
  <si>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</si>
  <si>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</si>
  <si>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</si>
  <si>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</si>
  <si>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</si>
  <si>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</si>
  <si>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r>
      <rPr>
        <sz val="10"/>
        <color theme="9" tint="-0.249977111117893"/>
        <rFont val="宋体"/>
        <family val="3"/>
        <charset val="134"/>
      </rPr>
      <t>海淀区忍冬路</t>
    </r>
    <r>
      <rPr>
        <sz val="10"/>
        <color theme="9" tint="-0.249977111117893"/>
        <rFont val="Arial"/>
        <family val="2"/>
      </rPr>
      <t>5</t>
    </r>
    <r>
      <rPr>
        <sz val="10"/>
        <color theme="9" tint="-0.249977111117893"/>
        <rFont val="宋体"/>
        <family val="3"/>
        <charset val="134"/>
      </rPr>
      <t>号院</t>
    </r>
    <phoneticPr fontId="6" type="noConversion"/>
  </si>
  <si>
    <t>企业</t>
  </si>
  <si>
    <t>北京万毓房地产开发有限公司</t>
    <phoneticPr fontId="6" type="noConversion"/>
  </si>
  <si>
    <t>通路</t>
  </si>
  <si>
    <t>通电</t>
  </si>
  <si>
    <t>通讯</t>
  </si>
  <si>
    <t>通上水</t>
  </si>
  <si>
    <t>通下水</t>
  </si>
  <si>
    <t>通热</t>
  </si>
  <si>
    <t>燃气</t>
  </si>
  <si>
    <t>光大银行</t>
    <phoneticPr fontId="6" type="noConversion"/>
  </si>
  <si>
    <r>
      <t>1</t>
    </r>
    <r>
      <rPr>
        <sz val="10"/>
        <color indexed="8"/>
        <rFont val="宋体"/>
        <family val="3"/>
        <charset val="134"/>
      </rPr>
      <t>号楼</t>
    </r>
    <phoneticPr fontId="3" type="noConversion"/>
  </si>
  <si>
    <t>地上</t>
  </si>
  <si>
    <t>地下</t>
  </si>
  <si>
    <t>规证</t>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</si>
  <si>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</si>
  <si>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</si>
  <si>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测绘报告</t>
    <phoneticPr fontId="3" type="noConversion"/>
  </si>
  <si>
    <r>
      <t>8</t>
    </r>
    <r>
      <rPr>
        <sz val="11"/>
        <color indexed="8"/>
        <rFont val="宋体"/>
        <family val="3"/>
        <charset val="134"/>
      </rPr>
      <t>号楼</t>
    </r>
    <phoneticPr fontId="3" type="noConversion"/>
  </si>
  <si>
    <t>是</t>
  </si>
  <si>
    <t>否</t>
  </si>
  <si>
    <r>
      <t>9</t>
    </r>
    <r>
      <rPr>
        <sz val="11"/>
        <color indexed="8"/>
        <rFont val="宋体"/>
        <family val="3"/>
        <charset val="134"/>
      </rPr>
      <t>幢</t>
    </r>
    <phoneticPr fontId="3" type="noConversion"/>
  </si>
  <si>
    <t>办公</t>
    <phoneticPr fontId="7" type="noConversion"/>
  </si>
  <si>
    <t>仓储</t>
    <phoneticPr fontId="7" type="noConversion"/>
  </si>
  <si>
    <t>地下车库</t>
  </si>
  <si>
    <t>地下车库</t>
    <phoneticPr fontId="7" type="noConversion"/>
  </si>
  <si>
    <t>利息：取LPR加浮动点数</t>
  </si>
  <si>
    <t>成新度</t>
  </si>
  <si>
    <t>收益法</t>
  </si>
  <si>
    <t>押一</t>
  </si>
  <si>
    <t>钢混</t>
  </si>
  <si>
    <t>非生产用房</t>
  </si>
  <si>
    <t>收益法(仓储)</t>
  </si>
  <si>
    <t>收益法(仓储)</t>
    <phoneticPr fontId="16" type="noConversion"/>
  </si>
  <si>
    <t>自定义</t>
  </si>
  <si>
    <t>收益法(车库)</t>
  </si>
  <si>
    <t>收益法(车库)</t>
    <phoneticPr fontId="16" type="noConversion"/>
  </si>
  <si>
    <t>商务金融用地</t>
  </si>
  <si>
    <t>自定义容积率</t>
  </si>
  <si>
    <t>不临65条商业街</t>
  </si>
  <si>
    <t>平整</t>
  </si>
  <si>
    <t>与级别开发程度一致</t>
  </si>
  <si>
    <t>一般</t>
  </si>
  <si>
    <t>较好</t>
  </si>
  <si>
    <t>好</t>
  </si>
  <si>
    <t>未包含在土地购买价格中</t>
  </si>
  <si>
    <t>全部缴纳</t>
  </si>
  <si>
    <t>已包含在土地取得成本中</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</si>
  <si>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</si>
  <si>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</si>
  <si>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</si>
  <si>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</si>
  <si>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t>售价</t>
  </si>
  <si>
    <t>中国铁建理想谷</t>
    <phoneticPr fontId="3" type="noConversion"/>
  </si>
  <si>
    <t>龙湖云域</t>
    <phoneticPr fontId="3" type="noConversion"/>
  </si>
  <si>
    <t>永丰智慧谷</t>
    <phoneticPr fontId="3" type="noConversion"/>
  </si>
  <si>
    <t>正常</t>
  </si>
  <si>
    <t>办公</t>
    <phoneticPr fontId="31" type="noConversion"/>
  </si>
  <si>
    <t>七通</t>
  </si>
  <si>
    <t>钢混</t>
    <phoneticPr fontId="31" type="noConversion"/>
  </si>
  <si>
    <t>精装</t>
  </si>
  <si>
    <t>精装</t>
    <phoneticPr fontId="31" type="noConversion"/>
  </si>
  <si>
    <t>专业</t>
  </si>
  <si>
    <t>专业</t>
    <phoneticPr fontId="31" type="noConversion"/>
  </si>
  <si>
    <t>六通</t>
  </si>
  <si>
    <t>六通</t>
    <phoneticPr fontId="31" type="noConversion"/>
  </si>
  <si>
    <t>毛坯</t>
  </si>
  <si>
    <t>毛坯</t>
    <phoneticPr fontId="31" type="noConversion"/>
  </si>
  <si>
    <t>首层非标层高</t>
    <phoneticPr fontId="3" type="noConversion"/>
  </si>
  <si>
    <t>标准层高</t>
    <phoneticPr fontId="3" type="noConversion"/>
  </si>
  <si>
    <t>五通</t>
  </si>
  <si>
    <t>五通</t>
    <phoneticPr fontId="31" type="noConversion"/>
  </si>
  <si>
    <t>标准层高</t>
  </si>
  <si>
    <t>普装</t>
    <phoneticPr fontId="31" type="noConversion"/>
  </si>
  <si>
    <t>简装</t>
    <phoneticPr fontId="31" type="noConversion"/>
  </si>
  <si>
    <t>比较法-办公</t>
  </si>
  <si>
    <t>项目模式</t>
  </si>
  <si>
    <t>办公写字楼</t>
  </si>
  <si>
    <t>办公写字楼</t>
    <phoneticPr fontId="3" type="noConversion"/>
  </si>
  <si>
    <t>成本法</t>
  </si>
  <si>
    <t>总价</t>
  </si>
  <si>
    <t>成本比率</t>
  </si>
  <si>
    <t>成本法(车库)</t>
  </si>
  <si>
    <t>成本法(车库)</t>
    <phoneticPr fontId="16" type="noConversion"/>
  </si>
  <si>
    <t>收益比率</t>
  </si>
  <si>
    <t>人防工程</t>
    <phoneticPr fontId="3" type="noConversion"/>
  </si>
  <si>
    <r>
      <t>1#</t>
    </r>
    <r>
      <rPr>
        <sz val="11"/>
        <color indexed="8"/>
        <rFont val="宋体"/>
        <family val="3"/>
        <charset val="134"/>
      </rPr>
      <t>人防出入口</t>
    </r>
    <phoneticPr fontId="3" type="noConversion"/>
  </si>
  <si>
    <t>主力租户</t>
  </si>
  <si>
    <r>
      <t>租赁面积</t>
    </r>
    <r>
      <rPr>
        <sz val="11"/>
        <color rgb="FF000000"/>
        <rFont val="Arial"/>
        <family val="2"/>
      </rPr>
      <t>/</t>
    </r>
    <r>
      <rPr>
        <sz val="11"/>
        <color rgb="FF000000"/>
        <rFont val="楷体"/>
        <family val="3"/>
        <charset val="134"/>
      </rPr>
      <t>占比</t>
    </r>
  </si>
  <si>
    <t>租金</t>
    <phoneticPr fontId="247" type="noConversion"/>
  </si>
  <si>
    <t>合同期限</t>
  </si>
  <si>
    <t>租赁区域</t>
  </si>
  <si>
    <t>（平米）</t>
  </si>
  <si>
    <r>
      <t>（元</t>
    </r>
    <r>
      <rPr>
        <sz val="11"/>
        <color rgb="FF000000"/>
        <rFont val="Arial"/>
        <family val="2"/>
      </rPr>
      <t>/</t>
    </r>
    <r>
      <rPr>
        <sz val="11"/>
        <color rgb="FF000000"/>
        <rFont val="楷体"/>
        <family val="3"/>
        <charset val="134"/>
      </rPr>
      <t>平米）</t>
    </r>
  </si>
  <si>
    <t>递增情况</t>
    <phoneticPr fontId="247" type="noConversion"/>
  </si>
  <si>
    <t>荣耀</t>
  </si>
  <si>
    <r>
      <t>118.625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</si>
  <si>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r>
      <t>64</t>
    </r>
    <r>
      <rPr>
        <sz val="11"/>
        <color rgb="FF000000"/>
        <rFont val="楷体"/>
        <family val="3"/>
        <charset val="134"/>
      </rPr>
      <t>个月</t>
    </r>
  </si>
  <si>
    <r>
      <t>3</t>
    </r>
    <r>
      <rPr>
        <sz val="11"/>
        <color rgb="FF000000"/>
        <rFont val="微软雅黑"/>
        <family val="2"/>
        <charset val="134"/>
      </rPr>
      <t>年递增5%</t>
    </r>
    <phoneticPr fontId="247" type="noConversion"/>
  </si>
  <si>
    <r>
      <t>南</t>
    </r>
    <r>
      <rPr>
        <sz val="11"/>
        <color rgb="FF000000"/>
        <rFont val="Arial"/>
        <family val="2"/>
      </rPr>
      <t>3#</t>
    </r>
    <r>
      <rPr>
        <sz val="11"/>
        <color rgb="FF000000"/>
        <rFont val="楷体"/>
        <family val="3"/>
        <charset val="134"/>
      </rPr>
      <t>、南</t>
    </r>
    <r>
      <rPr>
        <sz val="11"/>
        <color rgb="FF000000"/>
        <rFont val="Arial"/>
        <family val="2"/>
      </rPr>
      <t>4#</t>
    </r>
  </si>
  <si>
    <r>
      <t>（</t>
    </r>
    <r>
      <rPr>
        <sz val="11"/>
        <color rgb="FF000000"/>
        <rFont val="Arial"/>
        <family val="2"/>
      </rPr>
      <t>2021.2.1—2026.5.31</t>
    </r>
    <r>
      <rPr>
        <sz val="11"/>
        <color rgb="FF000000"/>
        <rFont val="楷体"/>
        <family val="3"/>
        <charset val="134"/>
      </rPr>
      <t>）</t>
    </r>
  </si>
  <si>
    <r>
      <t>186.76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</si>
  <si>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（首层）</t>
  </si>
  <si>
    <r>
      <t>60.83</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</si>
  <si>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南区仓储</t>
    <phoneticPr fontId="247" type="noConversion"/>
  </si>
  <si>
    <t>便利蜂</t>
  </si>
  <si>
    <r>
      <t>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</si>
  <si>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60</t>
    </r>
    <r>
      <rPr>
        <sz val="11"/>
        <color rgb="FF000000"/>
        <rFont val="楷体"/>
        <family val="3"/>
        <charset val="134"/>
      </rPr>
      <t>个月</t>
    </r>
  </si>
  <si>
    <r>
      <rPr>
        <sz val="11"/>
        <color rgb="FF000000"/>
        <rFont val="微软雅黑"/>
        <family val="2"/>
        <charset val="134"/>
      </rPr>
      <t>两年递增</t>
    </r>
    <r>
      <rPr>
        <sz val="11"/>
        <color rgb="FF000000"/>
        <rFont val="Arial"/>
        <family val="2"/>
      </rPr>
      <t>5%</t>
    </r>
    <r>
      <rPr>
        <sz val="11"/>
        <color rgb="FF000000"/>
        <rFont val="微软雅黑"/>
        <family val="2"/>
        <charset val="134"/>
      </rPr>
      <t>，第1-2年5元，第3-4年5.25元，第5-6年5.51元</t>
    </r>
    <phoneticPr fontId="247" type="noConversion"/>
  </si>
  <si>
    <r>
      <t>南</t>
    </r>
    <r>
      <rPr>
        <sz val="11"/>
        <color rgb="FF000000"/>
        <rFont val="Arial"/>
        <family val="2"/>
      </rPr>
      <t>3#</t>
    </r>
    <r>
      <rPr>
        <sz val="11"/>
        <color rgb="FF000000"/>
        <rFont val="楷体"/>
        <family val="3"/>
        <charset val="134"/>
      </rPr>
      <t>（首层）</t>
    </r>
  </si>
  <si>
    <r>
      <t>（</t>
    </r>
    <r>
      <rPr>
        <sz val="11"/>
        <color rgb="FF000000"/>
        <rFont val="Arial"/>
        <family val="2"/>
      </rPr>
      <t>2021.6.29—2026.6.28</t>
    </r>
    <r>
      <rPr>
        <sz val="11"/>
        <color rgb="FF000000"/>
        <rFont val="楷体"/>
        <family val="3"/>
        <charset val="134"/>
      </rPr>
      <t>）</t>
    </r>
  </si>
  <si>
    <t>星巴克</t>
  </si>
  <si>
    <r>
      <t>4.6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</si>
  <si>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96</t>
    </r>
    <r>
      <rPr>
        <sz val="11"/>
        <color rgb="FF000000"/>
        <rFont val="楷体"/>
        <family val="3"/>
        <charset val="134"/>
      </rPr>
      <t>个月</t>
    </r>
  </si>
  <si>
    <r>
      <rPr>
        <sz val="11"/>
        <color rgb="FF000000"/>
        <rFont val="微软雅黑"/>
        <family val="2"/>
        <charset val="134"/>
      </rPr>
      <t>前三年每年递增</t>
    </r>
    <r>
      <rPr>
        <sz val="11"/>
        <color rgb="FF000000"/>
        <rFont val="Arial"/>
        <family val="2"/>
      </rPr>
      <t>8%</t>
    </r>
    <r>
      <rPr>
        <sz val="11"/>
        <color rgb="FF000000"/>
        <rFont val="微软雅黑"/>
        <family val="2"/>
        <charset val="134"/>
      </rPr>
      <t>，后五年两年</t>
    </r>
    <r>
      <rPr>
        <sz val="11"/>
        <color rgb="FF000000"/>
        <rFont val="Arial"/>
        <family val="2"/>
      </rPr>
      <t>8%</t>
    </r>
    <r>
      <rPr>
        <sz val="11"/>
        <color rgb="FF000000"/>
        <rFont val="微软雅黑"/>
        <family val="2"/>
        <charset val="134"/>
      </rPr>
      <t>，第2年5元，第</t>
    </r>
    <r>
      <rPr>
        <sz val="11"/>
        <color rgb="FF000000"/>
        <rFont val="Arial"/>
        <family val="2"/>
        <charset val="134"/>
      </rPr>
      <t>3-4</t>
    </r>
    <r>
      <rPr>
        <sz val="11"/>
        <color rgb="FF000000"/>
        <rFont val="微软雅黑"/>
        <family val="2"/>
        <charset val="134"/>
      </rPr>
      <t>年5.4元，第5-6年6元，第7-8年6.3元</t>
    </r>
    <phoneticPr fontId="247" type="noConversion"/>
  </si>
  <si>
    <r>
      <t>南</t>
    </r>
    <r>
      <rPr>
        <sz val="11"/>
        <color rgb="FF000000"/>
        <rFont val="Arial"/>
        <family val="2"/>
      </rPr>
      <t>4#</t>
    </r>
    <r>
      <rPr>
        <sz val="11"/>
        <color rgb="FF000000"/>
        <rFont val="楷体"/>
        <family val="3"/>
        <charset val="134"/>
      </rPr>
      <t>（首层）</t>
    </r>
  </si>
  <si>
    <r>
      <t>（</t>
    </r>
    <r>
      <rPr>
        <sz val="11"/>
        <color rgb="FF000000"/>
        <rFont val="Arial"/>
        <family val="2"/>
      </rPr>
      <t>2022.8.5—2030.8.4</t>
    </r>
    <r>
      <rPr>
        <sz val="11"/>
        <color rgb="FF000000"/>
        <rFont val="楷体"/>
        <family val="3"/>
        <charset val="134"/>
      </rPr>
      <t>）</t>
    </r>
  </si>
  <si>
    <t>商务服务</t>
    <phoneticPr fontId="3" type="noConversion"/>
  </si>
  <si>
    <t>商务办公</t>
    <phoneticPr fontId="3" type="noConversion"/>
  </si>
  <si>
    <t>崔锴</t>
  </si>
  <si>
    <t>郑燚</t>
  </si>
  <si>
    <r>
      <rPr>
        <sz val="11"/>
        <color indexed="8"/>
        <rFont val="宋体"/>
        <family val="3"/>
        <charset val="134"/>
      </rPr>
      <t>北京市海淀区忍冬路</t>
    </r>
    <r>
      <rPr>
        <sz val="11"/>
        <color indexed="8"/>
        <rFont val="Arial"/>
        <family val="2"/>
      </rPr>
      <t>5</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8</t>
    </r>
    <r>
      <rPr>
        <sz val="11"/>
        <color indexed="8"/>
        <rFont val="宋体"/>
        <family val="3"/>
        <charset val="134"/>
      </rPr>
      <t>号楼办公、仓储用房及</t>
    </r>
    <r>
      <rPr>
        <sz val="11"/>
        <color indexed="8"/>
        <rFont val="Arial"/>
        <family val="2"/>
      </rPr>
      <t>9</t>
    </r>
    <r>
      <rPr>
        <sz val="11"/>
        <color indexed="8"/>
        <rFont val="宋体"/>
        <family val="3"/>
        <charset val="134"/>
      </rPr>
      <t>幢地下车库及地下仓储用房房地产</t>
    </r>
    <phoneticPr fontId="134" type="noConversion"/>
  </si>
  <si>
    <t>情况3</t>
  </si>
  <si>
    <t>自行开发建设</t>
  </si>
  <si>
    <t>非个人房产</t>
  </si>
  <si>
    <t>出让金+开发费</t>
  </si>
  <si>
    <t>预测楼栋</t>
  </si>
  <si>
    <t>房屋属性</t>
  </si>
  <si>
    <t>实测坐落</t>
  </si>
  <si>
    <t>实测楼栋</t>
  </si>
  <si>
    <t>房号</t>
  </si>
  <si>
    <t>实测建筑面积</t>
  </si>
  <si>
    <t>销售情况</t>
    <phoneticPr fontId="134" type="noConversion"/>
  </si>
  <si>
    <t>备注</t>
    <phoneticPr fontId="134" type="noConversion"/>
  </si>
  <si>
    <t>南1#</t>
  </si>
  <si>
    <t>商服</t>
  </si>
  <si>
    <t>海淀区忍冬路5号院</t>
  </si>
  <si>
    <t>南3#</t>
  </si>
  <si>
    <t>荣耀已租346.95㎡，便利蜂已租155.13㎡</t>
    <phoneticPr fontId="134" type="noConversion"/>
  </si>
  <si>
    <t>25套</t>
    <phoneticPr fontId="134" type="noConversion"/>
  </si>
  <si>
    <t>自持</t>
    <phoneticPr fontId="134" type="noConversion"/>
  </si>
  <si>
    <t>荣耀已租</t>
    <phoneticPr fontId="134" type="noConversion"/>
  </si>
  <si>
    <t>南2#</t>
  </si>
  <si>
    <t>南4#</t>
  </si>
  <si>
    <t>荣耀已租230.93㎡，星巴克已租138㎡</t>
    <phoneticPr fontId="134" type="noConversion"/>
  </si>
  <si>
    <t>12套</t>
    <phoneticPr fontId="134" type="noConversion"/>
  </si>
  <si>
    <t>库房</t>
  </si>
  <si>
    <t>南5#</t>
  </si>
  <si>
    <t>已售</t>
    <phoneticPr fontId="134" type="noConversion"/>
  </si>
  <si>
    <t>办公</t>
    <phoneticPr fontId="134" type="noConversion"/>
  </si>
  <si>
    <t>海淀区忍冬路5号院</t>
    <phoneticPr fontId="134" type="noConversion"/>
  </si>
  <si>
    <t>南5#</t>
    <phoneticPr fontId="134" type="noConversion"/>
  </si>
  <si>
    <t>南6</t>
    <phoneticPr fontId="134" type="noConversion"/>
  </si>
  <si>
    <t>已售</t>
    <phoneticPr fontId="134" type="noConversion"/>
  </si>
  <si>
    <t>南8#</t>
  </si>
  <si>
    <t>南6#</t>
  </si>
  <si>
    <t>海淀区忍冬路5号院</t>
    <phoneticPr fontId="134" type="noConversion"/>
  </si>
  <si>
    <t>南8#_展厅</t>
  </si>
  <si>
    <t>南7#</t>
  </si>
  <si>
    <t>未竣备</t>
    <phoneticPr fontId="134" type="noConversion"/>
  </si>
  <si>
    <t>南区</t>
    <phoneticPr fontId="134" type="noConversion"/>
  </si>
  <si>
    <t>车位</t>
  </si>
  <si>
    <t>9幢</t>
  </si>
  <si>
    <t>B2001</t>
  </si>
  <si>
    <t>B2002</t>
  </si>
  <si>
    <t>B2003</t>
  </si>
  <si>
    <t>B2004</t>
  </si>
  <si>
    <t>B2005</t>
  </si>
  <si>
    <t>B2006</t>
  </si>
  <si>
    <t>B2007</t>
  </si>
  <si>
    <t>B2008</t>
  </si>
  <si>
    <t>B2009</t>
  </si>
  <si>
    <t>B201</t>
  </si>
  <si>
    <t>B2010</t>
  </si>
  <si>
    <t>B2011</t>
  </si>
  <si>
    <t>B2012</t>
  </si>
  <si>
    <t>南区</t>
    <phoneticPr fontId="134" type="noConversion"/>
  </si>
  <si>
    <t>B2013</t>
  </si>
  <si>
    <t>B2014</t>
  </si>
  <si>
    <t>B2015</t>
  </si>
  <si>
    <t>B2016</t>
  </si>
  <si>
    <t>B2017</t>
  </si>
  <si>
    <t>B2018</t>
  </si>
  <si>
    <t>B2019</t>
  </si>
  <si>
    <t>B202</t>
  </si>
  <si>
    <t>B2020</t>
  </si>
  <si>
    <t>B2021</t>
  </si>
  <si>
    <t>B2022</t>
  </si>
  <si>
    <t>B2023</t>
  </si>
  <si>
    <t>B2024</t>
  </si>
  <si>
    <t>B2025</t>
  </si>
  <si>
    <t>B2026</t>
  </si>
  <si>
    <t>B2027</t>
  </si>
  <si>
    <t>B2028</t>
  </si>
  <si>
    <t>B2029</t>
  </si>
  <si>
    <t>B203</t>
  </si>
  <si>
    <t>B2030</t>
  </si>
  <si>
    <t>B2031</t>
  </si>
  <si>
    <t>B2032</t>
  </si>
  <si>
    <t>B2033</t>
  </si>
  <si>
    <t>B2034</t>
  </si>
  <si>
    <t>B2035</t>
  </si>
  <si>
    <t>B2036</t>
  </si>
  <si>
    <t>B2037</t>
  </si>
  <si>
    <t>B2038</t>
  </si>
  <si>
    <t>B2039</t>
  </si>
  <si>
    <t>B204</t>
  </si>
  <si>
    <t>B2040</t>
  </si>
  <si>
    <t>B2041</t>
  </si>
  <si>
    <t>B2042</t>
  </si>
  <si>
    <t>B2043</t>
  </si>
  <si>
    <t>B2044</t>
  </si>
  <si>
    <t>B2045</t>
  </si>
  <si>
    <t>B2046</t>
  </si>
  <si>
    <t>B2047</t>
  </si>
  <si>
    <t>已售</t>
    <phoneticPr fontId="134" type="noConversion"/>
  </si>
  <si>
    <t>B2048</t>
  </si>
  <si>
    <t>B2049</t>
  </si>
  <si>
    <t>B205</t>
  </si>
  <si>
    <t>B2050</t>
  </si>
  <si>
    <t>B2051</t>
  </si>
  <si>
    <t>B2052</t>
  </si>
  <si>
    <t>B2053</t>
  </si>
  <si>
    <t>B2054</t>
  </si>
  <si>
    <t>B2055</t>
  </si>
  <si>
    <t>B2056</t>
  </si>
  <si>
    <t>B2057</t>
  </si>
  <si>
    <t>B2058</t>
  </si>
  <si>
    <t>B2059</t>
  </si>
  <si>
    <t>B2060</t>
  </si>
  <si>
    <t>B2061</t>
  </si>
  <si>
    <t>南区</t>
    <phoneticPr fontId="134" type="noConversion"/>
  </si>
  <si>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</si>
  <si>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</si>
  <si>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</si>
  <si>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</si>
  <si>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</si>
  <si>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</si>
  <si>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</si>
  <si>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</si>
  <si>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</si>
  <si>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</si>
  <si>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</si>
  <si>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</si>
  <si>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</si>
  <si>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</si>
  <si>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</si>
  <si>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</si>
  <si>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</si>
  <si>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</si>
  <si>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</si>
  <si>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</si>
  <si>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</si>
  <si>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</si>
  <si>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</si>
  <si>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</si>
  <si>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</si>
  <si>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</si>
  <si>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</si>
  <si>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</si>
  <si>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</si>
  <si>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</si>
  <si>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</si>
  <si>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</si>
  <si>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</si>
  <si>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</si>
  <si>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</si>
  <si>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</si>
  <si>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</si>
  <si>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</si>
  <si>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</si>
  <si>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</si>
  <si>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</si>
  <si>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</si>
  <si>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</si>
  <si>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</si>
  <si>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</si>
  <si>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</si>
  <si>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</si>
  <si>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</si>
  <si>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</si>
  <si>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</si>
  <si>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</si>
  <si>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</si>
  <si>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</si>
  <si>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</si>
  <si>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</si>
  <si>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</si>
  <si>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</si>
  <si>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</si>
  <si>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</si>
  <si>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</si>
  <si>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</si>
  <si>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</si>
  <si>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</si>
  <si>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</si>
  <si>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</si>
  <si>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</si>
  <si>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</si>
  <si>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</si>
  <si>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</si>
  <si>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</si>
  <si>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</si>
  <si>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</si>
  <si>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</si>
  <si>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</si>
  <si>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</si>
  <si>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</si>
  <si>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</si>
  <si>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</si>
  <si>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</si>
  <si>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</si>
  <si>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</si>
  <si>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</si>
  <si>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B1001</t>
  </si>
  <si>
    <t>B1002</t>
  </si>
  <si>
    <t>B1003</t>
  </si>
  <si>
    <t>B1004</t>
  </si>
  <si>
    <t>B1005</t>
  </si>
  <si>
    <t>B1006</t>
  </si>
  <si>
    <t>B1007</t>
  </si>
  <si>
    <t>B1008</t>
  </si>
  <si>
    <t>B1009</t>
  </si>
  <si>
    <t>B1010</t>
  </si>
  <si>
    <t>B1011</t>
  </si>
  <si>
    <t>B1012</t>
  </si>
  <si>
    <t>B1013</t>
  </si>
  <si>
    <t>B1014</t>
  </si>
  <si>
    <t>B1015</t>
  </si>
  <si>
    <t>B1016</t>
  </si>
  <si>
    <t>B1017</t>
  </si>
  <si>
    <t>B1018</t>
  </si>
  <si>
    <t>B1019</t>
  </si>
  <si>
    <t>B102</t>
  </si>
  <si>
    <t>荣耀已租</t>
    <phoneticPr fontId="134" type="noConversion"/>
  </si>
  <si>
    <t>B1020</t>
  </si>
  <si>
    <t>B1021</t>
  </si>
  <si>
    <t>B1022</t>
  </si>
  <si>
    <t>B1023</t>
  </si>
  <si>
    <t>B1024</t>
  </si>
  <si>
    <t>B1025</t>
  </si>
  <si>
    <t>B1026</t>
  </si>
  <si>
    <t>B1027</t>
  </si>
  <si>
    <t>B1028</t>
  </si>
  <si>
    <t>B1029</t>
  </si>
  <si>
    <t>B103</t>
  </si>
  <si>
    <t>B1030</t>
  </si>
  <si>
    <t>B1031</t>
  </si>
  <si>
    <t>B1032</t>
  </si>
  <si>
    <t>B1033</t>
  </si>
  <si>
    <t>B1034</t>
  </si>
  <si>
    <t>B1035</t>
  </si>
  <si>
    <t>B1036</t>
  </si>
  <si>
    <t>B1037</t>
  </si>
  <si>
    <t>B1038</t>
  </si>
  <si>
    <t>B1039</t>
  </si>
  <si>
    <t>B104</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</si>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</sst>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楷体"/>
      <family val="3"/>
      <charset val="134"/>
    </font>
    <font>
      <sz val="11"/>
      <color rgb="FF000000"/>
      <name val="Arial"/>
      <family val="2"/>
    </font>
    <font>
      <sz val="11"/>
      <color rgb="FF000000"/>
      <name val="微软雅黑"/>
      <family val="2"/>
      <charset val="134"/>
    </font>
    <font>
      <sz val="11"/>
      <color rgb="FF000000"/>
      <name val="Arial"/>
      <family val="2"/>
      <charset val="134"/>
    </font>
    <font>
      <sz val="11"/>
      <color theme="1"/>
      <name val="宋体"/>
      <family val="3"/>
      <charset val="134"/>
      <scheme val="minor"/>
    </font>
    <font>
      <sz val="11"/>
      <color theme="1"/>
      <name val="KaiTi"/>
      <family val="3"/>
      <charset val="134"/>
    </font>
    <font>
      <sz val="11"/>
      <color theme="1"/>
      <name val="楷体"/>
      <family val="3"/>
      <charset val="134"/>
    </font>
    <font>
      <sz val="10"/>
      <name val="楷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3" fillId="0" borderId="0" applyFont="0" applyFill="0" applyBorder="0" applyAlignment="0" applyProtection="0">
      <alignment vertical="center"/>
    </xf>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0" fontId="53" fillId="7" borderId="0" xfId="0" applyNumberFormat="1" applyFont="1" applyFill="1" applyAlignment="1" applyProtection="1">
      <alignment horizontal="left" vertical="center" wrapText="1"/>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77" fillId="7" borderId="54"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2" fontId="128" fillId="0" borderId="1" xfId="0" applyNumberFormat="1" applyFont="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22" borderId="177" xfId="0" applyFont="1" applyFill="1" applyBorder="1" applyAlignment="1">
      <alignment horizontal="center" wrapText="1" readingOrder="1"/>
    </xf>
    <xf numFmtId="0" fontId="269" fillId="22" borderId="178" xfId="0" applyFont="1" applyFill="1" applyBorder="1" applyAlignment="1">
      <alignment horizontal="center" wrapText="1" readingOrder="1"/>
    </xf>
    <xf numFmtId="0" fontId="269" fillId="22" borderId="180"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70"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77" fillId="12" borderId="0" xfId="0" applyFont="1" applyFill="1" applyAlignment="1" applyProtection="1">
      <alignment vertical="center"/>
      <protection locked="0"/>
    </xf>
    <xf numFmtId="176" fontId="44" fillId="16"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2" borderId="176" xfId="0" applyFont="1" applyFill="1" applyBorder="1" applyAlignment="1">
      <alignment horizontal="center" vertical="center" wrapText="1" readingOrder="1"/>
    </xf>
    <xf numFmtId="0" fontId="269" fillId="22" borderId="179" xfId="0" applyFont="1" applyFill="1" applyBorder="1" applyAlignment="1">
      <alignment horizontal="center" vertical="center" wrapText="1" readingOrder="1"/>
    </xf>
    <xf numFmtId="0" fontId="269" fillId="22" borderId="178"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69" fillId="22" borderId="182" xfId="0" applyFont="1" applyFill="1" applyBorder="1" applyAlignment="1">
      <alignment horizontal="center" vertical="center" wrapText="1" readingOrder="1"/>
    </xf>
    <xf numFmtId="0" fontId="270" fillId="22" borderId="177" xfId="0" applyFont="1" applyFill="1" applyBorder="1" applyAlignment="1">
      <alignment horizontal="center" vertical="center" wrapText="1" readingOrder="1"/>
    </xf>
    <xf numFmtId="0" fontId="270" fillId="22" borderId="180" xfId="0" applyFont="1" applyFill="1" applyBorder="1" applyAlignment="1">
      <alignment horizontal="center" vertical="center" wrapText="1" readingOrder="1"/>
    </xf>
    <xf numFmtId="0" fontId="270" fillId="22" borderId="178" xfId="0" applyFont="1" applyFill="1" applyBorder="1" applyAlignment="1">
      <alignment horizontal="center" vertical="center" wrapText="1" readingOrder="1"/>
    </xf>
    <xf numFmtId="0" fontId="270" fillId="22" borderId="181" xfId="0" applyFont="1" applyFill="1" applyBorder="1" applyAlignment="1">
      <alignment horizontal="center" vertical="center" wrapText="1" readingOrder="1"/>
    </xf>
    <xf numFmtId="0" fontId="270" fillId="22" borderId="183"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0" fillId="22" borderId="184" xfId="0" applyFont="1" applyFill="1" applyBorder="1" applyAlignment="1">
      <alignment horizontal="center" vertical="center" wrapText="1" readingOrder="1"/>
    </xf>
    <xf numFmtId="0" fontId="274" fillId="0" borderId="1" xfId="0" applyFont="1" applyFill="1" applyBorder="1" applyAlignment="1">
      <alignment horizontal="center" vertical="center"/>
    </xf>
    <xf numFmtId="0" fontId="274" fillId="0" borderId="15" xfId="0" applyFont="1" applyFill="1" applyBorder="1" applyAlignment="1">
      <alignment horizontal="center" vertical="center"/>
    </xf>
    <xf numFmtId="0" fontId="274" fillId="23" borderId="1" xfId="0" applyFont="1" applyFill="1" applyBorder="1" applyAlignment="1">
      <alignment horizontal="center" vertical="center"/>
    </xf>
    <xf numFmtId="2" fontId="0" fillId="0" borderId="0" xfId="0" applyNumberFormat="1" applyAlignment="1"/>
    <xf numFmtId="0" fontId="274" fillId="24" borderId="1" xfId="0" applyFont="1" applyFill="1" applyBorder="1" applyAlignment="1">
      <alignment horizontal="center" vertical="center"/>
    </xf>
    <xf numFmtId="0" fontId="0" fillId="24" borderId="0" xfId="0" applyFill="1" applyAlignment="1"/>
    <xf numFmtId="43" fontId="275" fillId="24" borderId="13" xfId="19" applyFont="1" applyFill="1" applyBorder="1" applyAlignment="1">
      <alignment horizontal="center" vertical="center"/>
    </xf>
    <xf numFmtId="43" fontId="275" fillId="24" borderId="1" xfId="19" applyFont="1" applyFill="1" applyBorder="1" applyAlignment="1">
      <alignment horizontal="center" vertical="center"/>
    </xf>
    <xf numFmtId="0" fontId="275" fillId="24" borderId="13" xfId="19" applyNumberFormat="1" applyFont="1" applyFill="1" applyBorder="1" applyAlignment="1">
      <alignment horizontal="center" vertical="center"/>
    </xf>
    <xf numFmtId="0" fontId="276" fillId="24" borderId="13" xfId="0" applyNumberFormat="1" applyFont="1" applyFill="1" applyBorder="1" applyAlignment="1" applyProtection="1">
      <alignment horizontal="center" vertical="center" shrinkToFit="1"/>
    </xf>
    <xf numFmtId="0" fontId="274" fillId="5" borderId="1" xfId="0" applyFont="1" applyFill="1" applyBorder="1" applyAlignment="1">
      <alignment horizontal="center" vertical="center"/>
    </xf>
    <xf numFmtId="0" fontId="0" fillId="0" borderId="1" xfId="0" applyBorder="1" applyAlignment="1"/>
    <xf numFmtId="0" fontId="274" fillId="25" borderId="1" xfId="0" applyFont="1" applyFill="1" applyBorder="1" applyAlignment="1">
      <alignment horizontal="center" vertical="center"/>
    </xf>
    <xf numFmtId="0" fontId="0" fillId="25" borderId="0" xfId="0" applyFill="1" applyAlignment="1"/>
    <xf numFmtId="0" fontId="274" fillId="26" borderId="1" xfId="0" applyFont="1" applyFill="1" applyBorder="1" applyAlignment="1">
      <alignment horizontal="center" vertical="center"/>
    </xf>
    <xf numFmtId="0" fontId="0" fillId="26" borderId="1" xfId="0" applyFill="1" applyBorder="1" applyAlignment="1">
      <alignment horizontal="center"/>
    </xf>
    <xf numFmtId="0" fontId="274" fillId="26" borderId="15"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6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736;&#28246;&#22269;&#38469;-7%23&#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结果表(办公)"/>
      <sheetName val="比较法-办公"/>
      <sheetName val="收益法"/>
      <sheetName val="典型户型修正"/>
      <sheetName val="成本法 (元)"/>
      <sheetName val="收益法(仓储)"/>
      <sheetName val="收益法 (元)"/>
      <sheetName val="结果表(车库)"/>
      <sheetName val="成本法(车库)"/>
      <sheetName val="收益法(车库)"/>
      <sheetName val="收益法-酒店模型"/>
      <sheetName val="基准地价修正"/>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1283.79</v>
          </cell>
        </row>
      </sheetData>
      <sheetData sheetId="14"/>
      <sheetData sheetId="15"/>
      <sheetData sheetId="16">
        <row r="14">
          <cell r="B14">
            <v>1283.79</v>
          </cell>
          <cell r="C14">
            <v>329.5</v>
          </cell>
          <cell r="D14">
            <v>3133</v>
          </cell>
          <cell r="G14">
            <v>3133</v>
          </cell>
        </row>
      </sheetData>
      <sheetData sheetId="17"/>
      <sheetData sheetId="18">
        <row r="33">
          <cell r="C33">
            <v>427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北京市海淀区忍冬路5号院房地产抵押价值预评估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受贵公司委托，我公司对北京市海淀区忍冬路5号院房地产抵押价值进行了预评估。</v>
      </c>
    </row>
    <row r="7" spans="1:2" s="1203" customFormat="1">
      <c r="A7" s="1201" t="s">
        <v>566</v>
      </c>
      <c r="B7" s="1202" t="str">
        <f>'预评函-1'!A7</f>
        <v>估价对象为北京市海淀区忍冬路5号院房地产，为北京万毓房地产开发有限公司所有。根据《国有土地使用证》[]，估价对象（分摊）出让国有建设用地使用权面积为14812.1平方米，建筑面积为57711.31平方米。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忍冬路5号院房地产,属北京万毓房地产开发有限公司开发建设的，该项目尚在开发建设中。根据《国有土地使用证》[]，估价对象（分摊）出让国有建设用地使用权面积为14812.1平方米，规划建筑面积为57711.31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为估价委托人在向光大银行办理贷款手续过程中，确定房地产抵押贷款额度提供参考依据而评估房地产抵押价值。</v>
      </c>
    </row>
    <row r="12" spans="1:2" s="1203" customFormat="1">
      <c r="A12" s="1201" t="s">
        <v>528</v>
      </c>
      <c r="B12" s="1202" t="str">
        <f>'预评函-1'!A15</f>
        <v>2023年1月4日（评估专业人员实地查勘之日）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153479</v>
      </c>
    </row>
    <row r="21" spans="1:2" s="1203" customFormat="1">
      <c r="A21" s="1201" t="s">
        <v>537</v>
      </c>
      <c r="B21" s="1202">
        <f ca="1">'预评函-2'!D7</f>
        <v>31597</v>
      </c>
    </row>
    <row r="22" spans="1:2" s="1203" customFormat="1">
      <c r="A22" s="1201" t="s">
        <v>538</v>
      </c>
      <c r="B22" s="1202" t="str">
        <f ca="1">'预评函-2'!D6</f>
        <v>壹拾伍亿叁仟肆佰柒拾玖万元整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153479</v>
      </c>
    </row>
    <row r="31" spans="1:2" s="1203" customFormat="1">
      <c r="A31" s="1201" t="s">
        <v>576</v>
      </c>
      <c r="B31" s="1202">
        <f ca="1">'预评函-2'!D15</f>
        <v>31597</v>
      </c>
    </row>
    <row r="32" spans="1:2" s="1203" customFormat="1">
      <c r="A32" s="1201" t="s">
        <v>543</v>
      </c>
      <c r="B32" s="1202" t="str">
        <f ca="1">'预评函-2'!D14</f>
        <v>壹拾伍亿叁仟肆佰柒拾玖万元整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140499</v>
      </c>
    </row>
    <row r="39" spans="1:2" s="1203" customFormat="1">
      <c r="A39" s="1201" t="s">
        <v>545</v>
      </c>
      <c r="B39" s="1202">
        <f ca="1">'预评函-2'!D21</f>
        <v>24345</v>
      </c>
    </row>
    <row r="40" spans="1:2" s="1203" customFormat="1">
      <c r="A40" s="1201" t="s">
        <v>546</v>
      </c>
      <c r="B40" s="1202" t="str">
        <f ca="1">'预评函-2'!D20</f>
        <v>壹拾肆亿零肆佰玖拾玖万元整</v>
      </c>
    </row>
    <row r="41" spans="1:2" s="1203" customFormat="1">
      <c r="A41" s="1201" t="s">
        <v>592</v>
      </c>
      <c r="B41" s="1202" t="str">
        <f>'预评函-3'!A4</f>
        <v>北京市海淀区忍冬路5号院房地产</v>
      </c>
    </row>
    <row r="42" spans="1:2" s="1203" customFormat="1">
      <c r="A42" s="1201" t="s">
        <v>590</v>
      </c>
      <c r="B42" s="1202" t="str">
        <f>'预评函-3'!B2</f>
        <v>建筑面积</v>
      </c>
    </row>
    <row r="43" spans="1:2" s="1203" customFormat="1">
      <c r="A43" s="1201" t="s">
        <v>591</v>
      </c>
      <c r="B43" s="1202">
        <f>'预评函-3'!B4</f>
        <v>57711.310000000005</v>
      </c>
    </row>
    <row r="44" spans="1:2" s="1203" customFormat="1">
      <c r="A44" s="1201" t="s">
        <v>575</v>
      </c>
      <c r="B44" s="1202" t="str">
        <f>'预评函-3'!C2</f>
        <v>(分摊)土地面积</v>
      </c>
    </row>
    <row r="45" spans="1:2" s="1203" customFormat="1">
      <c r="A45" s="1201" t="s">
        <v>547</v>
      </c>
      <c r="B45" s="1202">
        <f>'预评函-3'!C4</f>
        <v>14812.1</v>
      </c>
    </row>
    <row r="46" spans="1:2" s="1203" customFormat="1">
      <c r="A46" s="1201" t="s">
        <v>573</v>
      </c>
      <c r="B46" s="1202" t="str">
        <f>'预评函-3'!D2</f>
        <v>出让国有建设用地使用权价值</v>
      </c>
    </row>
    <row r="47" spans="1:2" s="1203" customFormat="1">
      <c r="A47" s="1201" t="s">
        <v>548</v>
      </c>
      <c r="B47" s="1202">
        <f ca="1">'预评函-3'!D4</f>
        <v>106514</v>
      </c>
    </row>
    <row r="48" spans="1:2" s="1203" customFormat="1">
      <c r="A48" s="1201" t="s">
        <v>549</v>
      </c>
      <c r="B48" s="1202">
        <f ca="1">'预评函-3'!E4</f>
        <v>21928</v>
      </c>
    </row>
    <row r="49" spans="1:2" s="1203" customFormat="1">
      <c r="A49" s="1201" t="s">
        <v>550</v>
      </c>
      <c r="B49" s="1202" t="str">
        <f ca="1">'预评函-3'!D5</f>
        <v>壹拾亿陆仟伍佰壹拾肆万元整</v>
      </c>
    </row>
    <row r="50" spans="1:2" s="1203" customFormat="1">
      <c r="A50" s="1201" t="s">
        <v>574</v>
      </c>
      <c r="B50" s="1202" t="str">
        <f>'预评函-3'!F2</f>
        <v>在建建筑物价值</v>
      </c>
    </row>
    <row r="51" spans="1:2" s="1203" customFormat="1">
      <c r="A51" s="1201" t="s">
        <v>551</v>
      </c>
      <c r="B51" s="1202">
        <f ca="1">'预评函-3'!F4</f>
        <v>46965</v>
      </c>
    </row>
    <row r="52" spans="1:2" s="1203" customFormat="1">
      <c r="A52" s="1201" t="s">
        <v>552</v>
      </c>
      <c r="B52" s="1202">
        <f ca="1">'预评函-3'!G4</f>
        <v>9669</v>
      </c>
    </row>
    <row r="53" spans="1:2" s="1203" customFormat="1">
      <c r="A53" s="1201" t="s">
        <v>580</v>
      </c>
      <c r="B53" s="1202" t="str">
        <f ca="1">'预评函-3'!F5</f>
        <v>肆亿陆仟玖佰陆拾伍万元整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2579</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2580</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3410</v>
      </c>
      <c r="C19" s="1547"/>
    </row>
    <row r="20" spans="1:3">
      <c r="A20" s="1546" t="s">
        <v>1048</v>
      </c>
      <c r="B20" s="1546" t="s">
        <v>3413</v>
      </c>
      <c r="C20" s="1547"/>
    </row>
    <row r="21" spans="1:3">
      <c r="A21" s="1546" t="s">
        <v>1049</v>
      </c>
      <c r="B21" s="1546" t="s">
        <v>3460</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忍冬路5号院房地产作为抵押担保物，向光大银行办理贷款手续。光大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4" t="s">
        <v>385</v>
      </c>
      <c r="C54" s="1551" t="s">
        <v>583</v>
      </c>
    </row>
    <row r="55" spans="1:4">
      <c r="A55" s="3533"/>
      <c r="B55" s="1554" t="s">
        <v>386</v>
      </c>
      <c r="C55" s="1551" t="s">
        <v>584</v>
      </c>
    </row>
    <row r="56" spans="1:4">
      <c r="A56" s="3533"/>
      <c r="B56" s="1554" t="s">
        <v>387</v>
      </c>
      <c r="C56" s="1551" t="s">
        <v>588</v>
      </c>
    </row>
    <row r="57" spans="1:4">
      <c r="A57" s="35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534" t="s">
        <v>2582</v>
      </c>
      <c r="J2" s="3534"/>
      <c r="K2" s="3534"/>
      <c r="L2" s="3534"/>
      <c r="M2" s="3534"/>
      <c r="N2" s="3534"/>
      <c r="O2" s="3534"/>
      <c r="P2" s="3534"/>
      <c r="Q2" s="3534"/>
      <c r="R2" s="3534"/>
    </row>
    <row r="3" spans="1:18">
      <c r="A3" s="3018" t="s">
        <v>2503</v>
      </c>
      <c r="B3" s="3019">
        <f>项目基本情况!D3</f>
        <v>44930</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3.95</v>
      </c>
      <c r="D5" s="3023">
        <f>IF(ISERROR(ROUND(POWER(1+E5,A5-C5)*(POWER(1+E5,C5)-1)/(POWER(1+E5,A5)-1),3)),0,ROUND(POWER(1+E5,A5-C5)*(POWER(1+E5,C5)-1)/(POWER(1+E5,A5)-1),4))</f>
        <v>0.18129999999999999</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13.96</v>
      </c>
      <c r="D6" s="3023">
        <f>IF(ISERROR(ROUND(POWER(1+E6,A6-C6)*(POWER(1+E6,C6)-1)/(POWER(1+E6,A6)-1),3)),0,ROUND(POWER(1+E6,A6-C6)*(POWER(1+E6,C6)-1)/(POWER(1+E6,A6)-1),4))</f>
        <v>0.49070000000000003</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33.979999999999997</v>
      </c>
      <c r="D7" s="3023">
        <f>IF(ISERROR(ROUND(POWER(1+E7,A7-C7)*(POWER(1+E7,C7)-1)/(POWER(1+E7,A7)-1),3)),0,ROUND(POWER(1+E7,A7-C7)*(POWER(1+E7,C7)-1)/(POWER(1+E7,A7)-1),4))</f>
        <v>0.78680000000000005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5" t="str">
        <f>IF(B10="北京市","北京市",C10)&amp;F10&amp;IF(结果表!G1="在建","出让国有建设用地使用权及在建建筑物",IF(结果表!G1="土地","出让国有建设用地使用权",))&amp;B9&amp;"预评估"</f>
        <v>北京市海淀区忍冬路5号院房地产抵押价值预评估</v>
      </c>
      <c r="C1" s="3536"/>
      <c r="D1" s="3536"/>
      <c r="E1" s="3536"/>
      <c r="F1" s="3536"/>
      <c r="G1" s="3536"/>
      <c r="H1" s="3536"/>
      <c r="I1" s="353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北京市海淀区忍冬路5号院房地产抵押价值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北京市海淀区忍冬路5号院房地产</v>
      </c>
      <c r="T2" s="1745"/>
      <c r="U2" s="1745"/>
      <c r="V2" s="1745"/>
      <c r="W2" s="1745"/>
      <c r="X2" s="1745"/>
      <c r="Y2" s="1745"/>
      <c r="Z2" s="1745"/>
      <c r="AA2" s="1745"/>
      <c r="AB2" s="1745"/>
    </row>
    <row r="3" spans="1:30">
      <c r="A3" s="302" t="s">
        <v>2169</v>
      </c>
      <c r="B3" s="2373">
        <v>44930</v>
      </c>
      <c r="C3" s="2374" t="s">
        <v>2170</v>
      </c>
      <c r="D3" s="2373">
        <f>B3</f>
        <v>44930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3496</v>
      </c>
      <c r="C4" s="2376">
        <f ca="1">SUMIF(注册房地产估价师,B4,估价师及机构信息!B3:B24)</f>
        <v>1120100036</v>
      </c>
      <c r="D4" s="2375" t="s">
        <v>3497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76" t="s">
        <v>3387</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3374</v>
      </c>
      <c r="C8" s="2389"/>
      <c r="D8" s="3538" t="s">
        <v>2176</v>
      </c>
      <c r="E8" s="2390" t="s">
        <v>3375</v>
      </c>
      <c r="F8" s="2391"/>
      <c r="G8" s="2661"/>
      <c r="H8" s="2661"/>
      <c r="I8" s="2661"/>
      <c r="J8" s="2437"/>
      <c r="K8" s="2612"/>
      <c r="L8" s="2611"/>
      <c r="M8" s="2611"/>
      <c r="N8" s="2437"/>
      <c r="O8" s="2448"/>
      <c r="P8" s="2437"/>
      <c r="Q8" s="2437"/>
      <c r="R8" s="2437"/>
    </row>
    <row r="9" spans="1:30" ht="13.5" thickBot="1">
      <c r="A9" s="2392" t="s">
        <v>2177</v>
      </c>
      <c r="B9" s="2393" t="s">
        <v>3375</v>
      </c>
      <c r="C9" s="2394"/>
      <c r="D9" s="3539"/>
      <c r="E9" s="2393" t="s">
        <v>587</v>
      </c>
      <c r="F9" s="2395"/>
      <c r="G9" s="2663"/>
      <c r="H9" s="2663"/>
      <c r="I9" s="2663"/>
      <c r="J9" s="2437"/>
      <c r="K9" s="2614"/>
      <c r="L9" s="2611"/>
      <c r="M9" s="2611"/>
      <c r="N9" s="2437"/>
      <c r="O9" s="2448"/>
      <c r="P9" s="2437"/>
      <c r="Q9" s="2437"/>
      <c r="R9" s="2437"/>
    </row>
    <row r="10" spans="1:30" ht="13.5" thickTop="1">
      <c r="A10" s="2396" t="s">
        <v>2178</v>
      </c>
      <c r="B10" s="2397" t="s">
        <v>3376</v>
      </c>
      <c r="C10" s="2398"/>
      <c r="D10" s="2382"/>
      <c r="E10" s="2399" t="s">
        <v>2179</v>
      </c>
      <c r="F10" s="2664" t="s">
        <v>3377</v>
      </c>
      <c r="G10" s="2665"/>
      <c r="H10" s="2666"/>
      <c r="I10" s="2667"/>
      <c r="J10" s="2437"/>
      <c r="K10" s="2614"/>
      <c r="L10" s="2611"/>
      <c r="M10" s="2611"/>
      <c r="N10" s="2437"/>
      <c r="O10" s="2448"/>
      <c r="P10" s="2437"/>
      <c r="Q10" s="2437"/>
      <c r="R10" s="2437"/>
    </row>
    <row r="11" spans="1:30">
      <c r="A11" s="2400" t="s">
        <v>2180</v>
      </c>
      <c r="B11" s="2401" t="s">
        <v>3378</v>
      </c>
      <c r="C11" s="3475" t="s">
        <v>3379</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5"/>
    </row>
    <row r="13" spans="1:30">
      <c r="A13" s="3422" t="s">
        <v>3340</v>
      </c>
      <c r="B13" s="2405" t="s">
        <v>2189</v>
      </c>
      <c r="C13" s="856"/>
      <c r="D13" s="856"/>
      <c r="E13" s="856">
        <v>60587</v>
      </c>
      <c r="F13" s="856">
        <f>E13</f>
        <v>60587</v>
      </c>
      <c r="G13" s="856">
        <f>E13</f>
        <v>60587</v>
      </c>
      <c r="H13" s="856"/>
      <c r="I13" s="856"/>
      <c r="J13" s="3060"/>
      <c r="K13" s="2611"/>
      <c r="L13" s="2611"/>
      <c r="M13" s="2437"/>
      <c r="N13" s="2448"/>
      <c r="O13" s="2437"/>
      <c r="P13" s="2437"/>
      <c r="Q13" s="2437"/>
      <c r="AD13" s="1745"/>
    </row>
    <row r="14" spans="1:30">
      <c r="A14" s="1081"/>
      <c r="B14" s="2405" t="s">
        <v>2190</v>
      </c>
      <c r="C14" s="2406"/>
      <c r="D14" s="2406"/>
      <c r="E14" s="2406">
        <v>50</v>
      </c>
      <c r="F14" s="2406">
        <v>50</v>
      </c>
      <c r="G14" s="2406">
        <v>50</v>
      </c>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f>IF(A13="出让",IF(E13="","",ROUNDDOWN(MIN((E13-$D$3)/365,E14),2)),E14)</f>
        <v>42.89</v>
      </c>
      <c r="F15" s="2408">
        <f>IF(A13="出让",IF(F13="","",ROUNDDOWN(MIN((F13-$D$3)/365,F14),2)),F14)</f>
        <v>42.89</v>
      </c>
      <c r="G15" s="2408">
        <f>IF(A13="出让",IF(G13="","",ROUNDDOWN(MIN((G13-$D$3)/365,G14),2)),G14)</f>
        <v>42.89</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9" t="s">
        <v>2192</v>
      </c>
      <c r="B16" s="3545"/>
      <c r="C16" s="3546"/>
      <c r="D16" s="3547"/>
      <c r="E16" s="2411" t="s">
        <v>2193</v>
      </c>
      <c r="F16" s="3548"/>
      <c r="G16" s="3549"/>
      <c r="H16" s="3549"/>
      <c r="I16" s="3550"/>
      <c r="J16" s="2437"/>
      <c r="K16" s="2615"/>
      <c r="L16" s="2449"/>
      <c r="M16" s="2449"/>
      <c r="N16" s="2507"/>
      <c r="O16" s="2449"/>
      <c r="P16" s="2507"/>
      <c r="Q16" s="2437"/>
      <c r="R16" s="2437"/>
    </row>
    <row r="17" spans="1:28">
      <c r="A17" s="313" t="s">
        <v>2194</v>
      </c>
      <c r="B17" s="302" t="s">
        <v>2195</v>
      </c>
      <c r="C17" s="8">
        <f>'数据-汇总表'!E3</f>
        <v>57711.310000000005</v>
      </c>
      <c r="D17" s="2322" t="s">
        <v>2196</v>
      </c>
      <c r="E17" s="3551" t="s">
        <v>2197</v>
      </c>
      <c r="F17" s="3552"/>
      <c r="G17" s="3552"/>
      <c r="H17" s="3552"/>
      <c r="I17" s="3553"/>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14812.1</v>
      </c>
      <c r="D18" s="1092" t="s">
        <v>2200</v>
      </c>
      <c r="E18" s="3554" t="s">
        <v>2201</v>
      </c>
      <c r="F18" s="3555"/>
      <c r="G18" s="3555"/>
      <c r="H18" s="3555"/>
      <c r="I18" s="3556"/>
      <c r="J18" s="2437"/>
      <c r="K18" s="2616"/>
      <c r="L18" s="2449"/>
      <c r="M18" s="2449"/>
      <c r="N18" s="2507"/>
      <c r="O18" s="2449"/>
      <c r="P18" s="2507"/>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41" t="s">
        <v>2205</v>
      </c>
      <c r="C20" s="3542"/>
      <c r="D20" s="3543" t="s">
        <v>2206</v>
      </c>
      <c r="E20" s="3544"/>
      <c r="F20" s="2645" t="s">
        <v>1056</v>
      </c>
      <c r="G20" s="2662"/>
      <c r="H20" s="2662"/>
      <c r="I20" s="2662"/>
      <c r="J20" s="2437"/>
      <c r="K20" s="354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8"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8"/>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8"/>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9"/>
      <c r="B30" s="302" t="s">
        <v>2217</v>
      </c>
      <c r="C30" s="3560"/>
      <c r="D30" s="3561"/>
      <c r="E30" s="2662"/>
      <c r="F30" s="2662"/>
      <c r="G30" s="2662"/>
      <c r="H30" s="2662"/>
      <c r="I30" s="2662"/>
      <c r="J30" s="2437"/>
      <c r="K30" s="2614"/>
      <c r="L30" s="2611"/>
      <c r="M30" s="2611"/>
      <c r="N30" s="2437"/>
      <c r="O30" s="2448"/>
      <c r="P30" s="2437"/>
      <c r="Q30" s="2437"/>
      <c r="R30" s="2437"/>
      <c r="S30" s="2437"/>
      <c r="T30" s="2437"/>
      <c r="U30" s="2437"/>
      <c r="V30" s="2437"/>
    </row>
    <row r="31" spans="1:28">
      <c r="A31" s="3562"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3"/>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3380</v>
      </c>
      <c r="C34" s="2026" t="s">
        <v>3381</v>
      </c>
      <c r="D34" s="2026" t="s">
        <v>3382</v>
      </c>
      <c r="E34" s="2026" t="s">
        <v>3383</v>
      </c>
      <c r="F34" s="2026" t="s">
        <v>3384</v>
      </c>
      <c r="G34" s="2026" t="s">
        <v>3385</v>
      </c>
      <c r="H34" s="2026" t="s">
        <v>3386</v>
      </c>
      <c r="I34" s="2662"/>
      <c r="J34" s="2437"/>
      <c r="K34" s="2425">
        <f>COUNTIF(B34:H34,"——")</f>
        <v>0</v>
      </c>
      <c r="L34" s="323" t="s">
        <v>2220</v>
      </c>
      <c r="M34" s="323" t="s">
        <v>2221</v>
      </c>
      <c r="N34" s="323" t="s">
        <v>2222</v>
      </c>
      <c r="O34" s="323" t="s">
        <v>2223</v>
      </c>
      <c r="P34" s="323" t="s">
        <v>2224</v>
      </c>
      <c r="Q34" s="323" t="s">
        <v>2225</v>
      </c>
      <c r="R34" s="323" t="s">
        <v>2226</v>
      </c>
      <c r="S34" s="3557" t="s">
        <v>2227</v>
      </c>
      <c r="T34" s="2426" t="str">
        <f>NUMBERSTRING(7-K34,1)&amp;"通"</f>
        <v>七通</v>
      </c>
      <c r="U34" s="2437"/>
      <c r="V34" s="2437"/>
    </row>
    <row r="35" spans="1:30">
      <c r="A35" s="2427"/>
      <c r="B35" s="3564" t="s">
        <v>2228</v>
      </c>
      <c r="C35" s="3564"/>
      <c r="D35" s="3564"/>
      <c r="E35" s="3564"/>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57"/>
      <c r="T35" s="329" t="str">
        <f>IF(T34="一通",L35,IF(T34="二通",M35,IF(T34="三通",N35,IF(T34="四通",O35,IF(T34="五通",P35,IF(T34="六通",Q35,R35))))))</f>
        <v>通路、通电、通讯、通上水、通下水、通热、燃气</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1" sqref="O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3" width="9.5" style="1573" customWidth="1"/>
    <col min="14" max="14" width="9.62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20680.23</v>
      </c>
      <c r="B3" s="11">
        <f>IF(C3="否",G5-AT5,G5)</f>
        <v>80574.900000000009</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80574.900000000009</v>
      </c>
      <c r="H5" s="13">
        <f t="shared" ref="H5:AT5" si="0">SUM(H13:H656)</f>
        <v>73357.05</v>
      </c>
      <c r="I5" s="13">
        <f t="shared" si="0"/>
        <v>62255.63</v>
      </c>
      <c r="J5" s="13">
        <f t="shared" si="0"/>
        <v>693.21</v>
      </c>
      <c r="K5" s="13">
        <f t="shared" si="0"/>
        <v>2797.17</v>
      </c>
      <c r="L5" s="13">
        <f t="shared" si="0"/>
        <v>0</v>
      </c>
      <c r="M5" s="13">
        <f t="shared" si="0"/>
        <v>5.38</v>
      </c>
      <c r="N5" s="13">
        <f t="shared" si="0"/>
        <v>0</v>
      </c>
      <c r="O5" s="13">
        <f t="shared" si="0"/>
        <v>8298.8700000000008</v>
      </c>
      <c r="P5" s="13">
        <f t="shared" si="0"/>
        <v>350.7</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7217.85</v>
      </c>
      <c r="AU5" s="1346"/>
      <c r="AV5" s="12" t="s">
        <v>1070</v>
      </c>
      <c r="AW5" s="1347"/>
      <c r="AX5" s="1347"/>
      <c r="AY5" s="14" t="s">
        <v>2</v>
      </c>
      <c r="AZ5" s="15">
        <f t="shared" ref="AZ5:BT5" si="1">SUM(AZ13:AZ656)</f>
        <v>57711.310000000005</v>
      </c>
      <c r="BA5" s="15">
        <f t="shared" si="1"/>
        <v>57711.310000000005</v>
      </c>
      <c r="BB5" s="15">
        <f t="shared" si="1"/>
        <v>48573.159999999996</v>
      </c>
      <c r="BC5" s="15">
        <f t="shared" si="1"/>
        <v>1184.6000000000001</v>
      </c>
      <c r="BD5" s="15">
        <f t="shared" si="1"/>
        <v>5.38</v>
      </c>
      <c r="BE5" s="15">
        <f t="shared" si="1"/>
        <v>7948.170000000001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20680.23</v>
      </c>
      <c r="F6" s="13" t="s">
        <v>0</v>
      </c>
      <c r="G6" s="13" t="s">
        <v>1</v>
      </c>
      <c r="H6" s="17">
        <f>SUMIF(I$12:AB$12,"总值",I6:AB6)</f>
        <v>18827.71</v>
      </c>
      <c r="I6" s="13">
        <f t="shared" ref="I6:AB6" si="2">ROUND($A$3*I5/$B$3,2)</f>
        <v>15978.43</v>
      </c>
      <c r="J6" s="13">
        <f t="shared" si="2"/>
        <v>177.92</v>
      </c>
      <c r="K6" s="13">
        <f t="shared" si="2"/>
        <v>717.92</v>
      </c>
      <c r="L6" s="13">
        <f t="shared" si="2"/>
        <v>0</v>
      </c>
      <c r="M6" s="13">
        <f t="shared" si="2"/>
        <v>1.38</v>
      </c>
      <c r="N6" s="13">
        <f t="shared" si="2"/>
        <v>0</v>
      </c>
      <c r="O6" s="13">
        <f t="shared" si="2"/>
        <v>2129.98</v>
      </c>
      <c r="P6" s="13">
        <f t="shared" si="2"/>
        <v>90.01</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1852.52</v>
      </c>
      <c r="AU6" s="1588"/>
      <c r="AV6" s="12" t="s">
        <v>1071</v>
      </c>
      <c r="AW6" s="1586"/>
      <c r="AX6" s="1586"/>
      <c r="AY6" s="18">
        <f>IF(AY3&gt;0,AY3,ROUND($A$3*AZ5/$B$3,2))</f>
        <v>14812.1</v>
      </c>
      <c r="AZ6" s="13" t="s">
        <v>2</v>
      </c>
      <c r="BA6" s="13">
        <f>ROUND($AY$6*BA5/$AZ$5,2)</f>
        <v>14812.1</v>
      </c>
      <c r="BB6" s="13">
        <f>ROUND($AY$6*BB5/$AZ$5,2)</f>
        <v>12466.72</v>
      </c>
      <c r="BC6" s="13">
        <f t="shared" ref="BC6:BH6" si="4">ROUND($AY$6*BC5/$AZ$5,2)</f>
        <v>304.04000000000002</v>
      </c>
      <c r="BD6" s="13">
        <f t="shared" si="4"/>
        <v>1.38</v>
      </c>
      <c r="BE6" s="13">
        <f t="shared" si="4"/>
        <v>2039.97</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t="s">
        <v>3389</v>
      </c>
      <c r="N9" s="809"/>
      <c r="O9" s="1603" t="s">
        <v>3390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3342</v>
      </c>
      <c r="L10" s="809"/>
      <c r="M10" s="1609" t="s">
        <v>3342</v>
      </c>
      <c r="N10" s="809"/>
      <c r="O10" s="1609" t="s">
        <v>3341</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t="str">
        <f>M10</f>
        <v>仓储</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3388</v>
      </c>
      <c r="D13" s="1625" t="s">
        <v>3396</v>
      </c>
      <c r="E13" s="13">
        <f>IF($C$3="是",ROUND($A$3*G13/$B$3,2),ROUND($A$3*(G13-AT13)/$B$3,2))</f>
        <v>2278.3000000000002</v>
      </c>
      <c r="F13" s="29"/>
      <c r="G13" s="30">
        <f>H13+AC13+AT13</f>
        <v>8876.77</v>
      </c>
      <c r="H13" s="17">
        <f>SUMIF(I$12:AB$12,"总值",I13:AB13)</f>
        <v>8876.77</v>
      </c>
      <c r="I13" s="1626">
        <f>8876.77-K13</f>
        <v>8385.74</v>
      </c>
      <c r="J13" s="1626"/>
      <c r="K13" s="1626">
        <v>491.03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2278.3000000000002</v>
      </c>
      <c r="AZ13" s="13">
        <f>BA13+BL13</f>
        <v>8876.77</v>
      </c>
      <c r="BA13" s="13">
        <f>SUM(BB13:BK13)</f>
        <v>8876.77</v>
      </c>
      <c r="BB13" s="13">
        <f>IF($D13="是",I13-J13,0)</f>
        <v>8385.74</v>
      </c>
      <c r="BC13" s="13">
        <f>IF($D13="是",K13-L13,0)</f>
        <v>491.03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3425</v>
      </c>
      <c r="D14" s="1625" t="s">
        <v>3396</v>
      </c>
      <c r="E14" s="13">
        <f>IF($C$3="是",ROUND($A$3*G14/$B$3,2),ROUND($A$3*(G14-AT14)/$B$3,2))</f>
        <v>1195.54</v>
      </c>
      <c r="F14" s="29"/>
      <c r="G14" s="30">
        <f>H14+AC14+AT14</f>
        <v>4658.1099999999997</v>
      </c>
      <c r="H14" s="17">
        <f>SUMIF(I$12:AB$12,"总值",I14:AB14)</f>
        <v>4658.1099999999997</v>
      </c>
      <c r="I14" s="1626">
        <f>4658.11-K14</f>
        <v>4245.17</v>
      </c>
      <c r="J14" s="1626"/>
      <c r="K14" s="1626">
        <v>412.94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1195.54</v>
      </c>
      <c r="AZ14" s="13">
        <f>BA14+BL14</f>
        <v>4658.1099999999997</v>
      </c>
      <c r="BA14" s="13">
        <f>SUM(BB14:BK14)</f>
        <v>4658.1099999999997</v>
      </c>
      <c r="BB14" s="13">
        <f>IF($D14="是",I14-J14,0)</f>
        <v>4245.17</v>
      </c>
      <c r="BC14" s="13">
        <f>IF($D14="是",K14-L14,0)</f>
        <v>412.94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3426</v>
      </c>
      <c r="D15" s="1625" t="s">
        <v>3396</v>
      </c>
      <c r="E15" s="13">
        <f>IF($C$3="是",ROUND($A$3*G15/$B$3,2),ROUND($A$3*(G15-AT15)/$B$3,2))</f>
        <v>4699.29</v>
      </c>
      <c r="F15" s="29"/>
      <c r="G15" s="30">
        <f>H15+AC15+AT15</f>
        <v>18309.5</v>
      </c>
      <c r="H15" s="17">
        <f>SUMIF(I$12:AB$12,"总值",I15:AB15)</f>
        <v>18309.5</v>
      </c>
      <c r="I15" s="1626">
        <v>18309.5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4699.29</v>
      </c>
      <c r="AZ15" s="13">
        <f>BA15+BL15</f>
        <v>18309.5</v>
      </c>
      <c r="BA15" s="13">
        <f>SUM(BB15:BK15)</f>
        <v>18309.5</v>
      </c>
      <c r="BB15" s="13">
        <f>IF($D15="是",I15-J15,0)</f>
        <v>18309.5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3427</v>
      </c>
      <c r="D16" s="1625" t="s">
        <v>3396</v>
      </c>
      <c r="E16" s="13">
        <f>IF($C$3="是",ROUND($A$3*G16/$B$3,2),ROUND($A$3*(G16-AT16)/$B$3,2))</f>
        <v>3472.03</v>
      </c>
      <c r="F16" s="29"/>
      <c r="G16" s="30">
        <f>H16+AC16+AT16</f>
        <v>13527.83</v>
      </c>
      <c r="H16" s="17">
        <f>SUMIF(I$12:AB$12,"总值",I16:AB16)</f>
        <v>13527.83</v>
      </c>
      <c r="I16" s="1626">
        <v>13527.83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v>
      </c>
      <c r="AY16" s="1349">
        <f>ROUND($AY$6*AZ16/$AZ$5,2)</f>
        <v>3472.03</v>
      </c>
      <c r="AZ16" s="13">
        <f>BA16+BL16</f>
        <v>13527.83</v>
      </c>
      <c r="BA16" s="13">
        <f>SUM(BB16:BK16)</f>
        <v>13527.83</v>
      </c>
      <c r="BB16" s="13">
        <f>IF($D16="是",I16-J16,0)</f>
        <v>13527.83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3477" t="s">
        <v>3391</v>
      </c>
      <c r="C17" s="1570" t="s">
        <v>3428</v>
      </c>
      <c r="D17" s="1625" t="s">
        <v>3397</v>
      </c>
      <c r="E17" s="13">
        <f>IF($C$3="是",ROUND($A$3*G17/$B$3,2),ROUND($A$3*(G17-AT17)/$B$3,2))</f>
        <v>1255.1400000000001</v>
      </c>
      <c r="F17" s="29"/>
      <c r="G17" s="30">
        <f>H17+AC17+AT17</f>
        <v>4890.32</v>
      </c>
      <c r="H17" s="17">
        <f>SUMIF(I$12:AB$12,"总值",I17:AB17)</f>
        <v>4890.32</v>
      </c>
      <c r="I17" s="1626">
        <v>4129.2299999999996</v>
      </c>
      <c r="J17" s="1626"/>
      <c r="K17" s="1626">
        <v>761.09</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规证</v>
      </c>
      <c r="AX17" s="8" t="str">
        <f t="shared" si="6"/>
        <v>5号楼</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77" t="s">
        <v>3391</v>
      </c>
      <c r="C18" s="31" t="s">
        <v>3392</v>
      </c>
      <c r="D18" s="1630" t="s">
        <v>3397</v>
      </c>
      <c r="E18" s="32">
        <f t="shared" ref="E18:E112" si="7">IF($C$3="是",ROUND($A$3*G18/$B$3,2),ROUND($A$3*(G18-AT18)/$B$3,2))</f>
        <v>2163.0500000000002</v>
      </c>
      <c r="F18" s="33"/>
      <c r="G18" s="34">
        <f t="shared" ref="G18:G109" si="8">H18+AC18+AT18</f>
        <v>8427.7199999999993</v>
      </c>
      <c r="H18" s="35">
        <f t="shared" ref="H18:H109" si="9">SUMIF(I$12:AB$12,"总值",I18:AB18)</f>
        <v>8427.7199999999993</v>
      </c>
      <c r="I18" s="36">
        <v>7576.24</v>
      </c>
      <c r="J18" s="36"/>
      <c r="K18" s="36">
        <v>851.48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规证</v>
      </c>
      <c r="AX18" s="1343"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78" t="s">
        <v>3394</v>
      </c>
      <c r="C19" s="31" t="s">
        <v>3393</v>
      </c>
      <c r="D19" s="1630" t="s">
        <v>3397</v>
      </c>
      <c r="E19" s="32">
        <f t="shared" si="7"/>
        <v>329.5</v>
      </c>
      <c r="F19" s="33"/>
      <c r="G19" s="34">
        <f t="shared" si="8"/>
        <v>1283.79</v>
      </c>
      <c r="H19" s="35">
        <f t="shared" si="9"/>
        <v>1283.79</v>
      </c>
      <c r="I19" s="3492">
        <v>1283.79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测绘报告</v>
      </c>
      <c r="AX19" s="1343" t="str">
        <f t="shared" si="13"/>
        <v>7号楼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77"/>
      <c r="C20" s="31" t="s">
        <v>3395</v>
      </c>
      <c r="D20" s="1630" t="s">
        <v>3396</v>
      </c>
      <c r="E20" s="32">
        <f t="shared" si="7"/>
        <v>1268.25</v>
      </c>
      <c r="F20" s="33"/>
      <c r="G20" s="34">
        <f t="shared" si="8"/>
        <v>4941.3999999999996</v>
      </c>
      <c r="H20" s="35">
        <f t="shared" si="9"/>
        <v>4941.3999999999996</v>
      </c>
      <c r="I20" s="36">
        <f>4941.4-K20-M20</f>
        <v>4798.1299999999992</v>
      </c>
      <c r="J20" s="36">
        <f>销售台账!F36</f>
        <v>693.21</v>
      </c>
      <c r="K20" s="36">
        <f>104.62+33.27</f>
        <v>137.89000000000001</v>
      </c>
      <c r="L20" s="36"/>
      <c r="M20" s="36">
        <v>5.38</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8号楼</v>
      </c>
      <c r="AY20" s="39">
        <f t="shared" si="14"/>
        <v>1090.33</v>
      </c>
      <c r="AZ20" s="32">
        <f t="shared" si="15"/>
        <v>4248.1899999999996</v>
      </c>
      <c r="BA20" s="32">
        <f t="shared" si="16"/>
        <v>4248.1899999999996</v>
      </c>
      <c r="BB20" s="32">
        <f t="shared" si="17"/>
        <v>4104.9199999999992</v>
      </c>
      <c r="BC20" s="32">
        <f t="shared" si="18"/>
        <v>137.89000000000001</v>
      </c>
      <c r="BD20" s="32">
        <f t="shared" si="19"/>
        <v>5.38</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3398</v>
      </c>
      <c r="D21" s="1630" t="s">
        <v>3396</v>
      </c>
      <c r="E21" s="32">
        <f t="shared" si="7"/>
        <v>2166.61</v>
      </c>
      <c r="F21" s="33"/>
      <c r="G21" s="34">
        <f t="shared" si="8"/>
        <v>8441.61</v>
      </c>
      <c r="H21" s="35">
        <f t="shared" si="9"/>
        <v>8441.61</v>
      </c>
      <c r="I21" s="36"/>
      <c r="J21" s="36"/>
      <c r="K21" s="36">
        <f>5.12+5.14+5.04+4.92+4.93+23.99+18.07+75.53</f>
        <v>142.74</v>
      </c>
      <c r="L21" s="36"/>
      <c r="M21" s="36"/>
      <c r="N21" s="36"/>
      <c r="O21" s="36">
        <f>8441.61-K21</f>
        <v>8298.8700000000008</v>
      </c>
      <c r="P21" s="36">
        <f>销售台账!F84+销售台账!F86+销售台账!F88+销售台账!F89+销售台账!F90+销售台账!F97+销售台账!F100+销售台账!F102+销售台账!F106+销售台账!F107</f>
        <v>350.7</v>
      </c>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9幢</v>
      </c>
      <c r="AY21" s="39">
        <f t="shared" si="14"/>
        <v>2076.6</v>
      </c>
      <c r="AZ21" s="32">
        <f t="shared" si="15"/>
        <v>8090.9100000000008</v>
      </c>
      <c r="BA21" s="32">
        <f t="shared" si="16"/>
        <v>8090.9100000000008</v>
      </c>
      <c r="BB21" s="32">
        <f t="shared" si="17"/>
        <v>0</v>
      </c>
      <c r="BC21" s="32">
        <f t="shared" si="18"/>
        <v>142.74</v>
      </c>
      <c r="BD21" s="32">
        <f t="shared" si="19"/>
        <v>0</v>
      </c>
      <c r="BE21" s="32">
        <f t="shared" si="20"/>
        <v>7948.170000000001</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78" t="s">
        <v>3462</v>
      </c>
      <c r="D22" s="1630" t="s">
        <v>3397</v>
      </c>
      <c r="E22" s="32">
        <f t="shared" si="7"/>
        <v>1842.08</v>
      </c>
      <c r="F22" s="33"/>
      <c r="G22" s="34">
        <f t="shared" si="8"/>
        <v>7177.18</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f>7122.41+54.77</f>
        <v>7177.18</v>
      </c>
      <c r="AU22" s="1631"/>
      <c r="AV22" s="1343">
        <f t="shared" si="11"/>
        <v>0</v>
      </c>
      <c r="AW22" s="1343">
        <f t="shared" si="12"/>
        <v>0</v>
      </c>
      <c r="AX22" s="1343" t="str">
        <f t="shared" si="13"/>
        <v>人防工程</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28.5">
      <c r="A23" s="6"/>
      <c r="B23" s="31"/>
      <c r="C23" s="31" t="s">
        <v>3463</v>
      </c>
      <c r="D23" s="1630" t="s">
        <v>3397</v>
      </c>
      <c r="E23" s="32">
        <f t="shared" si="7"/>
        <v>10.44</v>
      </c>
      <c r="F23" s="33"/>
      <c r="G23" s="34">
        <f t="shared" si="8"/>
        <v>40.67</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40.67</v>
      </c>
      <c r="AU23" s="1631"/>
      <c r="AV23" s="1343">
        <f t="shared" si="11"/>
        <v>0</v>
      </c>
      <c r="AW23" s="1343">
        <f t="shared" si="12"/>
        <v>0</v>
      </c>
      <c r="AX23" s="1343" t="str">
        <f t="shared" si="13"/>
        <v>1#人防出入口</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98"/>
  <sheetViews>
    <sheetView topLeftCell="B31" workbookViewId="0">
      <selection activeCell="E36" sqref="E36"/>
    </sheetView>
  </sheetViews>
  <sheetFormatPr defaultRowHeight="13.5"/>
  <cols>
    <col min="1" max="1" width="8.5" style="1239" hidden="1" customWidth="1"/>
    <col min="2" max="2" width="12.625" style="1239" bestFit="1" customWidth="1"/>
    <col min="3" max="3" width="19.25" style="1239" bestFit="1" customWidth="1"/>
    <col min="4" max="4" width="8.5" style="1239" bestFit="1" customWidth="1"/>
    <col min="5" max="5" width="8.5" style="1239" customWidth="1"/>
    <col min="6" max="6" width="12.375" style="1239" bestFit="1" customWidth="1"/>
    <col min="7" max="7" width="36.75" style="1239" customWidth="1"/>
    <col min="8" max="8" width="38.375" style="1239" customWidth="1"/>
    <col min="9" max="16384" width="9" style="1239"/>
  </cols>
  <sheetData>
    <row r="1" spans="1:10" ht="21.6" customHeight="1">
      <c r="A1" s="3851" t="s">
        <v>3503</v>
      </c>
      <c r="B1" s="3851" t="s">
        <v>3504</v>
      </c>
      <c r="C1" s="3851" t="s">
        <v>3505</v>
      </c>
      <c r="D1" s="3851" t="s">
        <v>3506</v>
      </c>
      <c r="E1" s="3851" t="s">
        <v>3507</v>
      </c>
      <c r="F1" s="3851" t="s">
        <v>3508</v>
      </c>
      <c r="G1" s="3852" t="s">
        <v>3509</v>
      </c>
      <c r="H1" s="3852" t="s">
        <v>3510</v>
      </c>
    </row>
    <row r="2" spans="1:10" ht="13.5" customHeight="1">
      <c r="A2" s="3851" t="s">
        <v>3511</v>
      </c>
      <c r="B2" s="3851" t="s">
        <v>3512</v>
      </c>
      <c r="C2" s="3851" t="s">
        <v>3513</v>
      </c>
      <c r="D2" s="3851" t="s">
        <v>3514</v>
      </c>
      <c r="E2" s="3851">
        <v>101</v>
      </c>
      <c r="F2" s="3851">
        <v>517.86</v>
      </c>
      <c r="G2" s="3851"/>
      <c r="H2" s="3851" t="s">
        <v>3515</v>
      </c>
    </row>
    <row r="3" spans="1:10" ht="13.5" customHeight="1">
      <c r="A3" s="3851"/>
      <c r="B3" s="3853" t="s">
        <v>2814</v>
      </c>
      <c r="C3" s="3853" t="s">
        <v>3513</v>
      </c>
      <c r="D3" s="3853" t="s">
        <v>3514</v>
      </c>
      <c r="E3" s="3853" t="s">
        <v>3516</v>
      </c>
      <c r="F3" s="3853">
        <v>17791.64</v>
      </c>
      <c r="G3" s="3853" t="s">
        <v>3517</v>
      </c>
      <c r="H3" s="3853" t="s">
        <v>3518</v>
      </c>
    </row>
    <row r="4" spans="1:10" ht="13.5" customHeight="1">
      <c r="A4" s="3851" t="s">
        <v>3519</v>
      </c>
      <c r="B4" s="3851" t="s">
        <v>3512</v>
      </c>
      <c r="C4" s="3851" t="s">
        <v>3513</v>
      </c>
      <c r="D4" s="3851" t="s">
        <v>3520</v>
      </c>
      <c r="E4" s="3851">
        <v>101</v>
      </c>
      <c r="F4" s="3851">
        <v>521.71</v>
      </c>
      <c r="G4" s="3851"/>
      <c r="H4" s="3851" t="s">
        <v>3521</v>
      </c>
    </row>
    <row r="5" spans="1:10" ht="13.5" customHeight="1">
      <c r="A5" s="3851"/>
      <c r="B5" s="3853" t="s">
        <v>2814</v>
      </c>
      <c r="C5" s="3853" t="s">
        <v>3513</v>
      </c>
      <c r="D5" s="3853" t="s">
        <v>3520</v>
      </c>
      <c r="E5" s="3853" t="s">
        <v>3522</v>
      </c>
      <c r="F5" s="3853">
        <v>13006.12</v>
      </c>
      <c r="G5" s="3853" t="s">
        <v>3517</v>
      </c>
      <c r="H5" s="3853" t="s">
        <v>3518</v>
      </c>
    </row>
    <row r="6" spans="1:10" ht="13.5" customHeight="1">
      <c r="A6" s="3851" t="s">
        <v>3514</v>
      </c>
      <c r="B6" s="3851" t="s">
        <v>3523</v>
      </c>
      <c r="C6" s="3851" t="s">
        <v>3513</v>
      </c>
      <c r="D6" s="3851" t="s">
        <v>3519</v>
      </c>
      <c r="E6" s="3851">
        <v>-101</v>
      </c>
      <c r="F6" s="3851">
        <v>412.94</v>
      </c>
      <c r="G6" s="3851"/>
    </row>
    <row r="7" spans="1:10" ht="13.5" customHeight="1">
      <c r="A7" s="3851" t="s">
        <v>3514</v>
      </c>
      <c r="B7" s="3851" t="s">
        <v>21</v>
      </c>
      <c r="C7" s="3851" t="s">
        <v>3513</v>
      </c>
      <c r="D7" s="3851" t="s">
        <v>3519</v>
      </c>
      <c r="E7" s="3851">
        <v>201</v>
      </c>
      <c r="F7" s="3851">
        <v>677.69</v>
      </c>
      <c r="G7" s="3851"/>
    </row>
    <row r="8" spans="1:10" ht="13.5" customHeight="1">
      <c r="A8" s="3851" t="s">
        <v>3514</v>
      </c>
      <c r="B8" s="3851" t="s">
        <v>21</v>
      </c>
      <c r="C8" s="3851" t="s">
        <v>3513</v>
      </c>
      <c r="D8" s="3851" t="s">
        <v>3519</v>
      </c>
      <c r="E8" s="3851">
        <v>301</v>
      </c>
      <c r="F8" s="3851">
        <v>677.69</v>
      </c>
      <c r="G8" s="3851"/>
    </row>
    <row r="9" spans="1:10" ht="13.5" customHeight="1">
      <c r="A9" s="3851" t="s">
        <v>3514</v>
      </c>
      <c r="B9" s="3851" t="s">
        <v>21</v>
      </c>
      <c r="C9" s="3851" t="s">
        <v>3513</v>
      </c>
      <c r="D9" s="3851" t="s">
        <v>3519</v>
      </c>
      <c r="E9" s="3851">
        <v>401</v>
      </c>
      <c r="F9" s="3851">
        <v>677.69</v>
      </c>
      <c r="G9" s="3851"/>
    </row>
    <row r="10" spans="1:10" ht="13.5" customHeight="1">
      <c r="A10" s="3851" t="s">
        <v>3514</v>
      </c>
      <c r="B10" s="3851" t="s">
        <v>21</v>
      </c>
      <c r="C10" s="3851" t="s">
        <v>3513</v>
      </c>
      <c r="D10" s="3851" t="s">
        <v>3519</v>
      </c>
      <c r="E10" s="3851">
        <v>501</v>
      </c>
      <c r="F10" s="3851">
        <v>677.69</v>
      </c>
      <c r="G10" s="3851"/>
    </row>
    <row r="11" spans="1:10" ht="13.5" customHeight="1">
      <c r="A11" s="3851" t="s">
        <v>3514</v>
      </c>
      <c r="B11" s="3851" t="s">
        <v>21</v>
      </c>
      <c r="C11" s="3851" t="s">
        <v>3513</v>
      </c>
      <c r="D11" s="3851" t="s">
        <v>3519</v>
      </c>
      <c r="E11" s="3851">
        <v>601</v>
      </c>
      <c r="F11" s="3851">
        <v>677.69</v>
      </c>
      <c r="G11" s="3851"/>
    </row>
    <row r="12" spans="1:10" ht="13.5" customHeight="1">
      <c r="A12" s="3851" t="s">
        <v>3514</v>
      </c>
      <c r="B12" s="3851" t="s">
        <v>2814</v>
      </c>
      <c r="C12" s="3851" t="s">
        <v>3513</v>
      </c>
      <c r="D12" s="3851" t="s">
        <v>3519</v>
      </c>
      <c r="E12" s="3851">
        <v>101</v>
      </c>
      <c r="F12" s="3851">
        <v>856.72</v>
      </c>
      <c r="G12" s="3851"/>
      <c r="I12" s="3854"/>
      <c r="J12" s="1239">
        <f>H12+I12</f>
        <v>0</v>
      </c>
    </row>
    <row r="13" spans="1:10" s="3856" customFormat="1" ht="13.5" customHeight="1">
      <c r="A13" s="3855" t="s">
        <v>3520</v>
      </c>
      <c r="B13" s="3855" t="s">
        <v>3523</v>
      </c>
      <c r="C13" s="3855" t="s">
        <v>3513</v>
      </c>
      <c r="D13" s="3855" t="s">
        <v>3524</v>
      </c>
      <c r="E13" s="3855">
        <v>-101</v>
      </c>
      <c r="F13" s="3855">
        <v>414.67</v>
      </c>
      <c r="G13" s="3855" t="s">
        <v>3525</v>
      </c>
    </row>
    <row r="14" spans="1:10" s="3856" customFormat="1" ht="13.5" customHeight="1">
      <c r="A14" s="3857" t="s">
        <v>3520</v>
      </c>
      <c r="B14" s="3857" t="s">
        <v>3526</v>
      </c>
      <c r="C14" s="3857" t="s">
        <v>3527</v>
      </c>
      <c r="D14" s="3858" t="s">
        <v>3528</v>
      </c>
      <c r="E14" s="3859">
        <v>101</v>
      </c>
      <c r="F14" s="3860">
        <v>804.04</v>
      </c>
      <c r="G14" s="3855" t="s">
        <v>3525</v>
      </c>
    </row>
    <row r="15" spans="1:10" s="3856" customFormat="1" ht="13.5" customHeight="1">
      <c r="A15" s="3855" t="s">
        <v>3520</v>
      </c>
      <c r="B15" s="3855" t="s">
        <v>21</v>
      </c>
      <c r="C15" s="3855" t="s">
        <v>3513</v>
      </c>
      <c r="D15" s="3855" t="s">
        <v>3524</v>
      </c>
      <c r="E15" s="3859">
        <v>201</v>
      </c>
      <c r="F15" s="3855">
        <v>680.76</v>
      </c>
      <c r="G15" s="3855" t="s">
        <v>3525</v>
      </c>
    </row>
    <row r="16" spans="1:10" s="3856" customFormat="1" ht="13.5" customHeight="1">
      <c r="A16" s="3857" t="s">
        <v>3520</v>
      </c>
      <c r="B16" s="3855" t="s">
        <v>21</v>
      </c>
      <c r="C16" s="3857" t="s">
        <v>3513</v>
      </c>
      <c r="D16" s="3858" t="s">
        <v>3524</v>
      </c>
      <c r="E16" s="3859">
        <v>301</v>
      </c>
      <c r="F16" s="3855">
        <v>680.76</v>
      </c>
      <c r="G16" s="3855" t="s">
        <v>3525</v>
      </c>
    </row>
    <row r="17" spans="1:7" s="3856" customFormat="1" ht="13.5" customHeight="1">
      <c r="A17" s="3855" t="s">
        <v>3520</v>
      </c>
      <c r="B17" s="3855" t="s">
        <v>21</v>
      </c>
      <c r="C17" s="3855" t="s">
        <v>3513</v>
      </c>
      <c r="D17" s="3855" t="s">
        <v>3524</v>
      </c>
      <c r="E17" s="3855">
        <v>401</v>
      </c>
      <c r="F17" s="3855">
        <v>680.76</v>
      </c>
      <c r="G17" s="3855" t="s">
        <v>3525</v>
      </c>
    </row>
    <row r="18" spans="1:7" s="3856" customFormat="1" ht="13.5" customHeight="1">
      <c r="A18" s="3855" t="s">
        <v>3520</v>
      </c>
      <c r="B18" s="3855" t="s">
        <v>21</v>
      </c>
      <c r="C18" s="3855" t="s">
        <v>3513</v>
      </c>
      <c r="D18" s="3855" t="s">
        <v>3524</v>
      </c>
      <c r="E18" s="3855">
        <v>501</v>
      </c>
      <c r="F18" s="3855">
        <v>680.76</v>
      </c>
      <c r="G18" s="3855" t="s">
        <v>3525</v>
      </c>
    </row>
    <row r="19" spans="1:7" s="3856" customFormat="1" ht="13.5" customHeight="1">
      <c r="A19" s="3855" t="s">
        <v>3520</v>
      </c>
      <c r="B19" s="3855" t="s">
        <v>21</v>
      </c>
      <c r="C19" s="3855" t="s">
        <v>3513</v>
      </c>
      <c r="D19" s="3855" t="s">
        <v>3524</v>
      </c>
      <c r="E19" s="3855">
        <v>601</v>
      </c>
      <c r="F19" s="3855">
        <v>680.76</v>
      </c>
      <c r="G19" s="3855" t="s">
        <v>3525</v>
      </c>
    </row>
    <row r="20" spans="1:7" s="3856" customFormat="1" ht="13.5" customHeight="1">
      <c r="A20" s="3855"/>
      <c r="B20" s="3855" t="s">
        <v>3526</v>
      </c>
      <c r="C20" s="3855" t="s">
        <v>3513</v>
      </c>
      <c r="D20" s="3855" t="s">
        <v>3529</v>
      </c>
      <c r="E20" s="3855">
        <v>101</v>
      </c>
      <c r="F20" s="3855">
        <v>704.93</v>
      </c>
      <c r="G20" s="3855" t="s">
        <v>3530</v>
      </c>
    </row>
    <row r="21" spans="1:7" s="3856" customFormat="1" ht="13.5" customHeight="1">
      <c r="A21" s="3855"/>
      <c r="B21" s="3855" t="s">
        <v>21</v>
      </c>
      <c r="C21" s="3855" t="s">
        <v>3513</v>
      </c>
      <c r="D21" s="3855" t="s">
        <v>3529</v>
      </c>
      <c r="E21" s="3855">
        <v>201</v>
      </c>
      <c r="F21" s="3855">
        <v>699.26</v>
      </c>
      <c r="G21" s="3855" t="s">
        <v>3530</v>
      </c>
    </row>
    <row r="22" spans="1:7" s="3856" customFormat="1" ht="13.5" customHeight="1">
      <c r="A22" s="3855"/>
      <c r="B22" s="3855" t="s">
        <v>21</v>
      </c>
      <c r="C22" s="3855" t="s">
        <v>3513</v>
      </c>
      <c r="D22" s="3855" t="s">
        <v>3529</v>
      </c>
      <c r="E22" s="3855">
        <v>301</v>
      </c>
      <c r="F22" s="3855">
        <v>699.26</v>
      </c>
      <c r="G22" s="3855" t="s">
        <v>3530</v>
      </c>
    </row>
    <row r="23" spans="1:7" s="3856" customFormat="1" ht="13.5" customHeight="1">
      <c r="A23" s="3855"/>
      <c r="B23" s="3855" t="s">
        <v>21</v>
      </c>
      <c r="C23" s="3855" t="s">
        <v>3513</v>
      </c>
      <c r="D23" s="3855" t="s">
        <v>3529</v>
      </c>
      <c r="E23" s="3855">
        <v>401</v>
      </c>
      <c r="F23" s="3855">
        <v>699.26</v>
      </c>
      <c r="G23" s="3855" t="s">
        <v>3530</v>
      </c>
    </row>
    <row r="24" spans="1:7" s="3856" customFormat="1" ht="13.5" customHeight="1">
      <c r="A24" s="3855"/>
      <c r="B24" s="3855" t="s">
        <v>21</v>
      </c>
      <c r="C24" s="3855" t="s">
        <v>3513</v>
      </c>
      <c r="D24" s="3855" t="s">
        <v>3529</v>
      </c>
      <c r="E24" s="3855">
        <v>501</v>
      </c>
      <c r="F24" s="3855">
        <v>699.26</v>
      </c>
      <c r="G24" s="3855" t="s">
        <v>3530</v>
      </c>
    </row>
    <row r="25" spans="1:7" s="3856" customFormat="1" ht="13.5" customHeight="1">
      <c r="A25" s="3855"/>
      <c r="B25" s="3855" t="s">
        <v>21</v>
      </c>
      <c r="C25" s="3855" t="s">
        <v>3513</v>
      </c>
      <c r="D25" s="3855" t="s">
        <v>3529</v>
      </c>
      <c r="E25" s="3855">
        <v>601</v>
      </c>
      <c r="F25" s="3855">
        <v>699.26</v>
      </c>
      <c r="G25" s="3855" t="s">
        <v>3530</v>
      </c>
    </row>
    <row r="26" spans="1:7" s="3856" customFormat="1" ht="13.5" customHeight="1">
      <c r="A26" s="3855"/>
      <c r="B26" s="3855" t="s">
        <v>21</v>
      </c>
      <c r="C26" s="3855" t="s">
        <v>3513</v>
      </c>
      <c r="D26" s="3855" t="s">
        <v>3529</v>
      </c>
      <c r="E26" s="3855">
        <v>701</v>
      </c>
      <c r="F26" s="3855">
        <v>699.26</v>
      </c>
      <c r="G26" s="3855" t="s">
        <v>3530</v>
      </c>
    </row>
    <row r="27" spans="1:7" s="3856" customFormat="1" ht="13.5" customHeight="1">
      <c r="A27" s="3855"/>
      <c r="B27" s="3855" t="s">
        <v>21</v>
      </c>
      <c r="C27" s="3855" t="s">
        <v>3513</v>
      </c>
      <c r="D27" s="3855" t="s">
        <v>3529</v>
      </c>
      <c r="E27" s="3855">
        <v>801</v>
      </c>
      <c r="F27" s="3855">
        <v>699.26</v>
      </c>
      <c r="G27" s="3855" t="s">
        <v>3530</v>
      </c>
    </row>
    <row r="28" spans="1:7" s="3856" customFormat="1" ht="13.5" customHeight="1">
      <c r="A28" s="3855"/>
      <c r="B28" s="3855" t="s">
        <v>21</v>
      </c>
      <c r="C28" s="3855" t="s">
        <v>3513</v>
      </c>
      <c r="D28" s="3855" t="s">
        <v>3529</v>
      </c>
      <c r="E28" s="3855">
        <v>901</v>
      </c>
      <c r="F28" s="3855">
        <v>699.26</v>
      </c>
      <c r="G28" s="3855" t="s">
        <v>3530</v>
      </c>
    </row>
    <row r="29" spans="1:7" s="3856" customFormat="1" ht="13.5" customHeight="1">
      <c r="A29" s="3855"/>
      <c r="B29" s="3855" t="s">
        <v>21</v>
      </c>
      <c r="C29" s="3855" t="s">
        <v>3513</v>
      </c>
      <c r="D29" s="3855" t="s">
        <v>3529</v>
      </c>
      <c r="E29" s="3855">
        <v>1001</v>
      </c>
      <c r="F29" s="3855">
        <v>699.26</v>
      </c>
      <c r="G29" s="3855" t="s">
        <v>3530</v>
      </c>
    </row>
    <row r="30" spans="1:7" s="3856" customFormat="1" ht="13.5" customHeight="1">
      <c r="A30" s="3855"/>
      <c r="B30" s="3855" t="s">
        <v>21</v>
      </c>
      <c r="C30" s="3855" t="s">
        <v>3513</v>
      </c>
      <c r="D30" s="3855" t="s">
        <v>3529</v>
      </c>
      <c r="E30" s="3855">
        <v>1101</v>
      </c>
      <c r="F30" s="3855">
        <v>699.26</v>
      </c>
      <c r="G30" s="3855" t="s">
        <v>3530</v>
      </c>
    </row>
    <row r="31" spans="1:7" s="3856" customFormat="1" ht="13.5" customHeight="1">
      <c r="A31" s="3855"/>
      <c r="B31" s="3855" t="s">
        <v>3523</v>
      </c>
      <c r="C31" s="3855" t="s">
        <v>3513</v>
      </c>
      <c r="D31" s="3855" t="s">
        <v>3529</v>
      </c>
      <c r="E31" s="3855">
        <v>-101</v>
      </c>
      <c r="F31" s="3855">
        <v>491.39</v>
      </c>
      <c r="G31" s="3855" t="s">
        <v>3530</v>
      </c>
    </row>
    <row r="32" spans="1:7" ht="13.5" customHeight="1">
      <c r="A32" s="3851" t="s">
        <v>3524</v>
      </c>
      <c r="B32" s="3851" t="s">
        <v>3523</v>
      </c>
      <c r="C32" s="3851" t="s">
        <v>3513</v>
      </c>
      <c r="D32" s="3851" t="s">
        <v>3531</v>
      </c>
      <c r="E32" s="3851">
        <v>-102</v>
      </c>
      <c r="F32" s="3851">
        <v>33.270000000000003</v>
      </c>
      <c r="G32" s="3851"/>
    </row>
    <row r="33" spans="1:7" ht="13.5" customHeight="1">
      <c r="A33" s="3851" t="s">
        <v>3524</v>
      </c>
      <c r="B33" s="3851" t="s">
        <v>3523</v>
      </c>
      <c r="C33" s="3851" t="s">
        <v>3513</v>
      </c>
      <c r="D33" s="3851" t="s">
        <v>3531</v>
      </c>
      <c r="E33" s="3851">
        <v>-101</v>
      </c>
      <c r="F33" s="3851">
        <v>104.62</v>
      </c>
      <c r="G33" s="3851"/>
    </row>
    <row r="34" spans="1:7" ht="13.5" customHeight="1">
      <c r="A34" s="3851" t="s">
        <v>3524</v>
      </c>
      <c r="B34" s="3851" t="s">
        <v>2814</v>
      </c>
      <c r="C34" s="3851" t="s">
        <v>3513</v>
      </c>
      <c r="D34" s="3851" t="s">
        <v>3531</v>
      </c>
      <c r="E34" s="3851">
        <v>101</v>
      </c>
      <c r="F34" s="3851">
        <v>644.41999999999996</v>
      </c>
      <c r="G34" s="3851"/>
    </row>
    <row r="35" spans="1:7" ht="13.5" customHeight="1">
      <c r="A35" s="3851" t="s">
        <v>3524</v>
      </c>
      <c r="B35" s="3851" t="s">
        <v>3523</v>
      </c>
      <c r="C35" s="3851" t="s">
        <v>3513</v>
      </c>
      <c r="D35" s="3851" t="s">
        <v>3531</v>
      </c>
      <c r="E35" s="3851">
        <v>102</v>
      </c>
      <c r="F35" s="3851">
        <v>5.38</v>
      </c>
      <c r="G35" s="3851"/>
    </row>
    <row r="36" spans="1:7" s="3856" customFormat="1" ht="13.5" customHeight="1">
      <c r="A36" s="3855" t="s">
        <v>3524</v>
      </c>
      <c r="B36" s="3855" t="s">
        <v>3512</v>
      </c>
      <c r="C36" s="3855" t="s">
        <v>3513</v>
      </c>
      <c r="D36" s="3855" t="s">
        <v>3531</v>
      </c>
      <c r="E36" s="3855">
        <v>103</v>
      </c>
      <c r="F36" s="3855">
        <v>693.21</v>
      </c>
      <c r="G36" s="3855" t="s">
        <v>3530</v>
      </c>
    </row>
    <row r="37" spans="1:7" ht="13.5" customHeight="1">
      <c r="A37" s="3851" t="s">
        <v>3524</v>
      </c>
      <c r="B37" s="3851" t="s">
        <v>21</v>
      </c>
      <c r="C37" s="3851" t="s">
        <v>3513</v>
      </c>
      <c r="D37" s="3851" t="s">
        <v>3531</v>
      </c>
      <c r="E37" s="3851">
        <v>201</v>
      </c>
      <c r="F37" s="3851">
        <v>692.1</v>
      </c>
      <c r="G37" s="3851"/>
    </row>
    <row r="38" spans="1:7" ht="13.5" customHeight="1">
      <c r="A38" s="3851" t="s">
        <v>3524</v>
      </c>
      <c r="B38" s="3851" t="s">
        <v>21</v>
      </c>
      <c r="C38" s="3851" t="s">
        <v>3513</v>
      </c>
      <c r="D38" s="3851" t="s">
        <v>3531</v>
      </c>
      <c r="E38" s="3851">
        <v>301</v>
      </c>
      <c r="F38" s="3851">
        <v>692.1</v>
      </c>
      <c r="G38" s="3851"/>
    </row>
    <row r="39" spans="1:7" ht="13.5" customHeight="1">
      <c r="A39" s="3851" t="s">
        <v>3524</v>
      </c>
      <c r="B39" s="3851" t="s">
        <v>21</v>
      </c>
      <c r="C39" s="3851" t="s">
        <v>3513</v>
      </c>
      <c r="D39" s="3851" t="s">
        <v>3531</v>
      </c>
      <c r="E39" s="3851">
        <v>401</v>
      </c>
      <c r="F39" s="3851">
        <v>692.1</v>
      </c>
      <c r="G39" s="3851"/>
    </row>
    <row r="40" spans="1:7" ht="13.5" customHeight="1">
      <c r="A40" s="3851" t="s">
        <v>3524</v>
      </c>
      <c r="B40" s="3851" t="s">
        <v>21</v>
      </c>
      <c r="C40" s="3851" t="s">
        <v>3513</v>
      </c>
      <c r="D40" s="3851" t="s">
        <v>3531</v>
      </c>
      <c r="E40" s="3851">
        <v>501</v>
      </c>
      <c r="F40" s="3851">
        <v>692.1</v>
      </c>
      <c r="G40" s="3851"/>
    </row>
    <row r="41" spans="1:7" ht="13.5" customHeight="1">
      <c r="A41" s="3851" t="s">
        <v>3524</v>
      </c>
      <c r="B41" s="3851" t="s">
        <v>21</v>
      </c>
      <c r="C41" s="3851" t="s">
        <v>3513</v>
      </c>
      <c r="D41" s="3851" t="s">
        <v>3531</v>
      </c>
      <c r="E41" s="3851">
        <v>601</v>
      </c>
      <c r="F41" s="3851">
        <v>692.1</v>
      </c>
      <c r="G41" s="3851"/>
    </row>
    <row r="42" spans="1:7" ht="13.5" customHeight="1">
      <c r="A42" s="3851" t="s">
        <v>3532</v>
      </c>
      <c r="B42" s="3851" t="s">
        <v>3523</v>
      </c>
      <c r="C42" s="3851" t="s">
        <v>3513</v>
      </c>
      <c r="D42" s="3851" t="s">
        <v>3511</v>
      </c>
      <c r="E42" s="3851">
        <v>-101</v>
      </c>
      <c r="F42" s="3851">
        <v>491.03</v>
      </c>
      <c r="G42" s="3851"/>
    </row>
    <row r="43" spans="1:7" ht="13.5" customHeight="1">
      <c r="A43" s="3851" t="s">
        <v>3532</v>
      </c>
      <c r="B43" s="3851" t="s">
        <v>21</v>
      </c>
      <c r="C43" s="3851" t="s">
        <v>3513</v>
      </c>
      <c r="D43" s="3851" t="s">
        <v>3511</v>
      </c>
      <c r="E43" s="3851">
        <v>201</v>
      </c>
      <c r="F43" s="3851">
        <v>698.34</v>
      </c>
      <c r="G43" s="3851"/>
    </row>
    <row r="44" spans="1:7" ht="13.5" customHeight="1">
      <c r="A44" s="3851" t="s">
        <v>3532</v>
      </c>
      <c r="B44" s="3851" t="s">
        <v>21</v>
      </c>
      <c r="C44" s="3851" t="s">
        <v>3513</v>
      </c>
      <c r="D44" s="3851" t="s">
        <v>3511</v>
      </c>
      <c r="E44" s="3851">
        <v>301</v>
      </c>
      <c r="F44" s="3851">
        <v>698.34</v>
      </c>
      <c r="G44" s="3851"/>
    </row>
    <row r="45" spans="1:7" ht="13.5" customHeight="1">
      <c r="A45" s="3851" t="s">
        <v>3532</v>
      </c>
      <c r="B45" s="3851" t="s">
        <v>21</v>
      </c>
      <c r="C45" s="3851" t="s">
        <v>3513</v>
      </c>
      <c r="D45" s="3851" t="s">
        <v>3511</v>
      </c>
      <c r="E45" s="3851">
        <v>401</v>
      </c>
      <c r="F45" s="3851">
        <v>698.34</v>
      </c>
      <c r="G45" s="3851"/>
    </row>
    <row r="46" spans="1:7" ht="13.5" customHeight="1">
      <c r="A46" s="3851" t="s">
        <v>3532</v>
      </c>
      <c r="B46" s="3851" t="s">
        <v>21</v>
      </c>
      <c r="C46" s="3851" t="s">
        <v>3513</v>
      </c>
      <c r="D46" s="3851" t="s">
        <v>3511</v>
      </c>
      <c r="E46" s="3851">
        <v>501</v>
      </c>
      <c r="F46" s="3851">
        <v>698.34</v>
      </c>
      <c r="G46" s="3851"/>
    </row>
    <row r="47" spans="1:7" ht="13.5" customHeight="1">
      <c r="A47" s="3851" t="s">
        <v>3532</v>
      </c>
      <c r="B47" s="3851" t="s">
        <v>21</v>
      </c>
      <c r="C47" s="3851" t="s">
        <v>3513</v>
      </c>
      <c r="D47" s="3851" t="s">
        <v>3511</v>
      </c>
      <c r="E47" s="3851">
        <v>601</v>
      </c>
      <c r="F47" s="3851">
        <v>698.34</v>
      </c>
      <c r="G47" s="3851"/>
    </row>
    <row r="48" spans="1:7" ht="13.5" customHeight="1">
      <c r="A48" s="3851" t="s">
        <v>3532</v>
      </c>
      <c r="B48" s="3851" t="s">
        <v>21</v>
      </c>
      <c r="C48" s="3851" t="s">
        <v>3513</v>
      </c>
      <c r="D48" s="3851" t="s">
        <v>3511</v>
      </c>
      <c r="E48" s="3851">
        <v>701</v>
      </c>
      <c r="F48" s="3851">
        <v>698.34</v>
      </c>
      <c r="G48" s="3851"/>
    </row>
    <row r="49" spans="1:8" ht="13.5" customHeight="1">
      <c r="A49" s="3851" t="s">
        <v>3532</v>
      </c>
      <c r="B49" s="3851" t="s">
        <v>21</v>
      </c>
      <c r="C49" s="3851" t="s">
        <v>3513</v>
      </c>
      <c r="D49" s="3851" t="s">
        <v>3511</v>
      </c>
      <c r="E49" s="3851">
        <v>801</v>
      </c>
      <c r="F49" s="3851">
        <v>698.34</v>
      </c>
      <c r="G49" s="3851"/>
    </row>
    <row r="50" spans="1:8" ht="13.5" customHeight="1">
      <c r="A50" s="3851" t="s">
        <v>3532</v>
      </c>
      <c r="B50" s="3851" t="s">
        <v>21</v>
      </c>
      <c r="C50" s="3851" t="s">
        <v>3513</v>
      </c>
      <c r="D50" s="3851" t="s">
        <v>3511</v>
      </c>
      <c r="E50" s="3851">
        <v>901</v>
      </c>
      <c r="F50" s="3851">
        <v>698.34</v>
      </c>
      <c r="G50" s="3851"/>
    </row>
    <row r="51" spans="1:8" ht="13.5" customHeight="1">
      <c r="A51" s="3851" t="s">
        <v>3532</v>
      </c>
      <c r="B51" s="3851" t="s">
        <v>21</v>
      </c>
      <c r="C51" s="3851" t="s">
        <v>3513</v>
      </c>
      <c r="D51" s="3851" t="s">
        <v>3511</v>
      </c>
      <c r="E51" s="3851">
        <v>1001</v>
      </c>
      <c r="F51" s="3851">
        <v>698.34</v>
      </c>
      <c r="G51" s="3851"/>
    </row>
    <row r="52" spans="1:8" ht="13.5" customHeight="1">
      <c r="A52" s="3851" t="s">
        <v>3532</v>
      </c>
      <c r="B52" s="3851" t="s">
        <v>21</v>
      </c>
      <c r="C52" s="3851" t="s">
        <v>3513</v>
      </c>
      <c r="D52" s="3851" t="s">
        <v>3511</v>
      </c>
      <c r="E52" s="3851">
        <v>1101</v>
      </c>
      <c r="F52" s="3851">
        <v>698.34</v>
      </c>
      <c r="G52" s="3851"/>
    </row>
    <row r="53" spans="1:8" ht="13.5" customHeight="1">
      <c r="A53" s="3851" t="s">
        <v>3532</v>
      </c>
      <c r="B53" s="3851" t="s">
        <v>21</v>
      </c>
      <c r="C53" s="3851" t="s">
        <v>3513</v>
      </c>
      <c r="D53" s="3851" t="s">
        <v>3511</v>
      </c>
      <c r="E53" s="3851">
        <v>1201</v>
      </c>
      <c r="F53" s="3851">
        <v>698.34</v>
      </c>
      <c r="G53" s="3851"/>
    </row>
    <row r="54" spans="1:8" ht="13.5" customHeight="1">
      <c r="A54" s="3851" t="s">
        <v>3532</v>
      </c>
      <c r="B54" s="3851" t="s">
        <v>2814</v>
      </c>
      <c r="C54" s="3851" t="s">
        <v>3533</v>
      </c>
      <c r="D54" s="3851" t="s">
        <v>3511</v>
      </c>
      <c r="E54" s="3851">
        <v>101</v>
      </c>
      <c r="F54" s="3851">
        <v>704</v>
      </c>
      <c r="G54" s="3851"/>
    </row>
    <row r="55" spans="1:8" ht="13.5" customHeight="1">
      <c r="A55" s="3861" t="s">
        <v>3531</v>
      </c>
      <c r="B55" s="3861" t="s">
        <v>3534</v>
      </c>
      <c r="C55" s="3861" t="s">
        <v>3513</v>
      </c>
      <c r="D55" s="3861" t="s">
        <v>3535</v>
      </c>
      <c r="E55" s="3861">
        <v>101</v>
      </c>
      <c r="F55" s="3861">
        <v>1283.6500000000001</v>
      </c>
      <c r="G55" s="3861"/>
      <c r="H55" s="3861" t="s">
        <v>3536</v>
      </c>
    </row>
    <row r="56" spans="1:8">
      <c r="A56" s="3851" t="s">
        <v>3537</v>
      </c>
      <c r="B56" s="3851" t="s">
        <v>3538</v>
      </c>
      <c r="C56" s="3851" t="s">
        <v>3513</v>
      </c>
      <c r="D56" s="3851" t="s">
        <v>3539</v>
      </c>
      <c r="E56" s="3851" t="s">
        <v>3540</v>
      </c>
      <c r="F56" s="3851">
        <v>35.07</v>
      </c>
      <c r="G56" s="3862"/>
    </row>
    <row r="57" spans="1:8">
      <c r="A57" s="3851" t="s">
        <v>3537</v>
      </c>
      <c r="B57" s="3851" t="s">
        <v>3538</v>
      </c>
      <c r="C57" s="3851" t="s">
        <v>3513</v>
      </c>
      <c r="D57" s="3851" t="s">
        <v>3539</v>
      </c>
      <c r="E57" s="3851" t="s">
        <v>3541</v>
      </c>
      <c r="F57" s="3851">
        <v>35.07</v>
      </c>
      <c r="G57" s="3862"/>
    </row>
    <row r="58" spans="1:8">
      <c r="A58" s="3851" t="s">
        <v>3537</v>
      </c>
      <c r="B58" s="3851" t="s">
        <v>3538</v>
      </c>
      <c r="C58" s="3851" t="s">
        <v>3513</v>
      </c>
      <c r="D58" s="3851" t="s">
        <v>3539</v>
      </c>
      <c r="E58" s="3851" t="s">
        <v>3542</v>
      </c>
      <c r="F58" s="3851">
        <v>35.07</v>
      </c>
      <c r="G58" s="3862"/>
    </row>
    <row r="59" spans="1:8">
      <c r="A59" s="3851" t="s">
        <v>3537</v>
      </c>
      <c r="B59" s="3851" t="s">
        <v>3538</v>
      </c>
      <c r="C59" s="3851" t="s">
        <v>3513</v>
      </c>
      <c r="D59" s="3851" t="s">
        <v>3539</v>
      </c>
      <c r="E59" s="3851" t="s">
        <v>3543</v>
      </c>
      <c r="F59" s="3851">
        <v>35.07</v>
      </c>
      <c r="G59" s="3862"/>
    </row>
    <row r="60" spans="1:8">
      <c r="A60" s="3851" t="s">
        <v>3537</v>
      </c>
      <c r="B60" s="3851" t="s">
        <v>3538</v>
      </c>
      <c r="C60" s="3851" t="s">
        <v>3513</v>
      </c>
      <c r="D60" s="3851" t="s">
        <v>3539</v>
      </c>
      <c r="E60" s="3851" t="s">
        <v>3544</v>
      </c>
      <c r="F60" s="3851">
        <v>35.07</v>
      </c>
      <c r="G60" s="3862"/>
    </row>
    <row r="61" spans="1:8">
      <c r="A61" s="3851" t="s">
        <v>3537</v>
      </c>
      <c r="B61" s="3851" t="s">
        <v>3538</v>
      </c>
      <c r="C61" s="3851" t="s">
        <v>3513</v>
      </c>
      <c r="D61" s="3851" t="s">
        <v>3539</v>
      </c>
      <c r="E61" s="3851" t="s">
        <v>3545</v>
      </c>
      <c r="F61" s="3851">
        <v>35.07</v>
      </c>
      <c r="G61" s="3862"/>
    </row>
    <row r="62" spans="1:8">
      <c r="A62" s="3851" t="s">
        <v>3537</v>
      </c>
      <c r="B62" s="3851" t="s">
        <v>3538</v>
      </c>
      <c r="C62" s="3851" t="s">
        <v>3513</v>
      </c>
      <c r="D62" s="3851" t="s">
        <v>3539</v>
      </c>
      <c r="E62" s="3851" t="s">
        <v>3546</v>
      </c>
      <c r="F62" s="3851">
        <v>35.07</v>
      </c>
      <c r="G62" s="3862"/>
    </row>
    <row r="63" spans="1:8">
      <c r="A63" s="3851" t="s">
        <v>3537</v>
      </c>
      <c r="B63" s="3851" t="s">
        <v>3538</v>
      </c>
      <c r="C63" s="3851" t="s">
        <v>3513</v>
      </c>
      <c r="D63" s="3851" t="s">
        <v>3539</v>
      </c>
      <c r="E63" s="3851" t="s">
        <v>3547</v>
      </c>
      <c r="F63" s="3851">
        <v>35.07</v>
      </c>
      <c r="G63" s="3862"/>
    </row>
    <row r="64" spans="1:8">
      <c r="A64" s="3851" t="s">
        <v>3537</v>
      </c>
      <c r="B64" s="3851" t="s">
        <v>3538</v>
      </c>
      <c r="C64" s="3851" t="s">
        <v>3513</v>
      </c>
      <c r="D64" s="3851" t="s">
        <v>3539</v>
      </c>
      <c r="E64" s="3851" t="s">
        <v>3548</v>
      </c>
      <c r="F64" s="3851">
        <v>35.07</v>
      </c>
      <c r="G64" s="3862"/>
    </row>
    <row r="65" spans="1:7" ht="13.5" customHeight="1">
      <c r="A65" s="3851" t="s">
        <v>3537</v>
      </c>
      <c r="B65" s="3851" t="s">
        <v>3523</v>
      </c>
      <c r="C65" s="3851" t="s">
        <v>3513</v>
      </c>
      <c r="D65" s="3851" t="s">
        <v>3539</v>
      </c>
      <c r="E65" s="3851" t="s">
        <v>3549</v>
      </c>
      <c r="F65" s="3851">
        <v>5.12</v>
      </c>
      <c r="G65" s="3862"/>
    </row>
    <row r="66" spans="1:7">
      <c r="A66" s="3851" t="s">
        <v>3537</v>
      </c>
      <c r="B66" s="3851" t="s">
        <v>3538</v>
      </c>
      <c r="C66" s="3851" t="s">
        <v>3513</v>
      </c>
      <c r="D66" s="3851" t="s">
        <v>3539</v>
      </c>
      <c r="E66" s="3851" t="s">
        <v>3550</v>
      </c>
      <c r="F66" s="3851">
        <v>35.07</v>
      </c>
      <c r="G66" s="3862"/>
    </row>
    <row r="67" spans="1:7">
      <c r="A67" s="3851" t="s">
        <v>3537</v>
      </c>
      <c r="B67" s="3851" t="s">
        <v>3538</v>
      </c>
      <c r="C67" s="3851" t="s">
        <v>3513</v>
      </c>
      <c r="D67" s="3851" t="s">
        <v>3539</v>
      </c>
      <c r="E67" s="3851" t="s">
        <v>3551</v>
      </c>
      <c r="F67" s="3851">
        <v>35.07</v>
      </c>
      <c r="G67" s="3862"/>
    </row>
    <row r="68" spans="1:7">
      <c r="A68" s="3851" t="s">
        <v>3537</v>
      </c>
      <c r="B68" s="3851" t="s">
        <v>3538</v>
      </c>
      <c r="C68" s="3851" t="s">
        <v>3513</v>
      </c>
      <c r="D68" s="3851" t="s">
        <v>3539</v>
      </c>
      <c r="E68" s="3851" t="s">
        <v>3552</v>
      </c>
      <c r="F68" s="3851">
        <v>35.07</v>
      </c>
      <c r="G68" s="3862"/>
    </row>
    <row r="69" spans="1:7">
      <c r="A69" s="3851" t="s">
        <v>3553</v>
      </c>
      <c r="B69" s="3851" t="s">
        <v>3538</v>
      </c>
      <c r="C69" s="3851" t="s">
        <v>3513</v>
      </c>
      <c r="D69" s="3851" t="s">
        <v>3539</v>
      </c>
      <c r="E69" s="3851" t="s">
        <v>3554</v>
      </c>
      <c r="F69" s="3851">
        <v>35.07</v>
      </c>
      <c r="G69" s="3862"/>
    </row>
    <row r="70" spans="1:7">
      <c r="A70" s="3851" t="s">
        <v>3553</v>
      </c>
      <c r="B70" s="3851" t="s">
        <v>3538</v>
      </c>
      <c r="C70" s="3851" t="s">
        <v>3513</v>
      </c>
      <c r="D70" s="3851" t="s">
        <v>3539</v>
      </c>
      <c r="E70" s="3851" t="s">
        <v>3555</v>
      </c>
      <c r="F70" s="3851">
        <v>35.07</v>
      </c>
      <c r="G70" s="3862"/>
    </row>
    <row r="71" spans="1:7">
      <c r="A71" s="3851" t="s">
        <v>3553</v>
      </c>
      <c r="B71" s="3851" t="s">
        <v>3538</v>
      </c>
      <c r="C71" s="3851" t="s">
        <v>3513</v>
      </c>
      <c r="D71" s="3851" t="s">
        <v>3539</v>
      </c>
      <c r="E71" s="3851" t="s">
        <v>3556</v>
      </c>
      <c r="F71" s="3851">
        <v>35.07</v>
      </c>
      <c r="G71" s="3862"/>
    </row>
    <row r="72" spans="1:7">
      <c r="A72" s="3851" t="s">
        <v>3553</v>
      </c>
      <c r="B72" s="3851" t="s">
        <v>3538</v>
      </c>
      <c r="C72" s="3851" t="s">
        <v>3513</v>
      </c>
      <c r="D72" s="3851" t="s">
        <v>3539</v>
      </c>
      <c r="E72" s="3851" t="s">
        <v>3557</v>
      </c>
      <c r="F72" s="3851">
        <v>33.74</v>
      </c>
      <c r="G72" s="3862"/>
    </row>
    <row r="73" spans="1:7">
      <c r="A73" s="3851" t="s">
        <v>3553</v>
      </c>
      <c r="B73" s="3851" t="s">
        <v>3538</v>
      </c>
      <c r="C73" s="3851" t="s">
        <v>3513</v>
      </c>
      <c r="D73" s="3851" t="s">
        <v>3539</v>
      </c>
      <c r="E73" s="3851" t="s">
        <v>3558</v>
      </c>
      <c r="F73" s="3851">
        <v>33.74</v>
      </c>
      <c r="G73" s="3862"/>
    </row>
    <row r="74" spans="1:7">
      <c r="A74" s="3851" t="s">
        <v>3553</v>
      </c>
      <c r="B74" s="3851" t="s">
        <v>3538</v>
      </c>
      <c r="C74" s="3851" t="s">
        <v>3513</v>
      </c>
      <c r="D74" s="3851" t="s">
        <v>3539</v>
      </c>
      <c r="E74" s="3851" t="s">
        <v>3559</v>
      </c>
      <c r="F74" s="3851">
        <v>33.74</v>
      </c>
      <c r="G74" s="3862"/>
    </row>
    <row r="75" spans="1:7">
      <c r="A75" s="3851" t="s">
        <v>3553</v>
      </c>
      <c r="B75" s="3851" t="s">
        <v>3538</v>
      </c>
      <c r="C75" s="3851" t="s">
        <v>3513</v>
      </c>
      <c r="D75" s="3851" t="s">
        <v>3539</v>
      </c>
      <c r="E75" s="3851" t="s">
        <v>3560</v>
      </c>
      <c r="F75" s="3851">
        <v>33.74</v>
      </c>
      <c r="G75" s="3862"/>
    </row>
    <row r="76" spans="1:7" ht="13.5" customHeight="1">
      <c r="A76" s="3851" t="s">
        <v>3553</v>
      </c>
      <c r="B76" s="3851" t="s">
        <v>3523</v>
      </c>
      <c r="C76" s="3851" t="s">
        <v>3513</v>
      </c>
      <c r="D76" s="3851" t="s">
        <v>3539</v>
      </c>
      <c r="E76" s="3851" t="s">
        <v>3561</v>
      </c>
      <c r="F76" s="3851">
        <v>5.14</v>
      </c>
      <c r="G76" s="3862"/>
    </row>
    <row r="77" spans="1:7">
      <c r="A77" s="3851" t="s">
        <v>3553</v>
      </c>
      <c r="B77" s="3851" t="s">
        <v>3538</v>
      </c>
      <c r="C77" s="3851" t="s">
        <v>3513</v>
      </c>
      <c r="D77" s="3851" t="s">
        <v>3539</v>
      </c>
      <c r="E77" s="3851" t="s">
        <v>3562</v>
      </c>
      <c r="F77" s="3851">
        <v>33.74</v>
      </c>
      <c r="G77" s="3862"/>
    </row>
    <row r="78" spans="1:7">
      <c r="A78" s="3851" t="s">
        <v>3553</v>
      </c>
      <c r="B78" s="3851" t="s">
        <v>3538</v>
      </c>
      <c r="C78" s="3851" t="s">
        <v>3513</v>
      </c>
      <c r="D78" s="3851" t="s">
        <v>3539</v>
      </c>
      <c r="E78" s="3851" t="s">
        <v>3563</v>
      </c>
      <c r="F78" s="3851">
        <v>33.74</v>
      </c>
      <c r="G78" s="3862"/>
    </row>
    <row r="79" spans="1:7">
      <c r="A79" s="3851" t="s">
        <v>3553</v>
      </c>
      <c r="B79" s="3851" t="s">
        <v>3538</v>
      </c>
      <c r="C79" s="3851" t="s">
        <v>3513</v>
      </c>
      <c r="D79" s="3851" t="s">
        <v>3539</v>
      </c>
      <c r="E79" s="3851" t="s">
        <v>3564</v>
      </c>
      <c r="F79" s="3851">
        <v>33.74</v>
      </c>
      <c r="G79" s="3862"/>
    </row>
    <row r="80" spans="1:7">
      <c r="A80" s="3851" t="s">
        <v>3553</v>
      </c>
      <c r="B80" s="3851" t="s">
        <v>3538</v>
      </c>
      <c r="C80" s="3851" t="s">
        <v>3513</v>
      </c>
      <c r="D80" s="3851" t="s">
        <v>3539</v>
      </c>
      <c r="E80" s="3851" t="s">
        <v>3565</v>
      </c>
      <c r="F80" s="3851">
        <v>33.74</v>
      </c>
      <c r="G80" s="3862"/>
    </row>
    <row r="81" spans="1:7">
      <c r="A81" s="3851" t="s">
        <v>3553</v>
      </c>
      <c r="B81" s="3851" t="s">
        <v>3538</v>
      </c>
      <c r="C81" s="3851" t="s">
        <v>3513</v>
      </c>
      <c r="D81" s="3851" t="s">
        <v>3539</v>
      </c>
      <c r="E81" s="3851" t="s">
        <v>3566</v>
      </c>
      <c r="F81" s="3851">
        <v>33.74</v>
      </c>
      <c r="G81" s="3862"/>
    </row>
    <row r="82" spans="1:7">
      <c r="A82" s="3851" t="s">
        <v>3553</v>
      </c>
      <c r="B82" s="3851" t="s">
        <v>3538</v>
      </c>
      <c r="C82" s="3851" t="s">
        <v>3513</v>
      </c>
      <c r="D82" s="3851" t="s">
        <v>3539</v>
      </c>
      <c r="E82" s="3851" t="s">
        <v>3567</v>
      </c>
      <c r="F82" s="3851">
        <v>35.07</v>
      </c>
      <c r="G82" s="3862"/>
    </row>
    <row r="83" spans="1:7">
      <c r="A83" s="3851" t="s">
        <v>3553</v>
      </c>
      <c r="B83" s="3851" t="s">
        <v>3538</v>
      </c>
      <c r="C83" s="3851" t="s">
        <v>3513</v>
      </c>
      <c r="D83" s="3851" t="s">
        <v>3539</v>
      </c>
      <c r="E83" s="3851" t="s">
        <v>3568</v>
      </c>
      <c r="F83" s="3851">
        <v>35.07</v>
      </c>
      <c r="G83" s="3862"/>
    </row>
    <row r="84" spans="1:7" s="3864" customFormat="1">
      <c r="A84" s="3863" t="s">
        <v>3537</v>
      </c>
      <c r="B84" s="3863" t="s">
        <v>3538</v>
      </c>
      <c r="C84" s="3863" t="s">
        <v>3513</v>
      </c>
      <c r="D84" s="3863" t="s">
        <v>3539</v>
      </c>
      <c r="E84" s="3863" t="s">
        <v>3569</v>
      </c>
      <c r="F84" s="3863">
        <v>35.07</v>
      </c>
      <c r="G84" s="3863" t="s">
        <v>3530</v>
      </c>
    </row>
    <row r="85" spans="1:7">
      <c r="A85" s="3851" t="s">
        <v>3537</v>
      </c>
      <c r="B85" s="3851" t="s">
        <v>3538</v>
      </c>
      <c r="C85" s="3851" t="s">
        <v>3513</v>
      </c>
      <c r="D85" s="3851" t="s">
        <v>3539</v>
      </c>
      <c r="E85" s="3851" t="s">
        <v>3570</v>
      </c>
      <c r="F85" s="3851">
        <v>35.07</v>
      </c>
      <c r="G85" s="3862"/>
    </row>
    <row r="86" spans="1:7" s="3864" customFormat="1">
      <c r="A86" s="3863" t="s">
        <v>3537</v>
      </c>
      <c r="B86" s="3863" t="s">
        <v>3538</v>
      </c>
      <c r="C86" s="3863" t="s">
        <v>3513</v>
      </c>
      <c r="D86" s="3863" t="s">
        <v>3539</v>
      </c>
      <c r="E86" s="3863" t="s">
        <v>3571</v>
      </c>
      <c r="F86" s="3863">
        <v>35.07</v>
      </c>
      <c r="G86" s="3863" t="s">
        <v>3530</v>
      </c>
    </row>
    <row r="87" spans="1:7" ht="13.5" customHeight="1">
      <c r="A87" s="3851" t="s">
        <v>3537</v>
      </c>
      <c r="B87" s="3851" t="s">
        <v>3523</v>
      </c>
      <c r="C87" s="3851" t="s">
        <v>3513</v>
      </c>
      <c r="D87" s="3851" t="s">
        <v>3539</v>
      </c>
      <c r="E87" s="3851" t="s">
        <v>3572</v>
      </c>
      <c r="F87" s="3851">
        <v>5.04</v>
      </c>
      <c r="G87" s="3862"/>
    </row>
    <row r="88" spans="1:7" s="3864" customFormat="1">
      <c r="A88" s="3863" t="s">
        <v>3537</v>
      </c>
      <c r="B88" s="3863" t="s">
        <v>3538</v>
      </c>
      <c r="C88" s="3863" t="s">
        <v>3513</v>
      </c>
      <c r="D88" s="3863" t="s">
        <v>3539</v>
      </c>
      <c r="E88" s="3863" t="s">
        <v>3573</v>
      </c>
      <c r="F88" s="3863">
        <v>35.07</v>
      </c>
      <c r="G88" s="3863" t="s">
        <v>3530</v>
      </c>
    </row>
    <row r="89" spans="1:7" s="3864" customFormat="1">
      <c r="A89" s="3863" t="s">
        <v>3537</v>
      </c>
      <c r="B89" s="3863" t="s">
        <v>3538</v>
      </c>
      <c r="C89" s="3863" t="s">
        <v>3513</v>
      </c>
      <c r="D89" s="3863" t="s">
        <v>3539</v>
      </c>
      <c r="E89" s="3863" t="s">
        <v>3574</v>
      </c>
      <c r="F89" s="3863">
        <v>35.07</v>
      </c>
      <c r="G89" s="3863" t="s">
        <v>3530</v>
      </c>
    </row>
    <row r="90" spans="1:7" s="3864" customFormat="1">
      <c r="A90" s="3863" t="s">
        <v>3537</v>
      </c>
      <c r="B90" s="3863" t="s">
        <v>3538</v>
      </c>
      <c r="C90" s="3863" t="s">
        <v>3513</v>
      </c>
      <c r="D90" s="3863" t="s">
        <v>3539</v>
      </c>
      <c r="E90" s="3863" t="s">
        <v>3575</v>
      </c>
      <c r="F90" s="3863">
        <v>35.07</v>
      </c>
      <c r="G90" s="3863" t="s">
        <v>3530</v>
      </c>
    </row>
    <row r="91" spans="1:7">
      <c r="A91" s="3851" t="s">
        <v>3537</v>
      </c>
      <c r="B91" s="3851" t="s">
        <v>3538</v>
      </c>
      <c r="C91" s="3851" t="s">
        <v>3513</v>
      </c>
      <c r="D91" s="3851" t="s">
        <v>3539</v>
      </c>
      <c r="E91" s="3851" t="s">
        <v>3576</v>
      </c>
      <c r="F91" s="3851">
        <v>35.07</v>
      </c>
      <c r="G91" s="3862"/>
    </row>
    <row r="92" spans="1:7">
      <c r="A92" s="3851" t="s">
        <v>3537</v>
      </c>
      <c r="B92" s="3851" t="s">
        <v>3538</v>
      </c>
      <c r="C92" s="3851" t="s">
        <v>3513</v>
      </c>
      <c r="D92" s="3851" t="s">
        <v>3539</v>
      </c>
      <c r="E92" s="3851" t="s">
        <v>3577</v>
      </c>
      <c r="F92" s="3851">
        <v>35.07</v>
      </c>
      <c r="G92" s="3862"/>
    </row>
    <row r="93" spans="1:7">
      <c r="A93" s="3851" t="s">
        <v>3537</v>
      </c>
      <c r="B93" s="3851" t="s">
        <v>3538</v>
      </c>
      <c r="C93" s="3851" t="s">
        <v>3513</v>
      </c>
      <c r="D93" s="3851" t="s">
        <v>3539</v>
      </c>
      <c r="E93" s="3851" t="s">
        <v>3578</v>
      </c>
      <c r="F93" s="3851">
        <v>35.07</v>
      </c>
      <c r="G93" s="3862"/>
    </row>
    <row r="94" spans="1:7">
      <c r="A94" s="3851" t="s">
        <v>3537</v>
      </c>
      <c r="B94" s="3851" t="s">
        <v>3538</v>
      </c>
      <c r="C94" s="3851" t="s">
        <v>3513</v>
      </c>
      <c r="D94" s="3851" t="s">
        <v>3539</v>
      </c>
      <c r="E94" s="3851" t="s">
        <v>3579</v>
      </c>
      <c r="F94" s="3851">
        <v>35.07</v>
      </c>
      <c r="G94" s="3862"/>
    </row>
    <row r="95" spans="1:7">
      <c r="A95" s="3851" t="s">
        <v>3537</v>
      </c>
      <c r="B95" s="3851" t="s">
        <v>3538</v>
      </c>
      <c r="C95" s="3851" t="s">
        <v>3513</v>
      </c>
      <c r="D95" s="3851" t="s">
        <v>3539</v>
      </c>
      <c r="E95" s="3851" t="s">
        <v>3580</v>
      </c>
      <c r="F95" s="3851">
        <v>35.07</v>
      </c>
      <c r="G95" s="3862"/>
    </row>
    <row r="96" spans="1:7">
      <c r="A96" s="3851" t="s">
        <v>3537</v>
      </c>
      <c r="B96" s="3851" t="s">
        <v>3538</v>
      </c>
      <c r="C96" s="3851" t="s">
        <v>3513</v>
      </c>
      <c r="D96" s="3851" t="s">
        <v>3539</v>
      </c>
      <c r="E96" s="3851" t="s">
        <v>3581</v>
      </c>
      <c r="F96" s="3851">
        <v>35.07</v>
      </c>
      <c r="G96" s="3862"/>
    </row>
    <row r="97" spans="1:7" s="3864" customFormat="1">
      <c r="A97" s="3863" t="s">
        <v>3537</v>
      </c>
      <c r="B97" s="3863" t="s">
        <v>3538</v>
      </c>
      <c r="C97" s="3863" t="s">
        <v>3513</v>
      </c>
      <c r="D97" s="3863" t="s">
        <v>3539</v>
      </c>
      <c r="E97" s="3863" t="s">
        <v>3582</v>
      </c>
      <c r="F97" s="3863">
        <v>35.07</v>
      </c>
      <c r="G97" s="3863" t="s">
        <v>3530</v>
      </c>
    </row>
    <row r="98" spans="1:7" ht="13.5" customHeight="1">
      <c r="A98" s="3851" t="s">
        <v>3537</v>
      </c>
      <c r="B98" s="3851" t="s">
        <v>3523</v>
      </c>
      <c r="C98" s="3851" t="s">
        <v>3513</v>
      </c>
      <c r="D98" s="3851" t="s">
        <v>3539</v>
      </c>
      <c r="E98" s="3851" t="s">
        <v>3583</v>
      </c>
      <c r="F98" s="3851">
        <v>4.92</v>
      </c>
      <c r="G98" s="3862"/>
    </row>
    <row r="99" spans="1:7">
      <c r="A99" s="3851" t="s">
        <v>3537</v>
      </c>
      <c r="B99" s="3851" t="s">
        <v>3538</v>
      </c>
      <c r="C99" s="3851" t="s">
        <v>3513</v>
      </c>
      <c r="D99" s="3851" t="s">
        <v>3539</v>
      </c>
      <c r="E99" s="3851" t="s">
        <v>3584</v>
      </c>
      <c r="F99" s="3851">
        <v>35.07</v>
      </c>
      <c r="G99" s="3862"/>
    </row>
    <row r="100" spans="1:7" s="3864" customFormat="1">
      <c r="A100" s="3863" t="s">
        <v>3537</v>
      </c>
      <c r="B100" s="3863" t="s">
        <v>3538</v>
      </c>
      <c r="C100" s="3863" t="s">
        <v>3513</v>
      </c>
      <c r="D100" s="3863" t="s">
        <v>3539</v>
      </c>
      <c r="E100" s="3863" t="s">
        <v>3585</v>
      </c>
      <c r="F100" s="3863">
        <v>35.07</v>
      </c>
      <c r="G100" s="3863" t="s">
        <v>3530</v>
      </c>
    </row>
    <row r="101" spans="1:7">
      <c r="A101" s="3851" t="s">
        <v>3537</v>
      </c>
      <c r="B101" s="3851" t="s">
        <v>3538</v>
      </c>
      <c r="C101" s="3851" t="s">
        <v>3513</v>
      </c>
      <c r="D101" s="3851" t="s">
        <v>3539</v>
      </c>
      <c r="E101" s="3851" t="s">
        <v>3586</v>
      </c>
      <c r="F101" s="3851">
        <v>35.07</v>
      </c>
      <c r="G101" s="3862"/>
    </row>
    <row r="102" spans="1:7" s="3864" customFormat="1">
      <c r="A102" s="3863" t="s">
        <v>3537</v>
      </c>
      <c r="B102" s="3863" t="s">
        <v>3538</v>
      </c>
      <c r="C102" s="3863" t="s">
        <v>3513</v>
      </c>
      <c r="D102" s="3863" t="s">
        <v>3539</v>
      </c>
      <c r="E102" s="3863" t="s">
        <v>3587</v>
      </c>
      <c r="F102" s="3863">
        <v>35.07</v>
      </c>
      <c r="G102" s="3863" t="s">
        <v>3530</v>
      </c>
    </row>
    <row r="103" spans="1:7">
      <c r="A103" s="3851" t="s">
        <v>3537</v>
      </c>
      <c r="B103" s="3851" t="s">
        <v>3538</v>
      </c>
      <c r="C103" s="3851" t="s">
        <v>3513</v>
      </c>
      <c r="D103" s="3851" t="s">
        <v>3539</v>
      </c>
      <c r="E103" s="3851" t="s">
        <v>3588</v>
      </c>
      <c r="F103" s="3851">
        <v>35.07</v>
      </c>
      <c r="G103" s="3862"/>
    </row>
    <row r="104" spans="1:7">
      <c r="A104" s="3851" t="s">
        <v>3537</v>
      </c>
      <c r="B104" s="3851" t="s">
        <v>3538</v>
      </c>
      <c r="C104" s="3851" t="s">
        <v>3513</v>
      </c>
      <c r="D104" s="3851" t="s">
        <v>3539</v>
      </c>
      <c r="E104" s="3851" t="s">
        <v>3589</v>
      </c>
      <c r="F104" s="3851">
        <v>35.07</v>
      </c>
      <c r="G104" s="3862"/>
    </row>
    <row r="105" spans="1:7">
      <c r="A105" s="3851" t="s">
        <v>3537</v>
      </c>
      <c r="B105" s="3851" t="s">
        <v>3538</v>
      </c>
      <c r="C105" s="3851" t="s">
        <v>3513</v>
      </c>
      <c r="D105" s="3851" t="s">
        <v>3539</v>
      </c>
      <c r="E105" s="3851" t="s">
        <v>3590</v>
      </c>
      <c r="F105" s="3851">
        <v>35.07</v>
      </c>
      <c r="G105" s="3862"/>
    </row>
    <row r="106" spans="1:7" s="3864" customFormat="1">
      <c r="A106" s="3863" t="s">
        <v>3537</v>
      </c>
      <c r="B106" s="3863" t="s">
        <v>3538</v>
      </c>
      <c r="C106" s="3863" t="s">
        <v>3513</v>
      </c>
      <c r="D106" s="3863" t="s">
        <v>3539</v>
      </c>
      <c r="E106" s="3863" t="s">
        <v>3591</v>
      </c>
      <c r="F106" s="3863">
        <v>35.07</v>
      </c>
      <c r="G106" s="3863" t="s">
        <v>3592</v>
      </c>
    </row>
    <row r="107" spans="1:7" s="3864" customFormat="1">
      <c r="A107" s="3863" t="s">
        <v>3553</v>
      </c>
      <c r="B107" s="3863" t="s">
        <v>3538</v>
      </c>
      <c r="C107" s="3863" t="s">
        <v>3513</v>
      </c>
      <c r="D107" s="3863" t="s">
        <v>3539</v>
      </c>
      <c r="E107" s="3863" t="s">
        <v>3593</v>
      </c>
      <c r="F107" s="3863">
        <v>35.07</v>
      </c>
      <c r="G107" s="3863" t="s">
        <v>3592</v>
      </c>
    </row>
    <row r="108" spans="1:7">
      <c r="A108" s="3851" t="s">
        <v>3553</v>
      </c>
      <c r="B108" s="3851" t="s">
        <v>3538</v>
      </c>
      <c r="C108" s="3851" t="s">
        <v>3513</v>
      </c>
      <c r="D108" s="3851" t="s">
        <v>3539</v>
      </c>
      <c r="E108" s="3851" t="s">
        <v>3594</v>
      </c>
      <c r="F108" s="3851">
        <v>35.07</v>
      </c>
      <c r="G108" s="3862"/>
    </row>
    <row r="109" spans="1:7" ht="13.5" customHeight="1">
      <c r="A109" s="3851" t="s">
        <v>3553</v>
      </c>
      <c r="B109" s="3851" t="s">
        <v>3523</v>
      </c>
      <c r="C109" s="3851" t="s">
        <v>3513</v>
      </c>
      <c r="D109" s="3851" t="s">
        <v>3539</v>
      </c>
      <c r="E109" s="3851" t="s">
        <v>3595</v>
      </c>
      <c r="F109" s="3851">
        <v>4.93</v>
      </c>
      <c r="G109" s="3862"/>
    </row>
    <row r="110" spans="1:7">
      <c r="A110" s="3851" t="s">
        <v>3553</v>
      </c>
      <c r="B110" s="3851" t="s">
        <v>3538</v>
      </c>
      <c r="C110" s="3851" t="s">
        <v>3513</v>
      </c>
      <c r="D110" s="3851" t="s">
        <v>3539</v>
      </c>
      <c r="E110" s="3851" t="s">
        <v>3596</v>
      </c>
      <c r="F110" s="3851">
        <v>35.07</v>
      </c>
      <c r="G110" s="3862"/>
    </row>
    <row r="111" spans="1:7">
      <c r="A111" s="3851" t="s">
        <v>3553</v>
      </c>
      <c r="B111" s="3851" t="s">
        <v>3538</v>
      </c>
      <c r="C111" s="3851" t="s">
        <v>3513</v>
      </c>
      <c r="D111" s="3851" t="s">
        <v>3539</v>
      </c>
      <c r="E111" s="3851" t="s">
        <v>3597</v>
      </c>
      <c r="F111" s="3851">
        <v>35.07</v>
      </c>
      <c r="G111" s="3862"/>
    </row>
    <row r="112" spans="1:7">
      <c r="A112" s="3851" t="s">
        <v>3553</v>
      </c>
      <c r="B112" s="3851" t="s">
        <v>3538</v>
      </c>
      <c r="C112" s="3851" t="s">
        <v>3513</v>
      </c>
      <c r="D112" s="3851" t="s">
        <v>3539</v>
      </c>
      <c r="E112" s="3851" t="s">
        <v>3598</v>
      </c>
      <c r="F112" s="3851">
        <v>35.07</v>
      </c>
      <c r="G112" s="3862"/>
    </row>
    <row r="113" spans="1:7">
      <c r="A113" s="3851" t="s">
        <v>3553</v>
      </c>
      <c r="B113" s="3851" t="s">
        <v>3538</v>
      </c>
      <c r="C113" s="3851" t="s">
        <v>3513</v>
      </c>
      <c r="D113" s="3851" t="s">
        <v>3539</v>
      </c>
      <c r="E113" s="3851" t="s">
        <v>3599</v>
      </c>
      <c r="F113" s="3851">
        <v>35.07</v>
      </c>
      <c r="G113" s="3862"/>
    </row>
    <row r="114" spans="1:7">
      <c r="A114" s="3851" t="s">
        <v>3553</v>
      </c>
      <c r="B114" s="3851" t="s">
        <v>3538</v>
      </c>
      <c r="C114" s="3851" t="s">
        <v>3513</v>
      </c>
      <c r="D114" s="3851" t="s">
        <v>3539</v>
      </c>
      <c r="E114" s="3851" t="s">
        <v>3600</v>
      </c>
      <c r="F114" s="3851">
        <v>35.07</v>
      </c>
      <c r="G114" s="3862"/>
    </row>
    <row r="115" spans="1:7">
      <c r="A115" s="3851" t="s">
        <v>3553</v>
      </c>
      <c r="B115" s="3851" t="s">
        <v>3538</v>
      </c>
      <c r="C115" s="3851" t="s">
        <v>3513</v>
      </c>
      <c r="D115" s="3851" t="s">
        <v>3539</v>
      </c>
      <c r="E115" s="3851" t="s">
        <v>3601</v>
      </c>
      <c r="F115" s="3851">
        <v>35.07</v>
      </c>
      <c r="G115" s="3862"/>
    </row>
    <row r="116" spans="1:7">
      <c r="A116" s="3851" t="s">
        <v>3553</v>
      </c>
      <c r="B116" s="3851" t="s">
        <v>3538</v>
      </c>
      <c r="C116" s="3851" t="s">
        <v>3513</v>
      </c>
      <c r="D116" s="3851" t="s">
        <v>3539</v>
      </c>
      <c r="E116" s="3851" t="s">
        <v>3602</v>
      </c>
      <c r="F116" s="3851">
        <v>35.07</v>
      </c>
      <c r="G116" s="3862"/>
    </row>
    <row r="117" spans="1:7">
      <c r="A117" s="3851" t="s">
        <v>3553</v>
      </c>
      <c r="B117" s="3851" t="s">
        <v>3538</v>
      </c>
      <c r="C117" s="3851" t="s">
        <v>3513</v>
      </c>
      <c r="D117" s="3851" t="s">
        <v>3539</v>
      </c>
      <c r="E117" s="3851" t="s">
        <v>3603</v>
      </c>
      <c r="F117" s="3851">
        <v>35.07</v>
      </c>
      <c r="G117" s="3862"/>
    </row>
    <row r="118" spans="1:7">
      <c r="A118" s="3851" t="s">
        <v>3553</v>
      </c>
      <c r="B118" s="3851" t="s">
        <v>3538</v>
      </c>
      <c r="C118" s="3851" t="s">
        <v>3513</v>
      </c>
      <c r="D118" s="3851" t="s">
        <v>3539</v>
      </c>
      <c r="E118" s="3851" t="s">
        <v>3604</v>
      </c>
      <c r="F118" s="3851">
        <v>35.07</v>
      </c>
      <c r="G118" s="3862"/>
    </row>
    <row r="119" spans="1:7">
      <c r="A119" s="3851" t="s">
        <v>3553</v>
      </c>
      <c r="B119" s="3851" t="s">
        <v>3538</v>
      </c>
      <c r="C119" s="3851" t="s">
        <v>3513</v>
      </c>
      <c r="D119" s="3851" t="s">
        <v>3539</v>
      </c>
      <c r="E119" s="3851" t="s">
        <v>3605</v>
      </c>
      <c r="F119" s="3851">
        <v>35.07</v>
      </c>
      <c r="G119" s="3862"/>
    </row>
    <row r="120" spans="1:7">
      <c r="A120" s="3851" t="s">
        <v>3553</v>
      </c>
      <c r="B120" s="3851" t="s">
        <v>3538</v>
      </c>
      <c r="C120" s="3851" t="s">
        <v>3513</v>
      </c>
      <c r="D120" s="3851" t="s">
        <v>3539</v>
      </c>
      <c r="E120" s="3851" t="s">
        <v>3606</v>
      </c>
      <c r="F120" s="3851">
        <v>35.07</v>
      </c>
      <c r="G120" s="3862"/>
    </row>
    <row r="121" spans="1:7">
      <c r="A121" s="3851" t="s">
        <v>3553</v>
      </c>
      <c r="B121" s="3851" t="s">
        <v>3538</v>
      </c>
      <c r="C121" s="3851" t="s">
        <v>3513</v>
      </c>
      <c r="D121" s="3851" t="s">
        <v>3539</v>
      </c>
      <c r="E121" s="3851" t="s">
        <v>3607</v>
      </c>
      <c r="F121" s="3851">
        <v>35.07</v>
      </c>
      <c r="G121" s="3862"/>
    </row>
    <row r="122" spans="1:7">
      <c r="A122" s="3851" t="s">
        <v>3608</v>
      </c>
      <c r="B122" s="3851" t="s">
        <v>3538</v>
      </c>
      <c r="C122" s="3851" t="s">
        <v>3513</v>
      </c>
      <c r="D122" s="3851" t="s">
        <v>3539</v>
      </c>
      <c r="E122" s="3851" t="s">
        <v>3609</v>
      </c>
      <c r="F122" s="3851">
        <v>35.07</v>
      </c>
      <c r="G122" s="3862"/>
    </row>
    <row r="123" spans="1:7">
      <c r="A123" s="3851" t="s">
        <v>3608</v>
      </c>
      <c r="B123" s="3851" t="s">
        <v>3538</v>
      </c>
      <c r="C123" s="3851" t="s">
        <v>3513</v>
      </c>
      <c r="D123" s="3851" t="s">
        <v>3539</v>
      </c>
      <c r="E123" s="3851" t="s">
        <v>3610</v>
      </c>
      <c r="F123" s="3851">
        <v>35.07</v>
      </c>
      <c r="G123" s="3862"/>
    </row>
    <row r="124" spans="1:7">
      <c r="A124" s="3851" t="s">
        <v>3608</v>
      </c>
      <c r="B124" s="3851" t="s">
        <v>3538</v>
      </c>
      <c r="C124" s="3851" t="s">
        <v>3513</v>
      </c>
      <c r="D124" s="3851" t="s">
        <v>3539</v>
      </c>
      <c r="E124" s="3851" t="s">
        <v>3611</v>
      </c>
      <c r="F124" s="3851">
        <v>35.07</v>
      </c>
      <c r="G124" s="3862"/>
    </row>
    <row r="125" spans="1:7">
      <c r="A125" s="3851" t="s">
        <v>3608</v>
      </c>
      <c r="B125" s="3851" t="s">
        <v>3538</v>
      </c>
      <c r="C125" s="3851" t="s">
        <v>3513</v>
      </c>
      <c r="D125" s="3851" t="s">
        <v>3539</v>
      </c>
      <c r="E125" s="3851" t="s">
        <v>3612</v>
      </c>
      <c r="F125" s="3851">
        <v>35.07</v>
      </c>
      <c r="G125" s="3862"/>
    </row>
    <row r="126" spans="1:7">
      <c r="A126" s="3851" t="s">
        <v>3608</v>
      </c>
      <c r="B126" s="3851" t="s">
        <v>3538</v>
      </c>
      <c r="C126" s="3851" t="s">
        <v>3513</v>
      </c>
      <c r="D126" s="3851" t="s">
        <v>3539</v>
      </c>
      <c r="E126" s="3851" t="s">
        <v>3613</v>
      </c>
      <c r="F126" s="3851">
        <v>35.07</v>
      </c>
      <c r="G126" s="3862"/>
    </row>
    <row r="127" spans="1:7">
      <c r="A127" s="3851" t="s">
        <v>3608</v>
      </c>
      <c r="B127" s="3851" t="s">
        <v>3538</v>
      </c>
      <c r="C127" s="3851" t="s">
        <v>3513</v>
      </c>
      <c r="D127" s="3851" t="s">
        <v>3539</v>
      </c>
      <c r="E127" s="3851" t="s">
        <v>3614</v>
      </c>
      <c r="F127" s="3851">
        <v>35.07</v>
      </c>
      <c r="G127" s="3862"/>
    </row>
    <row r="128" spans="1:7">
      <c r="A128" s="3851" t="s">
        <v>3608</v>
      </c>
      <c r="B128" s="3851" t="s">
        <v>3538</v>
      </c>
      <c r="C128" s="3851" t="s">
        <v>3513</v>
      </c>
      <c r="D128" s="3851" t="s">
        <v>3539</v>
      </c>
      <c r="E128" s="3851" t="s">
        <v>3615</v>
      </c>
      <c r="F128" s="3851">
        <v>35.07</v>
      </c>
      <c r="G128" s="3862"/>
    </row>
    <row r="129" spans="1:7">
      <c r="A129" s="3851" t="s">
        <v>3608</v>
      </c>
      <c r="B129" s="3851" t="s">
        <v>3538</v>
      </c>
      <c r="C129" s="3851" t="s">
        <v>3513</v>
      </c>
      <c r="D129" s="3851" t="s">
        <v>3539</v>
      </c>
      <c r="E129" s="3851" t="s">
        <v>3616</v>
      </c>
      <c r="F129" s="3851">
        <v>35.07</v>
      </c>
      <c r="G129" s="3862"/>
    </row>
    <row r="130" spans="1:7">
      <c r="A130" s="3851" t="s">
        <v>3608</v>
      </c>
      <c r="B130" s="3851" t="s">
        <v>3538</v>
      </c>
      <c r="C130" s="3851" t="s">
        <v>3513</v>
      </c>
      <c r="D130" s="3851" t="s">
        <v>3539</v>
      </c>
      <c r="E130" s="3851" t="s">
        <v>3617</v>
      </c>
      <c r="F130" s="3851">
        <v>35.07</v>
      </c>
      <c r="G130" s="3862"/>
    </row>
    <row r="131" spans="1:7">
      <c r="A131" s="3851" t="s">
        <v>3608</v>
      </c>
      <c r="B131" s="3851" t="s">
        <v>3538</v>
      </c>
      <c r="C131" s="3851" t="s">
        <v>3513</v>
      </c>
      <c r="D131" s="3851" t="s">
        <v>3539</v>
      </c>
      <c r="E131" s="3851" t="s">
        <v>3618</v>
      </c>
      <c r="F131" s="3851">
        <v>35.07</v>
      </c>
      <c r="G131" s="3862"/>
    </row>
    <row r="132" spans="1:7">
      <c r="A132" s="3851" t="s">
        <v>3608</v>
      </c>
      <c r="B132" s="3851" t="s">
        <v>3538</v>
      </c>
      <c r="C132" s="3851" t="s">
        <v>3513</v>
      </c>
      <c r="D132" s="3851" t="s">
        <v>3539</v>
      </c>
      <c r="E132" s="3851" t="s">
        <v>3619</v>
      </c>
      <c r="F132" s="3851">
        <v>35.07</v>
      </c>
      <c r="G132" s="3862"/>
    </row>
    <row r="133" spans="1:7">
      <c r="A133" s="3851" t="s">
        <v>3608</v>
      </c>
      <c r="B133" s="3851" t="s">
        <v>3538</v>
      </c>
      <c r="C133" s="3851" t="s">
        <v>3513</v>
      </c>
      <c r="D133" s="3851" t="s">
        <v>3539</v>
      </c>
      <c r="E133" s="3851" t="s">
        <v>3620</v>
      </c>
      <c r="F133" s="3851">
        <v>35.07</v>
      </c>
      <c r="G133" s="3862"/>
    </row>
    <row r="134" spans="1:7">
      <c r="A134" s="3851" t="s">
        <v>3608</v>
      </c>
      <c r="B134" s="3851" t="s">
        <v>3538</v>
      </c>
      <c r="C134" s="3851" t="s">
        <v>3513</v>
      </c>
      <c r="D134" s="3851" t="s">
        <v>3539</v>
      </c>
      <c r="E134" s="3851" t="s">
        <v>3621</v>
      </c>
      <c r="F134" s="3851">
        <v>35.07</v>
      </c>
      <c r="G134" s="3862"/>
    </row>
    <row r="135" spans="1:7">
      <c r="A135" s="3851" t="s">
        <v>3608</v>
      </c>
      <c r="B135" s="3851" t="s">
        <v>3538</v>
      </c>
      <c r="C135" s="3851" t="s">
        <v>3513</v>
      </c>
      <c r="D135" s="3851" t="s">
        <v>3539</v>
      </c>
      <c r="E135" s="3851" t="s">
        <v>3622</v>
      </c>
      <c r="F135" s="3851">
        <v>35.07</v>
      </c>
      <c r="G135" s="3862"/>
    </row>
    <row r="136" spans="1:7">
      <c r="A136" s="3851" t="s">
        <v>3608</v>
      </c>
      <c r="B136" s="3851" t="s">
        <v>3538</v>
      </c>
      <c r="C136" s="3851" t="s">
        <v>3513</v>
      </c>
      <c r="D136" s="3851" t="s">
        <v>3539</v>
      </c>
      <c r="E136" s="3851" t="s">
        <v>3623</v>
      </c>
      <c r="F136" s="3851">
        <v>35.07</v>
      </c>
      <c r="G136" s="3862"/>
    </row>
    <row r="137" spans="1:7">
      <c r="A137" s="3851" t="s">
        <v>3608</v>
      </c>
      <c r="B137" s="3851" t="s">
        <v>3538</v>
      </c>
      <c r="C137" s="3851" t="s">
        <v>3513</v>
      </c>
      <c r="D137" s="3851" t="s">
        <v>3539</v>
      </c>
      <c r="E137" s="3851" t="s">
        <v>3624</v>
      </c>
      <c r="F137" s="3851">
        <v>35.07</v>
      </c>
      <c r="G137" s="3862"/>
    </row>
    <row r="138" spans="1:7">
      <c r="A138" s="3851" t="s">
        <v>3608</v>
      </c>
      <c r="B138" s="3851" t="s">
        <v>3538</v>
      </c>
      <c r="C138" s="3851" t="s">
        <v>3513</v>
      </c>
      <c r="D138" s="3851" t="s">
        <v>3539</v>
      </c>
      <c r="E138" s="3851" t="s">
        <v>3625</v>
      </c>
      <c r="F138" s="3851">
        <v>35.07</v>
      </c>
      <c r="G138" s="3862"/>
    </row>
    <row r="139" spans="1:7">
      <c r="A139" s="3851" t="s">
        <v>3608</v>
      </c>
      <c r="B139" s="3851" t="s">
        <v>3538</v>
      </c>
      <c r="C139" s="3851" t="s">
        <v>3513</v>
      </c>
      <c r="D139" s="3851" t="s">
        <v>3539</v>
      </c>
      <c r="E139" s="3851" t="s">
        <v>3626</v>
      </c>
      <c r="F139" s="3851">
        <v>35.07</v>
      </c>
      <c r="G139" s="3862"/>
    </row>
    <row r="140" spans="1:7">
      <c r="A140" s="3851" t="s">
        <v>3608</v>
      </c>
      <c r="B140" s="3851" t="s">
        <v>3538</v>
      </c>
      <c r="C140" s="3851" t="s">
        <v>3513</v>
      </c>
      <c r="D140" s="3851" t="s">
        <v>3539</v>
      </c>
      <c r="E140" s="3851" t="s">
        <v>3627</v>
      </c>
      <c r="F140" s="3851">
        <v>35.07</v>
      </c>
      <c r="G140" s="3862"/>
    </row>
    <row r="141" spans="1:7">
      <c r="A141" s="3851" t="s">
        <v>3608</v>
      </c>
      <c r="B141" s="3851" t="s">
        <v>3538</v>
      </c>
      <c r="C141" s="3851" t="s">
        <v>3513</v>
      </c>
      <c r="D141" s="3851" t="s">
        <v>3539</v>
      </c>
      <c r="E141" s="3851" t="s">
        <v>3628</v>
      </c>
      <c r="F141" s="3851">
        <v>35.07</v>
      </c>
      <c r="G141" s="3862"/>
    </row>
    <row r="142" spans="1:7">
      <c r="A142" s="3851" t="s">
        <v>3608</v>
      </c>
      <c r="B142" s="3851" t="s">
        <v>3538</v>
      </c>
      <c r="C142" s="3851" t="s">
        <v>3513</v>
      </c>
      <c r="D142" s="3851" t="s">
        <v>3539</v>
      </c>
      <c r="E142" s="3851" t="s">
        <v>3629</v>
      </c>
      <c r="F142" s="3851">
        <v>35.07</v>
      </c>
      <c r="G142" s="3862"/>
    </row>
    <row r="143" spans="1:7">
      <c r="A143" s="3851" t="s">
        <v>3608</v>
      </c>
      <c r="B143" s="3851" t="s">
        <v>3538</v>
      </c>
      <c r="C143" s="3851" t="s">
        <v>3513</v>
      </c>
      <c r="D143" s="3851" t="s">
        <v>3539</v>
      </c>
      <c r="E143" s="3851" t="s">
        <v>3630</v>
      </c>
      <c r="F143" s="3851">
        <v>35.07</v>
      </c>
      <c r="G143" s="3862"/>
    </row>
    <row r="144" spans="1:7">
      <c r="A144" s="3851" t="s">
        <v>3608</v>
      </c>
      <c r="B144" s="3851" t="s">
        <v>3538</v>
      </c>
      <c r="C144" s="3851" t="s">
        <v>3513</v>
      </c>
      <c r="D144" s="3851" t="s">
        <v>3539</v>
      </c>
      <c r="E144" s="3851" t="s">
        <v>3631</v>
      </c>
      <c r="F144" s="3851">
        <v>35.07</v>
      </c>
      <c r="G144" s="3862"/>
    </row>
    <row r="145" spans="1:7">
      <c r="A145" s="3851" t="s">
        <v>3608</v>
      </c>
      <c r="B145" s="3851" t="s">
        <v>3538</v>
      </c>
      <c r="C145" s="3851" t="s">
        <v>3513</v>
      </c>
      <c r="D145" s="3851" t="s">
        <v>3539</v>
      </c>
      <c r="E145" s="3851" t="s">
        <v>3632</v>
      </c>
      <c r="F145" s="3851">
        <v>35.07</v>
      </c>
      <c r="G145" s="3862"/>
    </row>
    <row r="146" spans="1:7">
      <c r="A146" s="3851" t="s">
        <v>3608</v>
      </c>
      <c r="B146" s="3851" t="s">
        <v>3538</v>
      </c>
      <c r="C146" s="3851" t="s">
        <v>3513</v>
      </c>
      <c r="D146" s="3851" t="s">
        <v>3539</v>
      </c>
      <c r="E146" s="3851" t="s">
        <v>3633</v>
      </c>
      <c r="F146" s="3851">
        <v>35.07</v>
      </c>
      <c r="G146" s="3862"/>
    </row>
    <row r="147" spans="1:7">
      <c r="A147" s="3851" t="s">
        <v>3608</v>
      </c>
      <c r="B147" s="3851" t="s">
        <v>3538</v>
      </c>
      <c r="C147" s="3851" t="s">
        <v>3513</v>
      </c>
      <c r="D147" s="3851" t="s">
        <v>3539</v>
      </c>
      <c r="E147" s="3851" t="s">
        <v>3634</v>
      </c>
      <c r="F147" s="3851">
        <v>35.07</v>
      </c>
      <c r="G147" s="3862"/>
    </row>
    <row r="148" spans="1:7">
      <c r="A148" s="3851" t="s">
        <v>3608</v>
      </c>
      <c r="B148" s="3851" t="s">
        <v>3538</v>
      </c>
      <c r="C148" s="3851" t="s">
        <v>3513</v>
      </c>
      <c r="D148" s="3851" t="s">
        <v>3539</v>
      </c>
      <c r="E148" s="3851" t="s">
        <v>3635</v>
      </c>
      <c r="F148" s="3851">
        <v>35.07</v>
      </c>
      <c r="G148" s="3862"/>
    </row>
    <row r="149" spans="1:7">
      <c r="A149" s="3851" t="s">
        <v>3608</v>
      </c>
      <c r="B149" s="3851" t="s">
        <v>3538</v>
      </c>
      <c r="C149" s="3851" t="s">
        <v>3513</v>
      </c>
      <c r="D149" s="3851" t="s">
        <v>3539</v>
      </c>
      <c r="E149" s="3851" t="s">
        <v>3636</v>
      </c>
      <c r="F149" s="3851">
        <v>35.07</v>
      </c>
      <c r="G149" s="3862"/>
    </row>
    <row r="150" spans="1:7">
      <c r="A150" s="3851" t="s">
        <v>3608</v>
      </c>
      <c r="B150" s="3851" t="s">
        <v>3538</v>
      </c>
      <c r="C150" s="3851" t="s">
        <v>3513</v>
      </c>
      <c r="D150" s="3851" t="s">
        <v>3539</v>
      </c>
      <c r="E150" s="3851" t="s">
        <v>3637</v>
      </c>
      <c r="F150" s="3851">
        <v>35.07</v>
      </c>
      <c r="G150" s="3862"/>
    </row>
    <row r="151" spans="1:7">
      <c r="A151" s="3851" t="s">
        <v>3608</v>
      </c>
      <c r="B151" s="3851" t="s">
        <v>3538</v>
      </c>
      <c r="C151" s="3851" t="s">
        <v>3513</v>
      </c>
      <c r="D151" s="3851" t="s">
        <v>3539</v>
      </c>
      <c r="E151" s="3851" t="s">
        <v>3638</v>
      </c>
      <c r="F151" s="3851">
        <v>35.07</v>
      </c>
      <c r="G151" s="3862"/>
    </row>
    <row r="152" spans="1:7">
      <c r="A152" s="3851" t="s">
        <v>3608</v>
      </c>
      <c r="B152" s="3851" t="s">
        <v>3538</v>
      </c>
      <c r="C152" s="3851" t="s">
        <v>3513</v>
      </c>
      <c r="D152" s="3851" t="s">
        <v>3539</v>
      </c>
      <c r="E152" s="3851" t="s">
        <v>3639</v>
      </c>
      <c r="F152" s="3851">
        <v>35.07</v>
      </c>
      <c r="G152" s="3862"/>
    </row>
    <row r="153" spans="1:7">
      <c r="A153" s="3851" t="s">
        <v>3608</v>
      </c>
      <c r="B153" s="3851" t="s">
        <v>3538</v>
      </c>
      <c r="C153" s="3851" t="s">
        <v>3513</v>
      </c>
      <c r="D153" s="3851" t="s">
        <v>3539</v>
      </c>
      <c r="E153" s="3851" t="s">
        <v>3640</v>
      </c>
      <c r="F153" s="3851">
        <v>35.07</v>
      </c>
      <c r="G153" s="3862"/>
    </row>
    <row r="154" spans="1:7">
      <c r="A154" s="3851" t="s">
        <v>3608</v>
      </c>
      <c r="B154" s="3851" t="s">
        <v>3538</v>
      </c>
      <c r="C154" s="3851" t="s">
        <v>3513</v>
      </c>
      <c r="D154" s="3851" t="s">
        <v>3539</v>
      </c>
      <c r="E154" s="3851" t="s">
        <v>3641</v>
      </c>
      <c r="F154" s="3851">
        <v>35.07</v>
      </c>
      <c r="G154" s="3862"/>
    </row>
    <row r="155" spans="1:7">
      <c r="A155" s="3851" t="s">
        <v>3608</v>
      </c>
      <c r="B155" s="3851" t="s">
        <v>3538</v>
      </c>
      <c r="C155" s="3851" t="s">
        <v>3513</v>
      </c>
      <c r="D155" s="3851" t="s">
        <v>3539</v>
      </c>
      <c r="E155" s="3851" t="s">
        <v>3642</v>
      </c>
      <c r="F155" s="3851">
        <v>35.07</v>
      </c>
      <c r="G155" s="3862"/>
    </row>
    <row r="156" spans="1:7">
      <c r="A156" s="3851" t="s">
        <v>3608</v>
      </c>
      <c r="B156" s="3851" t="s">
        <v>3538</v>
      </c>
      <c r="C156" s="3851" t="s">
        <v>3513</v>
      </c>
      <c r="D156" s="3851" t="s">
        <v>3539</v>
      </c>
      <c r="E156" s="3851" t="s">
        <v>3643</v>
      </c>
      <c r="F156" s="3851">
        <v>35.07</v>
      </c>
      <c r="G156" s="3862"/>
    </row>
    <row r="157" spans="1:7">
      <c r="A157" s="3851" t="s">
        <v>3608</v>
      </c>
      <c r="B157" s="3851" t="s">
        <v>3538</v>
      </c>
      <c r="C157" s="3851" t="s">
        <v>3513</v>
      </c>
      <c r="D157" s="3851" t="s">
        <v>3539</v>
      </c>
      <c r="E157" s="3851" t="s">
        <v>3644</v>
      </c>
      <c r="F157" s="3851">
        <v>35.07</v>
      </c>
      <c r="G157" s="3862"/>
    </row>
    <row r="158" spans="1:7">
      <c r="A158" s="3851" t="s">
        <v>3608</v>
      </c>
      <c r="B158" s="3851" t="s">
        <v>3538</v>
      </c>
      <c r="C158" s="3851" t="s">
        <v>3513</v>
      </c>
      <c r="D158" s="3851" t="s">
        <v>3539</v>
      </c>
      <c r="E158" s="3851" t="s">
        <v>3645</v>
      </c>
      <c r="F158" s="3851">
        <v>35.07</v>
      </c>
      <c r="G158" s="3862"/>
    </row>
    <row r="159" spans="1:7">
      <c r="A159" s="3851" t="s">
        <v>3608</v>
      </c>
      <c r="B159" s="3851" t="s">
        <v>3538</v>
      </c>
      <c r="C159" s="3851" t="s">
        <v>3513</v>
      </c>
      <c r="D159" s="3851" t="s">
        <v>3539</v>
      </c>
      <c r="E159" s="3851" t="s">
        <v>3646</v>
      </c>
      <c r="F159" s="3851">
        <v>35.07</v>
      </c>
      <c r="G159" s="3862"/>
    </row>
    <row r="160" spans="1:7">
      <c r="A160" s="3851" t="s">
        <v>3608</v>
      </c>
      <c r="B160" s="3851" t="s">
        <v>3538</v>
      </c>
      <c r="C160" s="3851" t="s">
        <v>3513</v>
      </c>
      <c r="D160" s="3851" t="s">
        <v>3539</v>
      </c>
      <c r="E160" s="3851" t="s">
        <v>3647</v>
      </c>
      <c r="F160" s="3851">
        <v>35.07</v>
      </c>
      <c r="G160" s="3862"/>
    </row>
    <row r="161" spans="1:7">
      <c r="A161" s="3851" t="s">
        <v>3608</v>
      </c>
      <c r="B161" s="3851" t="s">
        <v>3538</v>
      </c>
      <c r="C161" s="3851" t="s">
        <v>3513</v>
      </c>
      <c r="D161" s="3851" t="s">
        <v>3539</v>
      </c>
      <c r="E161" s="3851" t="s">
        <v>3648</v>
      </c>
      <c r="F161" s="3851">
        <v>35.07</v>
      </c>
      <c r="G161" s="3862"/>
    </row>
    <row r="162" spans="1:7">
      <c r="A162" s="3851" t="s">
        <v>3608</v>
      </c>
      <c r="B162" s="3851" t="s">
        <v>3538</v>
      </c>
      <c r="C162" s="3851" t="s">
        <v>3513</v>
      </c>
      <c r="D162" s="3851" t="s">
        <v>3539</v>
      </c>
      <c r="E162" s="3851" t="s">
        <v>3649</v>
      </c>
      <c r="F162" s="3851">
        <v>35.07</v>
      </c>
      <c r="G162" s="3862"/>
    </row>
    <row r="163" spans="1:7">
      <c r="A163" s="3851" t="s">
        <v>3608</v>
      </c>
      <c r="B163" s="3851" t="s">
        <v>3538</v>
      </c>
      <c r="C163" s="3851" t="s">
        <v>3513</v>
      </c>
      <c r="D163" s="3851" t="s">
        <v>3539</v>
      </c>
      <c r="E163" s="3851" t="s">
        <v>3650</v>
      </c>
      <c r="F163" s="3851">
        <v>35.07</v>
      </c>
      <c r="G163" s="3862"/>
    </row>
    <row r="164" spans="1:7">
      <c r="A164" s="3851" t="s">
        <v>3608</v>
      </c>
      <c r="B164" s="3851" t="s">
        <v>3538</v>
      </c>
      <c r="C164" s="3851" t="s">
        <v>3513</v>
      </c>
      <c r="D164" s="3851" t="s">
        <v>3539</v>
      </c>
      <c r="E164" s="3851" t="s">
        <v>3651</v>
      </c>
      <c r="F164" s="3851">
        <v>35.07</v>
      </c>
      <c r="G164" s="3862"/>
    </row>
    <row r="165" spans="1:7">
      <c r="A165" s="3851" t="s">
        <v>3608</v>
      </c>
      <c r="B165" s="3851" t="s">
        <v>3538</v>
      </c>
      <c r="C165" s="3851" t="s">
        <v>3513</v>
      </c>
      <c r="D165" s="3851" t="s">
        <v>3539</v>
      </c>
      <c r="E165" s="3851" t="s">
        <v>3652</v>
      </c>
      <c r="F165" s="3851">
        <v>35.07</v>
      </c>
      <c r="G165" s="3862"/>
    </row>
    <row r="166" spans="1:7">
      <c r="A166" s="3851" t="s">
        <v>3608</v>
      </c>
      <c r="B166" s="3851" t="s">
        <v>3538</v>
      </c>
      <c r="C166" s="3851" t="s">
        <v>3513</v>
      </c>
      <c r="D166" s="3851" t="s">
        <v>3539</v>
      </c>
      <c r="E166" s="3851" t="s">
        <v>3653</v>
      </c>
      <c r="F166" s="3851">
        <v>35.07</v>
      </c>
      <c r="G166" s="3862"/>
    </row>
    <row r="167" spans="1:7">
      <c r="A167" s="3851" t="s">
        <v>3608</v>
      </c>
      <c r="B167" s="3851" t="s">
        <v>3538</v>
      </c>
      <c r="C167" s="3851" t="s">
        <v>3513</v>
      </c>
      <c r="D167" s="3851" t="s">
        <v>3539</v>
      </c>
      <c r="E167" s="3851" t="s">
        <v>3654</v>
      </c>
      <c r="F167" s="3851">
        <v>35.07</v>
      </c>
      <c r="G167" s="3862"/>
    </row>
    <row r="168" spans="1:7">
      <c r="A168" s="3851" t="s">
        <v>3608</v>
      </c>
      <c r="B168" s="3851" t="s">
        <v>3538</v>
      </c>
      <c r="C168" s="3851" t="s">
        <v>3513</v>
      </c>
      <c r="D168" s="3851" t="s">
        <v>3539</v>
      </c>
      <c r="E168" s="3851" t="s">
        <v>3655</v>
      </c>
      <c r="F168" s="3851">
        <v>35.07</v>
      </c>
      <c r="G168" s="3862"/>
    </row>
    <row r="169" spans="1:7">
      <c r="A169" s="3851" t="s">
        <v>3608</v>
      </c>
      <c r="B169" s="3851" t="s">
        <v>3538</v>
      </c>
      <c r="C169" s="3851" t="s">
        <v>3513</v>
      </c>
      <c r="D169" s="3851" t="s">
        <v>3539</v>
      </c>
      <c r="E169" s="3851" t="s">
        <v>3656</v>
      </c>
      <c r="F169" s="3851">
        <v>35.07</v>
      </c>
      <c r="G169" s="3862"/>
    </row>
    <row r="170" spans="1:7">
      <c r="A170" s="3851" t="s">
        <v>3608</v>
      </c>
      <c r="B170" s="3851" t="s">
        <v>3538</v>
      </c>
      <c r="C170" s="3851" t="s">
        <v>3513</v>
      </c>
      <c r="D170" s="3851" t="s">
        <v>3539</v>
      </c>
      <c r="E170" s="3851" t="s">
        <v>3657</v>
      </c>
      <c r="F170" s="3851">
        <v>35.07</v>
      </c>
      <c r="G170" s="3862"/>
    </row>
    <row r="171" spans="1:7">
      <c r="A171" s="3851" t="s">
        <v>3608</v>
      </c>
      <c r="B171" s="3851" t="s">
        <v>3538</v>
      </c>
      <c r="C171" s="3851" t="s">
        <v>3513</v>
      </c>
      <c r="D171" s="3851" t="s">
        <v>3539</v>
      </c>
      <c r="E171" s="3851" t="s">
        <v>3658</v>
      </c>
      <c r="F171" s="3851">
        <v>35.07</v>
      </c>
      <c r="G171" s="3862"/>
    </row>
    <row r="172" spans="1:7">
      <c r="A172" s="3851" t="s">
        <v>3553</v>
      </c>
      <c r="B172" s="3851" t="s">
        <v>3538</v>
      </c>
      <c r="C172" s="3851" t="s">
        <v>3513</v>
      </c>
      <c r="D172" s="3851" t="s">
        <v>3539</v>
      </c>
      <c r="E172" s="3851" t="s">
        <v>3659</v>
      </c>
      <c r="F172" s="3851">
        <v>35.07</v>
      </c>
      <c r="G172" s="3862"/>
    </row>
    <row r="173" spans="1:7">
      <c r="A173" s="3851" t="s">
        <v>3553</v>
      </c>
      <c r="B173" s="3851" t="s">
        <v>3538</v>
      </c>
      <c r="C173" s="3851" t="s">
        <v>3513</v>
      </c>
      <c r="D173" s="3851" t="s">
        <v>3539</v>
      </c>
      <c r="E173" s="3851" t="s">
        <v>3660</v>
      </c>
      <c r="F173" s="3851">
        <v>35.07</v>
      </c>
      <c r="G173" s="3862"/>
    </row>
    <row r="174" spans="1:7">
      <c r="A174" s="3851" t="s">
        <v>3608</v>
      </c>
      <c r="B174" s="3851" t="s">
        <v>3538</v>
      </c>
      <c r="C174" s="3851" t="s">
        <v>3513</v>
      </c>
      <c r="D174" s="3851" t="s">
        <v>3539</v>
      </c>
      <c r="E174" s="3851" t="s">
        <v>3661</v>
      </c>
      <c r="F174" s="3851">
        <v>35.07</v>
      </c>
      <c r="G174" s="3862"/>
    </row>
    <row r="175" spans="1:7">
      <c r="A175" s="3851" t="s">
        <v>3553</v>
      </c>
      <c r="B175" s="3851" t="s">
        <v>3538</v>
      </c>
      <c r="C175" s="3851" t="s">
        <v>3513</v>
      </c>
      <c r="D175" s="3851" t="s">
        <v>3539</v>
      </c>
      <c r="E175" s="3851" t="s">
        <v>3662</v>
      </c>
      <c r="F175" s="3851">
        <v>35.07</v>
      </c>
      <c r="G175" s="3862"/>
    </row>
    <row r="176" spans="1:7">
      <c r="A176" s="3851" t="s">
        <v>3553</v>
      </c>
      <c r="B176" s="3851" t="s">
        <v>3538</v>
      </c>
      <c r="C176" s="3851" t="s">
        <v>3513</v>
      </c>
      <c r="D176" s="3851" t="s">
        <v>3539</v>
      </c>
      <c r="E176" s="3851" t="s">
        <v>3663</v>
      </c>
      <c r="F176" s="3851">
        <v>35.07</v>
      </c>
      <c r="G176" s="3862"/>
    </row>
    <row r="177" spans="1:7">
      <c r="A177" s="3851" t="s">
        <v>3553</v>
      </c>
      <c r="B177" s="3851" t="s">
        <v>3538</v>
      </c>
      <c r="C177" s="3851" t="s">
        <v>3513</v>
      </c>
      <c r="D177" s="3851" t="s">
        <v>3539</v>
      </c>
      <c r="E177" s="3851" t="s">
        <v>3664</v>
      </c>
      <c r="F177" s="3851">
        <v>35.07</v>
      </c>
      <c r="G177" s="3862"/>
    </row>
    <row r="178" spans="1:7">
      <c r="A178" s="3851" t="s">
        <v>3553</v>
      </c>
      <c r="B178" s="3851" t="s">
        <v>3538</v>
      </c>
      <c r="C178" s="3851" t="s">
        <v>3513</v>
      </c>
      <c r="D178" s="3851" t="s">
        <v>3539</v>
      </c>
      <c r="E178" s="3851" t="s">
        <v>3665</v>
      </c>
      <c r="F178" s="3851">
        <v>35.07</v>
      </c>
      <c r="G178" s="3862"/>
    </row>
    <row r="179" spans="1:7">
      <c r="A179" s="3851" t="s">
        <v>3553</v>
      </c>
      <c r="B179" s="3851" t="s">
        <v>3538</v>
      </c>
      <c r="C179" s="3851" t="s">
        <v>3513</v>
      </c>
      <c r="D179" s="3851" t="s">
        <v>3539</v>
      </c>
      <c r="E179" s="3851" t="s">
        <v>3666</v>
      </c>
      <c r="F179" s="3851">
        <v>35.07</v>
      </c>
      <c r="G179" s="3862"/>
    </row>
    <row r="180" spans="1:7">
      <c r="A180" s="3851" t="s">
        <v>3553</v>
      </c>
      <c r="B180" s="3851" t="s">
        <v>3538</v>
      </c>
      <c r="C180" s="3851" t="s">
        <v>3513</v>
      </c>
      <c r="D180" s="3851" t="s">
        <v>3539</v>
      </c>
      <c r="E180" s="3851" t="s">
        <v>3667</v>
      </c>
      <c r="F180" s="3851">
        <v>35.07</v>
      </c>
      <c r="G180" s="3862"/>
    </row>
    <row r="181" spans="1:7">
      <c r="A181" s="3851" t="s">
        <v>3553</v>
      </c>
      <c r="B181" s="3851" t="s">
        <v>3538</v>
      </c>
      <c r="C181" s="3851" t="s">
        <v>3513</v>
      </c>
      <c r="D181" s="3851" t="s">
        <v>3539</v>
      </c>
      <c r="E181" s="3851" t="s">
        <v>3668</v>
      </c>
      <c r="F181" s="3851">
        <v>35.07</v>
      </c>
      <c r="G181" s="3862"/>
    </row>
    <row r="182" spans="1:7">
      <c r="A182" s="3851" t="s">
        <v>3553</v>
      </c>
      <c r="B182" s="3851" t="s">
        <v>3538</v>
      </c>
      <c r="C182" s="3851" t="s">
        <v>3513</v>
      </c>
      <c r="D182" s="3851" t="s">
        <v>3539</v>
      </c>
      <c r="E182" s="3851" t="s">
        <v>3669</v>
      </c>
      <c r="F182" s="3851">
        <v>34.35</v>
      </c>
      <c r="G182" s="3862"/>
    </row>
    <row r="183" spans="1:7">
      <c r="A183" s="3851" t="s">
        <v>3553</v>
      </c>
      <c r="B183" s="3851" t="s">
        <v>3538</v>
      </c>
      <c r="C183" s="3851" t="s">
        <v>3513</v>
      </c>
      <c r="D183" s="3851" t="s">
        <v>3539</v>
      </c>
      <c r="E183" s="3851" t="s">
        <v>3670</v>
      </c>
      <c r="F183" s="3851">
        <v>35.07</v>
      </c>
      <c r="G183" s="3862"/>
    </row>
    <row r="184" spans="1:7">
      <c r="A184" s="3851" t="s">
        <v>3553</v>
      </c>
      <c r="B184" s="3851" t="s">
        <v>3538</v>
      </c>
      <c r="C184" s="3851" t="s">
        <v>3513</v>
      </c>
      <c r="D184" s="3851" t="s">
        <v>3539</v>
      </c>
      <c r="E184" s="3851" t="s">
        <v>3671</v>
      </c>
      <c r="F184" s="3851">
        <v>35.07</v>
      </c>
      <c r="G184" s="3862"/>
    </row>
    <row r="185" spans="1:7">
      <c r="A185" s="3851" t="s">
        <v>3553</v>
      </c>
      <c r="B185" s="3851" t="s">
        <v>3538</v>
      </c>
      <c r="C185" s="3851" t="s">
        <v>3513</v>
      </c>
      <c r="D185" s="3851" t="s">
        <v>3539</v>
      </c>
      <c r="E185" s="3851" t="s">
        <v>3672</v>
      </c>
      <c r="F185" s="3851">
        <v>35.07</v>
      </c>
      <c r="G185" s="3862"/>
    </row>
    <row r="186" spans="1:7">
      <c r="A186" s="3851" t="s">
        <v>3553</v>
      </c>
      <c r="B186" s="3851" t="s">
        <v>3538</v>
      </c>
      <c r="C186" s="3851" t="s">
        <v>3513</v>
      </c>
      <c r="D186" s="3851" t="s">
        <v>3539</v>
      </c>
      <c r="E186" s="3851" t="s">
        <v>3673</v>
      </c>
      <c r="F186" s="3851">
        <v>35.07</v>
      </c>
      <c r="G186" s="3862"/>
    </row>
    <row r="187" spans="1:7">
      <c r="A187" s="3851" t="s">
        <v>3553</v>
      </c>
      <c r="B187" s="3851" t="s">
        <v>3538</v>
      </c>
      <c r="C187" s="3851" t="s">
        <v>3513</v>
      </c>
      <c r="D187" s="3851" t="s">
        <v>3539</v>
      </c>
      <c r="E187" s="3851" t="s">
        <v>3674</v>
      </c>
      <c r="F187" s="3851">
        <v>35.07</v>
      </c>
      <c r="G187" s="3862"/>
    </row>
    <row r="188" spans="1:7">
      <c r="A188" s="3851" t="s">
        <v>3553</v>
      </c>
      <c r="B188" s="3851" t="s">
        <v>3538</v>
      </c>
      <c r="C188" s="3851" t="s">
        <v>3513</v>
      </c>
      <c r="D188" s="3851" t="s">
        <v>3539</v>
      </c>
      <c r="E188" s="3851" t="s">
        <v>3675</v>
      </c>
      <c r="F188" s="3851">
        <v>35.07</v>
      </c>
      <c r="G188" s="3862"/>
    </row>
    <row r="189" spans="1:7">
      <c r="A189" s="3851" t="s">
        <v>3553</v>
      </c>
      <c r="B189" s="3851" t="s">
        <v>3538</v>
      </c>
      <c r="C189" s="3851" t="s">
        <v>3513</v>
      </c>
      <c r="D189" s="3851" t="s">
        <v>3539</v>
      </c>
      <c r="E189" s="3851" t="s">
        <v>3676</v>
      </c>
      <c r="F189" s="3851">
        <v>35.07</v>
      </c>
      <c r="G189" s="3862"/>
    </row>
    <row r="190" spans="1:7">
      <c r="A190" s="3851" t="s">
        <v>3553</v>
      </c>
      <c r="B190" s="3851" t="s">
        <v>3538</v>
      </c>
      <c r="C190" s="3851" t="s">
        <v>3513</v>
      </c>
      <c r="D190" s="3851" t="s">
        <v>3539</v>
      </c>
      <c r="E190" s="3851" t="s">
        <v>3677</v>
      </c>
      <c r="F190" s="3851">
        <v>35.07</v>
      </c>
      <c r="G190" s="3862"/>
    </row>
    <row r="191" spans="1:7">
      <c r="A191" s="3851" t="s">
        <v>3553</v>
      </c>
      <c r="B191" s="3851" t="s">
        <v>3538</v>
      </c>
      <c r="C191" s="3851" t="s">
        <v>3513</v>
      </c>
      <c r="D191" s="3851" t="s">
        <v>3539</v>
      </c>
      <c r="E191" s="3851" t="s">
        <v>3678</v>
      </c>
      <c r="F191" s="3851">
        <v>35.07</v>
      </c>
      <c r="G191" s="3862"/>
    </row>
    <row r="192" spans="1:7">
      <c r="A192" s="3851" t="s">
        <v>3553</v>
      </c>
      <c r="B192" s="3851" t="s">
        <v>3538</v>
      </c>
      <c r="C192" s="3851" t="s">
        <v>3513</v>
      </c>
      <c r="D192" s="3851" t="s">
        <v>3539</v>
      </c>
      <c r="E192" s="3851" t="s">
        <v>3679</v>
      </c>
      <c r="F192" s="3851">
        <v>35.07</v>
      </c>
      <c r="G192" s="3862"/>
    </row>
    <row r="193" spans="1:7">
      <c r="A193" s="3851" t="s">
        <v>3553</v>
      </c>
      <c r="B193" s="3851" t="s">
        <v>3538</v>
      </c>
      <c r="C193" s="3851" t="s">
        <v>3513</v>
      </c>
      <c r="D193" s="3851" t="s">
        <v>3539</v>
      </c>
      <c r="E193" s="3851" t="s">
        <v>3680</v>
      </c>
      <c r="F193" s="3851">
        <v>35.07</v>
      </c>
      <c r="G193" s="3862"/>
    </row>
    <row r="194" spans="1:7">
      <c r="A194" s="3851" t="s">
        <v>3553</v>
      </c>
      <c r="B194" s="3851" t="s">
        <v>3538</v>
      </c>
      <c r="C194" s="3851" t="s">
        <v>3513</v>
      </c>
      <c r="D194" s="3851" t="s">
        <v>3539</v>
      </c>
      <c r="E194" s="3851" t="s">
        <v>3681</v>
      </c>
      <c r="F194" s="3851">
        <v>35.07</v>
      </c>
      <c r="G194" s="3862"/>
    </row>
    <row r="195" spans="1:7">
      <c r="A195" s="3851" t="s">
        <v>3553</v>
      </c>
      <c r="B195" s="3851" t="s">
        <v>3538</v>
      </c>
      <c r="C195" s="3851" t="s">
        <v>3513</v>
      </c>
      <c r="D195" s="3851" t="s">
        <v>3539</v>
      </c>
      <c r="E195" s="3851" t="s">
        <v>3682</v>
      </c>
      <c r="F195" s="3851">
        <v>35.07</v>
      </c>
      <c r="G195" s="3862"/>
    </row>
    <row r="196" spans="1:7">
      <c r="A196" s="3851" t="s">
        <v>3553</v>
      </c>
      <c r="B196" s="3851" t="s">
        <v>3538</v>
      </c>
      <c r="C196" s="3851" t="s">
        <v>3513</v>
      </c>
      <c r="D196" s="3851" t="s">
        <v>3539</v>
      </c>
      <c r="E196" s="3851" t="s">
        <v>3683</v>
      </c>
      <c r="F196" s="3851">
        <v>35.07</v>
      </c>
      <c r="G196" s="3862"/>
    </row>
    <row r="197" spans="1:7">
      <c r="A197" s="3851" t="s">
        <v>3553</v>
      </c>
      <c r="B197" s="3851" t="s">
        <v>3538</v>
      </c>
      <c r="C197" s="3851" t="s">
        <v>3513</v>
      </c>
      <c r="D197" s="3851" t="s">
        <v>3539</v>
      </c>
      <c r="E197" s="3851" t="s">
        <v>3684</v>
      </c>
      <c r="F197" s="3851">
        <v>35.07</v>
      </c>
      <c r="G197" s="3862"/>
    </row>
    <row r="198" spans="1:7">
      <c r="A198" s="3851" t="s">
        <v>3553</v>
      </c>
      <c r="B198" s="3851" t="s">
        <v>3538</v>
      </c>
      <c r="C198" s="3851" t="s">
        <v>3513</v>
      </c>
      <c r="D198" s="3851" t="s">
        <v>3539</v>
      </c>
      <c r="E198" s="3851" t="s">
        <v>3685</v>
      </c>
      <c r="F198" s="3851">
        <v>35.07</v>
      </c>
      <c r="G198" s="3862"/>
    </row>
    <row r="199" spans="1:7">
      <c r="A199" s="3851" t="s">
        <v>3553</v>
      </c>
      <c r="B199" s="3851" t="s">
        <v>3538</v>
      </c>
      <c r="C199" s="3851" t="s">
        <v>3513</v>
      </c>
      <c r="D199" s="3851" t="s">
        <v>3539</v>
      </c>
      <c r="E199" s="3851" t="s">
        <v>3686</v>
      </c>
      <c r="F199" s="3851">
        <v>35.07</v>
      </c>
      <c r="G199" s="3862"/>
    </row>
    <row r="200" spans="1:7">
      <c r="A200" s="3851" t="s">
        <v>3553</v>
      </c>
      <c r="B200" s="3851" t="s">
        <v>3538</v>
      </c>
      <c r="C200" s="3851" t="s">
        <v>3513</v>
      </c>
      <c r="D200" s="3851" t="s">
        <v>3539</v>
      </c>
      <c r="E200" s="3851" t="s">
        <v>3687</v>
      </c>
      <c r="F200" s="3851">
        <v>35.07</v>
      </c>
      <c r="G200" s="3862"/>
    </row>
    <row r="201" spans="1:7">
      <c r="A201" s="3851" t="s">
        <v>3553</v>
      </c>
      <c r="B201" s="3851" t="s">
        <v>3538</v>
      </c>
      <c r="C201" s="3851" t="s">
        <v>3513</v>
      </c>
      <c r="D201" s="3851" t="s">
        <v>3539</v>
      </c>
      <c r="E201" s="3851" t="s">
        <v>3688</v>
      </c>
      <c r="F201" s="3851">
        <v>35.07</v>
      </c>
      <c r="G201" s="3862"/>
    </row>
    <row r="202" spans="1:7">
      <c r="A202" s="3851" t="s">
        <v>3553</v>
      </c>
      <c r="B202" s="3851" t="s">
        <v>3538</v>
      </c>
      <c r="C202" s="3851" t="s">
        <v>3513</v>
      </c>
      <c r="D202" s="3851" t="s">
        <v>3539</v>
      </c>
      <c r="E202" s="3851" t="s">
        <v>3689</v>
      </c>
      <c r="F202" s="3851">
        <v>35.07</v>
      </c>
      <c r="G202" s="3862"/>
    </row>
    <row r="203" spans="1:7">
      <c r="A203" s="3851" t="s">
        <v>3553</v>
      </c>
      <c r="B203" s="3851" t="s">
        <v>3538</v>
      </c>
      <c r="C203" s="3851" t="s">
        <v>3513</v>
      </c>
      <c r="D203" s="3851" t="s">
        <v>3539</v>
      </c>
      <c r="E203" s="3851" t="s">
        <v>3690</v>
      </c>
      <c r="F203" s="3851">
        <v>35.07</v>
      </c>
      <c r="G203" s="3862"/>
    </row>
    <row r="204" spans="1:7">
      <c r="A204" s="3851" t="s">
        <v>3553</v>
      </c>
      <c r="B204" s="3851" t="s">
        <v>3538</v>
      </c>
      <c r="C204" s="3851" t="s">
        <v>3513</v>
      </c>
      <c r="D204" s="3851" t="s">
        <v>3539</v>
      </c>
      <c r="E204" s="3851" t="s">
        <v>3691</v>
      </c>
      <c r="F204" s="3851">
        <v>35.07</v>
      </c>
      <c r="G204" s="3862"/>
    </row>
    <row r="205" spans="1:7">
      <c r="A205" s="3851" t="s">
        <v>3553</v>
      </c>
      <c r="B205" s="3851" t="s">
        <v>3538</v>
      </c>
      <c r="C205" s="3851" t="s">
        <v>3513</v>
      </c>
      <c r="D205" s="3851" t="s">
        <v>3539</v>
      </c>
      <c r="E205" s="3851" t="s">
        <v>3692</v>
      </c>
      <c r="F205" s="3851">
        <v>35.07</v>
      </c>
      <c r="G205" s="3862"/>
    </row>
    <row r="206" spans="1:7">
      <c r="A206" s="3851" t="s">
        <v>3553</v>
      </c>
      <c r="B206" s="3851" t="s">
        <v>3538</v>
      </c>
      <c r="C206" s="3851" t="s">
        <v>3513</v>
      </c>
      <c r="D206" s="3851" t="s">
        <v>3539</v>
      </c>
      <c r="E206" s="3851" t="s">
        <v>3693</v>
      </c>
      <c r="F206" s="3851">
        <v>35.07</v>
      </c>
      <c r="G206" s="3862"/>
    </row>
    <row r="207" spans="1:7">
      <c r="A207" s="3851" t="s">
        <v>3553</v>
      </c>
      <c r="B207" s="3851" t="s">
        <v>3538</v>
      </c>
      <c r="C207" s="3851" t="s">
        <v>3513</v>
      </c>
      <c r="D207" s="3851" t="s">
        <v>3539</v>
      </c>
      <c r="E207" s="3851" t="s">
        <v>3694</v>
      </c>
      <c r="F207" s="3851">
        <v>35.07</v>
      </c>
      <c r="G207" s="3862"/>
    </row>
    <row r="208" spans="1:7">
      <c r="A208" s="3851" t="s">
        <v>3553</v>
      </c>
      <c r="B208" s="3851" t="s">
        <v>3538</v>
      </c>
      <c r="C208" s="3851" t="s">
        <v>3513</v>
      </c>
      <c r="D208" s="3851" t="s">
        <v>3539</v>
      </c>
      <c r="E208" s="3851" t="s">
        <v>3695</v>
      </c>
      <c r="F208" s="3851">
        <v>35.07</v>
      </c>
      <c r="G208" s="3862"/>
    </row>
    <row r="209" spans="1:8">
      <c r="A209" s="3851" t="s">
        <v>3553</v>
      </c>
      <c r="B209" s="3851" t="s">
        <v>3538</v>
      </c>
      <c r="C209" s="3851" t="s">
        <v>3513</v>
      </c>
      <c r="D209" s="3851" t="s">
        <v>3539</v>
      </c>
      <c r="E209" s="3851" t="s">
        <v>3696</v>
      </c>
      <c r="F209" s="3851">
        <v>35.07</v>
      </c>
      <c r="G209" s="3862"/>
    </row>
    <row r="210" spans="1:8">
      <c r="A210" s="3851" t="s">
        <v>3553</v>
      </c>
      <c r="B210" s="3851" t="s">
        <v>3538</v>
      </c>
      <c r="C210" s="3851" t="s">
        <v>3513</v>
      </c>
      <c r="D210" s="3851" t="s">
        <v>3539</v>
      </c>
      <c r="E210" s="3851" t="s">
        <v>3697</v>
      </c>
      <c r="F210" s="3851">
        <v>35.07</v>
      </c>
      <c r="G210" s="3862"/>
    </row>
    <row r="211" spans="1:8">
      <c r="A211" s="3851" t="s">
        <v>3553</v>
      </c>
      <c r="B211" s="3851" t="s">
        <v>3538</v>
      </c>
      <c r="C211" s="3851" t="s">
        <v>3513</v>
      </c>
      <c r="D211" s="3851" t="s">
        <v>3539</v>
      </c>
      <c r="E211" s="3851" t="s">
        <v>3698</v>
      </c>
      <c r="F211" s="3851">
        <v>35.07</v>
      </c>
      <c r="G211" s="3862"/>
    </row>
    <row r="212" spans="1:8">
      <c r="A212" s="3851" t="s">
        <v>3553</v>
      </c>
      <c r="B212" s="3851" t="s">
        <v>3538</v>
      </c>
      <c r="C212" s="3851" t="s">
        <v>3513</v>
      </c>
      <c r="D212" s="3851" t="s">
        <v>3539</v>
      </c>
      <c r="E212" s="3851" t="s">
        <v>3699</v>
      </c>
      <c r="F212" s="3851">
        <v>35.07</v>
      </c>
      <c r="G212" s="3862"/>
    </row>
    <row r="213" spans="1:8">
      <c r="A213" s="3851" t="s">
        <v>3553</v>
      </c>
      <c r="B213" s="3851" t="s">
        <v>3538</v>
      </c>
      <c r="C213" s="3851" t="s">
        <v>3513</v>
      </c>
      <c r="D213" s="3851" t="s">
        <v>3539</v>
      </c>
      <c r="E213" s="3851" t="s">
        <v>3700</v>
      </c>
      <c r="F213" s="3851">
        <v>35.07</v>
      </c>
      <c r="G213" s="3862"/>
    </row>
    <row r="214" spans="1:8">
      <c r="A214" s="3851" t="s">
        <v>3553</v>
      </c>
      <c r="B214" s="3851" t="s">
        <v>3538</v>
      </c>
      <c r="C214" s="3851" t="s">
        <v>3513</v>
      </c>
      <c r="D214" s="3851" t="s">
        <v>3539</v>
      </c>
      <c r="E214" s="3851" t="s">
        <v>3701</v>
      </c>
      <c r="F214" s="3851">
        <v>35.07</v>
      </c>
      <c r="G214" s="3862"/>
    </row>
    <row r="215" spans="1:8">
      <c r="A215" s="3851" t="s">
        <v>3553</v>
      </c>
      <c r="B215" s="3851" t="s">
        <v>3538</v>
      </c>
      <c r="C215" s="3851" t="s">
        <v>3513</v>
      </c>
      <c r="D215" s="3851" t="s">
        <v>3539</v>
      </c>
      <c r="E215" s="3851" t="s">
        <v>3702</v>
      </c>
      <c r="F215" s="3851">
        <v>35.07</v>
      </c>
      <c r="G215" s="3862"/>
    </row>
    <row r="216" spans="1:8">
      <c r="A216" s="3851" t="s">
        <v>3553</v>
      </c>
      <c r="B216" s="3851" t="s">
        <v>3538</v>
      </c>
      <c r="C216" s="3851" t="s">
        <v>3513</v>
      </c>
      <c r="D216" s="3851" t="s">
        <v>3539</v>
      </c>
      <c r="E216" s="3851" t="s">
        <v>3703</v>
      </c>
      <c r="F216" s="3851">
        <v>35.07</v>
      </c>
      <c r="G216" s="3862"/>
    </row>
    <row r="217" spans="1:8">
      <c r="A217" s="3851" t="s">
        <v>3553</v>
      </c>
      <c r="B217" s="3851" t="s">
        <v>3538</v>
      </c>
      <c r="C217" s="3851" t="s">
        <v>3513</v>
      </c>
      <c r="D217" s="3851" t="s">
        <v>3539</v>
      </c>
      <c r="E217" s="3851" t="s">
        <v>3704</v>
      </c>
      <c r="F217" s="3851">
        <v>35.07</v>
      </c>
      <c r="G217" s="3862"/>
    </row>
    <row r="218" spans="1:8">
      <c r="A218" s="3851" t="s">
        <v>3553</v>
      </c>
      <c r="B218" s="3851" t="s">
        <v>3538</v>
      </c>
      <c r="C218" s="3851" t="s">
        <v>3513</v>
      </c>
      <c r="D218" s="3851" t="s">
        <v>3539</v>
      </c>
      <c r="E218" s="3851" t="s">
        <v>3705</v>
      </c>
      <c r="F218" s="3851">
        <v>35.07</v>
      </c>
      <c r="G218" s="3862"/>
    </row>
    <row r="219" spans="1:8">
      <c r="A219" s="3851" t="s">
        <v>3553</v>
      </c>
      <c r="B219" s="3851" t="s">
        <v>3538</v>
      </c>
      <c r="C219" s="3851" t="s">
        <v>3513</v>
      </c>
      <c r="D219" s="3851" t="s">
        <v>3539</v>
      </c>
      <c r="E219" s="3851" t="s">
        <v>3706</v>
      </c>
      <c r="F219" s="3851">
        <v>35.07</v>
      </c>
      <c r="G219" s="3862"/>
    </row>
    <row r="220" spans="1:8">
      <c r="A220" s="3851" t="s">
        <v>3553</v>
      </c>
      <c r="B220" s="3851" t="s">
        <v>3538</v>
      </c>
      <c r="C220" s="3851" t="s">
        <v>3513</v>
      </c>
      <c r="D220" s="3851" t="s">
        <v>3539</v>
      </c>
      <c r="E220" s="3851" t="s">
        <v>3707</v>
      </c>
      <c r="F220" s="3851">
        <v>35.07</v>
      </c>
      <c r="G220" s="3862"/>
    </row>
    <row r="221" spans="1:8">
      <c r="A221" s="3851" t="s">
        <v>3553</v>
      </c>
      <c r="B221" s="3851" t="s">
        <v>3538</v>
      </c>
      <c r="C221" s="3851" t="s">
        <v>3513</v>
      </c>
      <c r="D221" s="3851" t="s">
        <v>3539</v>
      </c>
      <c r="E221" s="3851" t="s">
        <v>3708</v>
      </c>
      <c r="F221" s="3851">
        <v>35.07</v>
      </c>
      <c r="G221" s="3862"/>
    </row>
    <row r="222" spans="1:8">
      <c r="A222" s="3851" t="s">
        <v>3553</v>
      </c>
      <c r="B222" s="3851" t="s">
        <v>3538</v>
      </c>
      <c r="C222" s="3851" t="s">
        <v>3513</v>
      </c>
      <c r="D222" s="3851" t="s">
        <v>3539</v>
      </c>
      <c r="E222" s="3851" t="s">
        <v>3709</v>
      </c>
      <c r="F222" s="3851">
        <v>35.07</v>
      </c>
      <c r="G222" s="3862"/>
    </row>
    <row r="223" spans="1:8" ht="13.5" customHeight="1">
      <c r="A223" s="3851" t="s">
        <v>3553</v>
      </c>
      <c r="B223" s="3865" t="s">
        <v>3523</v>
      </c>
      <c r="C223" s="3865" t="s">
        <v>3513</v>
      </c>
      <c r="D223" s="3865" t="s">
        <v>3539</v>
      </c>
      <c r="E223" s="3865" t="s">
        <v>3710</v>
      </c>
      <c r="F223" s="3865">
        <v>23.99</v>
      </c>
      <c r="G223" s="3866"/>
      <c r="H223" s="3867" t="s">
        <v>3711</v>
      </c>
    </row>
    <row r="224" spans="1:8">
      <c r="A224" s="3851" t="s">
        <v>3608</v>
      </c>
      <c r="B224" s="3851" t="s">
        <v>3538</v>
      </c>
      <c r="C224" s="3851" t="s">
        <v>3513</v>
      </c>
      <c r="D224" s="3851" t="s">
        <v>3539</v>
      </c>
      <c r="E224" s="3851" t="s">
        <v>3712</v>
      </c>
      <c r="F224" s="3851">
        <v>35.07</v>
      </c>
      <c r="G224" s="3862"/>
    </row>
    <row r="225" spans="1:7">
      <c r="A225" s="3851" t="s">
        <v>3608</v>
      </c>
      <c r="B225" s="3851" t="s">
        <v>3538</v>
      </c>
      <c r="C225" s="3851" t="s">
        <v>3513</v>
      </c>
      <c r="D225" s="3851" t="s">
        <v>3539</v>
      </c>
      <c r="E225" s="3851" t="s">
        <v>3713</v>
      </c>
      <c r="F225" s="3851">
        <v>35.07</v>
      </c>
      <c r="G225" s="3862"/>
    </row>
    <row r="226" spans="1:7">
      <c r="A226" s="3851" t="s">
        <v>3608</v>
      </c>
      <c r="B226" s="3851" t="s">
        <v>3538</v>
      </c>
      <c r="C226" s="3851" t="s">
        <v>3513</v>
      </c>
      <c r="D226" s="3851" t="s">
        <v>3539</v>
      </c>
      <c r="E226" s="3851" t="s">
        <v>3714</v>
      </c>
      <c r="F226" s="3851">
        <v>35.07</v>
      </c>
      <c r="G226" s="3862"/>
    </row>
    <row r="227" spans="1:7">
      <c r="A227" s="3851" t="s">
        <v>3608</v>
      </c>
      <c r="B227" s="3851" t="s">
        <v>3538</v>
      </c>
      <c r="C227" s="3851" t="s">
        <v>3513</v>
      </c>
      <c r="D227" s="3851" t="s">
        <v>3539</v>
      </c>
      <c r="E227" s="3851" t="s">
        <v>3715</v>
      </c>
      <c r="F227" s="3851">
        <v>70.13</v>
      </c>
      <c r="G227" s="3862"/>
    </row>
    <row r="228" spans="1:7">
      <c r="A228" s="3851" t="s">
        <v>3608</v>
      </c>
      <c r="B228" s="3851" t="s">
        <v>3538</v>
      </c>
      <c r="C228" s="3851" t="s">
        <v>3513</v>
      </c>
      <c r="D228" s="3851" t="s">
        <v>3539</v>
      </c>
      <c r="E228" s="3851" t="s">
        <v>3716</v>
      </c>
      <c r="F228" s="3851">
        <v>70.13</v>
      </c>
      <c r="G228" s="3862"/>
    </row>
    <row r="229" spans="1:7">
      <c r="A229" s="3851" t="s">
        <v>3608</v>
      </c>
      <c r="B229" s="3851" t="s">
        <v>3538</v>
      </c>
      <c r="C229" s="3851" t="s">
        <v>3513</v>
      </c>
      <c r="D229" s="3851" t="s">
        <v>3539</v>
      </c>
      <c r="E229" s="3851" t="s">
        <v>3717</v>
      </c>
      <c r="F229" s="3851">
        <v>70.13</v>
      </c>
      <c r="G229" s="3862"/>
    </row>
    <row r="230" spans="1:7">
      <c r="A230" s="3851" t="s">
        <v>3608</v>
      </c>
      <c r="B230" s="3851" t="s">
        <v>3538</v>
      </c>
      <c r="C230" s="3851" t="s">
        <v>3513</v>
      </c>
      <c r="D230" s="3851" t="s">
        <v>3539</v>
      </c>
      <c r="E230" s="3851" t="s">
        <v>3718</v>
      </c>
      <c r="F230" s="3851">
        <v>35.07</v>
      </c>
      <c r="G230" s="3862"/>
    </row>
    <row r="231" spans="1:7">
      <c r="A231" s="3851" t="s">
        <v>3608</v>
      </c>
      <c r="B231" s="3851" t="s">
        <v>3538</v>
      </c>
      <c r="C231" s="3851" t="s">
        <v>3513</v>
      </c>
      <c r="D231" s="3851" t="s">
        <v>3539</v>
      </c>
      <c r="E231" s="3851" t="s">
        <v>3719</v>
      </c>
      <c r="F231" s="3851">
        <v>35.07</v>
      </c>
      <c r="G231" s="3862"/>
    </row>
    <row r="232" spans="1:7">
      <c r="A232" s="3851" t="s">
        <v>3608</v>
      </c>
      <c r="B232" s="3851" t="s">
        <v>3538</v>
      </c>
      <c r="C232" s="3851" t="s">
        <v>3513</v>
      </c>
      <c r="D232" s="3851" t="s">
        <v>3539</v>
      </c>
      <c r="E232" s="3851" t="s">
        <v>3720</v>
      </c>
      <c r="F232" s="3851">
        <v>35.07</v>
      </c>
      <c r="G232" s="3862"/>
    </row>
    <row r="233" spans="1:7">
      <c r="A233" s="3851" t="s">
        <v>3608</v>
      </c>
      <c r="B233" s="3851" t="s">
        <v>3538</v>
      </c>
      <c r="C233" s="3851" t="s">
        <v>3513</v>
      </c>
      <c r="D233" s="3851" t="s">
        <v>3539</v>
      </c>
      <c r="E233" s="3851" t="s">
        <v>3721</v>
      </c>
      <c r="F233" s="3851">
        <v>35.07</v>
      </c>
      <c r="G233" s="3862"/>
    </row>
    <row r="234" spans="1:7" ht="13.5" customHeight="1">
      <c r="A234" s="3851" t="s">
        <v>3608</v>
      </c>
      <c r="B234" s="3851" t="s">
        <v>3523</v>
      </c>
      <c r="C234" s="3851" t="s">
        <v>3513</v>
      </c>
      <c r="D234" s="3851" t="s">
        <v>3539</v>
      </c>
      <c r="E234" s="3851" t="s">
        <v>3722</v>
      </c>
      <c r="F234" s="3851">
        <v>18.07</v>
      </c>
      <c r="G234" s="3862"/>
    </row>
    <row r="235" spans="1:7">
      <c r="A235" s="3851" t="s">
        <v>3608</v>
      </c>
      <c r="B235" s="3851" t="s">
        <v>3538</v>
      </c>
      <c r="C235" s="3851" t="s">
        <v>3513</v>
      </c>
      <c r="D235" s="3851" t="s">
        <v>3539</v>
      </c>
      <c r="E235" s="3851" t="s">
        <v>3723</v>
      </c>
      <c r="F235" s="3851">
        <v>35.07</v>
      </c>
      <c r="G235" s="3862"/>
    </row>
    <row r="236" spans="1:7">
      <c r="A236" s="3851" t="s">
        <v>3608</v>
      </c>
      <c r="B236" s="3851" t="s">
        <v>3538</v>
      </c>
      <c r="C236" s="3851" t="s">
        <v>3513</v>
      </c>
      <c r="D236" s="3851" t="s">
        <v>3539</v>
      </c>
      <c r="E236" s="3851" t="s">
        <v>3724</v>
      </c>
      <c r="F236" s="3851">
        <v>35.07</v>
      </c>
      <c r="G236" s="3862"/>
    </row>
    <row r="237" spans="1:7">
      <c r="A237" s="3851" t="s">
        <v>3608</v>
      </c>
      <c r="B237" s="3851" t="s">
        <v>3538</v>
      </c>
      <c r="C237" s="3851" t="s">
        <v>3513</v>
      </c>
      <c r="D237" s="3851" t="s">
        <v>3539</v>
      </c>
      <c r="E237" s="3851" t="s">
        <v>3725</v>
      </c>
      <c r="F237" s="3851">
        <v>35.07</v>
      </c>
      <c r="G237" s="3862"/>
    </row>
    <row r="238" spans="1:7">
      <c r="A238" s="3851" t="s">
        <v>3608</v>
      </c>
      <c r="B238" s="3851" t="s">
        <v>3538</v>
      </c>
      <c r="C238" s="3851" t="s">
        <v>3513</v>
      </c>
      <c r="D238" s="3851" t="s">
        <v>3539</v>
      </c>
      <c r="E238" s="3851" t="s">
        <v>3726</v>
      </c>
      <c r="F238" s="3851">
        <v>35.07</v>
      </c>
      <c r="G238" s="3862"/>
    </row>
    <row r="239" spans="1:7">
      <c r="A239" s="3851" t="s">
        <v>3608</v>
      </c>
      <c r="B239" s="3851" t="s">
        <v>3538</v>
      </c>
      <c r="C239" s="3851" t="s">
        <v>3513</v>
      </c>
      <c r="D239" s="3851" t="s">
        <v>3539</v>
      </c>
      <c r="E239" s="3851" t="s">
        <v>3727</v>
      </c>
      <c r="F239" s="3851">
        <v>35.07</v>
      </c>
      <c r="G239" s="3862"/>
    </row>
    <row r="240" spans="1:7">
      <c r="A240" s="3851" t="s">
        <v>3608</v>
      </c>
      <c r="B240" s="3851" t="s">
        <v>3538</v>
      </c>
      <c r="C240" s="3851" t="s">
        <v>3513</v>
      </c>
      <c r="D240" s="3851" t="s">
        <v>3539</v>
      </c>
      <c r="E240" s="3851" t="s">
        <v>3728</v>
      </c>
      <c r="F240" s="3851">
        <v>35.07</v>
      </c>
      <c r="G240" s="3862"/>
    </row>
    <row r="241" spans="1:8">
      <c r="A241" s="3851" t="s">
        <v>3608</v>
      </c>
      <c r="B241" s="3851" t="s">
        <v>3538</v>
      </c>
      <c r="C241" s="3851" t="s">
        <v>3513</v>
      </c>
      <c r="D241" s="3851" t="s">
        <v>3539</v>
      </c>
      <c r="E241" s="3851" t="s">
        <v>3729</v>
      </c>
      <c r="F241" s="3851">
        <v>35.07</v>
      </c>
      <c r="G241" s="3862"/>
    </row>
    <row r="242" spans="1:8">
      <c r="A242" s="3851" t="s">
        <v>3608</v>
      </c>
      <c r="B242" s="3851" t="s">
        <v>3538</v>
      </c>
      <c r="C242" s="3851" t="s">
        <v>3513</v>
      </c>
      <c r="D242" s="3851" t="s">
        <v>3539</v>
      </c>
      <c r="E242" s="3851" t="s">
        <v>3730</v>
      </c>
      <c r="F242" s="3851">
        <v>35.07</v>
      </c>
      <c r="G242" s="3862"/>
    </row>
    <row r="243" spans="1:8">
      <c r="A243" s="3851" t="s">
        <v>3608</v>
      </c>
      <c r="B243" s="3851" t="s">
        <v>3538</v>
      </c>
      <c r="C243" s="3851" t="s">
        <v>3513</v>
      </c>
      <c r="D243" s="3851" t="s">
        <v>3539</v>
      </c>
      <c r="E243" s="3851" t="s">
        <v>3731</v>
      </c>
      <c r="F243" s="3851">
        <v>35.07</v>
      </c>
      <c r="G243" s="3862"/>
    </row>
    <row r="244" spans="1:8">
      <c r="A244" s="3851" t="s">
        <v>3608</v>
      </c>
      <c r="B244" s="3851" t="s">
        <v>3538</v>
      </c>
      <c r="C244" s="3851" t="s">
        <v>3513</v>
      </c>
      <c r="D244" s="3851" t="s">
        <v>3539</v>
      </c>
      <c r="E244" s="3851" t="s">
        <v>3732</v>
      </c>
      <c r="F244" s="3851">
        <v>35.07</v>
      </c>
      <c r="G244" s="3862"/>
    </row>
    <row r="245" spans="1:8" ht="13.5" customHeight="1">
      <c r="A245" s="3851" t="s">
        <v>3608</v>
      </c>
      <c r="B245" s="3865" t="s">
        <v>3523</v>
      </c>
      <c r="C245" s="3865" t="s">
        <v>3513</v>
      </c>
      <c r="D245" s="3865" t="s">
        <v>3539</v>
      </c>
      <c r="E245" s="3865" t="s">
        <v>3733</v>
      </c>
      <c r="F245" s="3865">
        <v>75.53</v>
      </c>
      <c r="G245" s="3866"/>
      <c r="H245" s="3867" t="s">
        <v>3711</v>
      </c>
    </row>
    <row r="246" spans="1:8">
      <c r="A246" s="3851" t="s">
        <v>3608</v>
      </c>
      <c r="B246" s="3851" t="s">
        <v>3538</v>
      </c>
      <c r="C246" s="3851" t="s">
        <v>3513</v>
      </c>
      <c r="D246" s="3851" t="s">
        <v>3539</v>
      </c>
      <c r="E246" s="3851" t="s">
        <v>3734</v>
      </c>
      <c r="F246" s="3851">
        <v>35.07</v>
      </c>
      <c r="G246" s="3862"/>
    </row>
    <row r="247" spans="1:8">
      <c r="A247" s="3851" t="s">
        <v>3608</v>
      </c>
      <c r="B247" s="3851" t="s">
        <v>3538</v>
      </c>
      <c r="C247" s="3851" t="s">
        <v>3513</v>
      </c>
      <c r="D247" s="3851" t="s">
        <v>3539</v>
      </c>
      <c r="E247" s="3851" t="s">
        <v>3735</v>
      </c>
      <c r="F247" s="3851">
        <v>35.07</v>
      </c>
      <c r="G247" s="3862"/>
    </row>
    <row r="248" spans="1:8">
      <c r="A248" s="3851" t="s">
        <v>3608</v>
      </c>
      <c r="B248" s="3851" t="s">
        <v>3538</v>
      </c>
      <c r="C248" s="3851" t="s">
        <v>3513</v>
      </c>
      <c r="D248" s="3851" t="s">
        <v>3539</v>
      </c>
      <c r="E248" s="3851" t="s">
        <v>3736</v>
      </c>
      <c r="F248" s="3851">
        <v>35.07</v>
      </c>
      <c r="G248" s="3862"/>
    </row>
    <row r="249" spans="1:8">
      <c r="A249" s="3851" t="s">
        <v>3608</v>
      </c>
      <c r="B249" s="3851" t="s">
        <v>3538</v>
      </c>
      <c r="C249" s="3851" t="s">
        <v>3513</v>
      </c>
      <c r="D249" s="3851" t="s">
        <v>3539</v>
      </c>
      <c r="E249" s="3851" t="s">
        <v>3737</v>
      </c>
      <c r="F249" s="3851">
        <v>35.07</v>
      </c>
      <c r="G249" s="3862"/>
    </row>
    <row r="250" spans="1:8">
      <c r="A250" s="3851" t="s">
        <v>3608</v>
      </c>
      <c r="B250" s="3851" t="s">
        <v>3538</v>
      </c>
      <c r="C250" s="3851" t="s">
        <v>3513</v>
      </c>
      <c r="D250" s="3851" t="s">
        <v>3539</v>
      </c>
      <c r="E250" s="3851" t="s">
        <v>3738</v>
      </c>
      <c r="F250" s="3851">
        <v>35.07</v>
      </c>
      <c r="G250" s="3862"/>
    </row>
    <row r="251" spans="1:8">
      <c r="A251" s="3851" t="s">
        <v>3608</v>
      </c>
      <c r="B251" s="3851" t="s">
        <v>3538</v>
      </c>
      <c r="C251" s="3851" t="s">
        <v>3513</v>
      </c>
      <c r="D251" s="3851" t="s">
        <v>3539</v>
      </c>
      <c r="E251" s="3851" t="s">
        <v>3739</v>
      </c>
      <c r="F251" s="3851">
        <v>35.07</v>
      </c>
      <c r="G251" s="3862"/>
    </row>
    <row r="252" spans="1:8">
      <c r="A252" s="3851" t="s">
        <v>3608</v>
      </c>
      <c r="B252" s="3851" t="s">
        <v>3538</v>
      </c>
      <c r="C252" s="3851" t="s">
        <v>3513</v>
      </c>
      <c r="D252" s="3851" t="s">
        <v>3539</v>
      </c>
      <c r="E252" s="3851" t="s">
        <v>3740</v>
      </c>
      <c r="F252" s="3851">
        <v>35.07</v>
      </c>
      <c r="G252" s="3862"/>
    </row>
    <row r="253" spans="1:8">
      <c r="A253" s="3851" t="s">
        <v>3608</v>
      </c>
      <c r="B253" s="3851" t="s">
        <v>3538</v>
      </c>
      <c r="C253" s="3851" t="s">
        <v>3513</v>
      </c>
      <c r="D253" s="3851" t="s">
        <v>3539</v>
      </c>
      <c r="E253" s="3851" t="s">
        <v>3741</v>
      </c>
      <c r="F253" s="3851">
        <v>35.07</v>
      </c>
      <c r="G253" s="3862"/>
    </row>
    <row r="254" spans="1:8">
      <c r="A254" s="3851" t="s">
        <v>3608</v>
      </c>
      <c r="B254" s="3851" t="s">
        <v>3538</v>
      </c>
      <c r="C254" s="3851" t="s">
        <v>3513</v>
      </c>
      <c r="D254" s="3851" t="s">
        <v>3539</v>
      </c>
      <c r="E254" s="3851" t="s">
        <v>3742</v>
      </c>
      <c r="F254" s="3851">
        <v>35.07</v>
      </c>
      <c r="G254" s="3862"/>
    </row>
    <row r="255" spans="1:8">
      <c r="A255" s="3851" t="s">
        <v>3608</v>
      </c>
      <c r="B255" s="3851" t="s">
        <v>3538</v>
      </c>
      <c r="C255" s="3851" t="s">
        <v>3513</v>
      </c>
      <c r="D255" s="3851" t="s">
        <v>3539</v>
      </c>
      <c r="E255" s="3851" t="s">
        <v>3743</v>
      </c>
      <c r="F255" s="3851">
        <v>35.07</v>
      </c>
      <c r="G255" s="3862"/>
    </row>
    <row r="256" spans="1:8">
      <c r="A256" s="3851" t="s">
        <v>3608</v>
      </c>
      <c r="B256" s="3851" t="s">
        <v>3538</v>
      </c>
      <c r="C256" s="3851" t="s">
        <v>3513</v>
      </c>
      <c r="D256" s="3851" t="s">
        <v>3539</v>
      </c>
      <c r="E256" s="3851" t="s">
        <v>3744</v>
      </c>
      <c r="F256" s="3851">
        <v>35.07</v>
      </c>
      <c r="G256" s="3862"/>
    </row>
    <row r="257" spans="1:7">
      <c r="A257" s="3851" t="s">
        <v>3608</v>
      </c>
      <c r="B257" s="3851" t="s">
        <v>3538</v>
      </c>
      <c r="C257" s="3851" t="s">
        <v>3513</v>
      </c>
      <c r="D257" s="3851" t="s">
        <v>3539</v>
      </c>
      <c r="E257" s="3851" t="s">
        <v>3745</v>
      </c>
      <c r="F257" s="3851">
        <v>35.07</v>
      </c>
      <c r="G257" s="3862"/>
    </row>
    <row r="258" spans="1:7">
      <c r="A258" s="3851" t="s">
        <v>3608</v>
      </c>
      <c r="B258" s="3851" t="s">
        <v>3538</v>
      </c>
      <c r="C258" s="3851" t="s">
        <v>3513</v>
      </c>
      <c r="D258" s="3851" t="s">
        <v>3539</v>
      </c>
      <c r="E258" s="3851" t="s">
        <v>3746</v>
      </c>
      <c r="F258" s="3851">
        <v>35.07</v>
      </c>
      <c r="G258" s="3862"/>
    </row>
    <row r="259" spans="1:7">
      <c r="A259" s="3851" t="s">
        <v>3608</v>
      </c>
      <c r="B259" s="3851" t="s">
        <v>3538</v>
      </c>
      <c r="C259" s="3851" t="s">
        <v>3513</v>
      </c>
      <c r="D259" s="3851" t="s">
        <v>3539</v>
      </c>
      <c r="E259" s="3851" t="s">
        <v>3747</v>
      </c>
      <c r="F259" s="3851">
        <v>35.07</v>
      </c>
      <c r="G259" s="3862"/>
    </row>
    <row r="260" spans="1:7">
      <c r="A260" s="3851" t="s">
        <v>3608</v>
      </c>
      <c r="B260" s="3851" t="s">
        <v>3538</v>
      </c>
      <c r="C260" s="3851" t="s">
        <v>3513</v>
      </c>
      <c r="D260" s="3851" t="s">
        <v>3539</v>
      </c>
      <c r="E260" s="3851" t="s">
        <v>3748</v>
      </c>
      <c r="F260" s="3851">
        <v>35.07</v>
      </c>
      <c r="G260" s="3862"/>
    </row>
    <row r="261" spans="1:7">
      <c r="A261" s="3851" t="s">
        <v>3608</v>
      </c>
      <c r="B261" s="3851" t="s">
        <v>3538</v>
      </c>
      <c r="C261" s="3851" t="s">
        <v>3513</v>
      </c>
      <c r="D261" s="3851" t="s">
        <v>3539</v>
      </c>
      <c r="E261" s="3851" t="s">
        <v>3749</v>
      </c>
      <c r="F261" s="3851">
        <v>35.07</v>
      </c>
      <c r="G261" s="3862"/>
    </row>
    <row r="262" spans="1:7">
      <c r="A262" s="3851" t="s">
        <v>3608</v>
      </c>
      <c r="B262" s="3851" t="s">
        <v>3538</v>
      </c>
      <c r="C262" s="3851" t="s">
        <v>3513</v>
      </c>
      <c r="D262" s="3851" t="s">
        <v>3539</v>
      </c>
      <c r="E262" s="3851" t="s">
        <v>3750</v>
      </c>
      <c r="F262" s="3851">
        <v>35.07</v>
      </c>
      <c r="G262" s="3862"/>
    </row>
    <row r="263" spans="1:7">
      <c r="A263" s="3851" t="s">
        <v>3608</v>
      </c>
      <c r="B263" s="3851" t="s">
        <v>3538</v>
      </c>
      <c r="C263" s="3851" t="s">
        <v>3513</v>
      </c>
      <c r="D263" s="3851" t="s">
        <v>3539</v>
      </c>
      <c r="E263" s="3851" t="s">
        <v>3751</v>
      </c>
      <c r="F263" s="3851">
        <v>35.07</v>
      </c>
      <c r="G263" s="3862"/>
    </row>
    <row r="264" spans="1:7">
      <c r="A264" s="3851" t="s">
        <v>3608</v>
      </c>
      <c r="B264" s="3851" t="s">
        <v>3538</v>
      </c>
      <c r="C264" s="3851" t="s">
        <v>3513</v>
      </c>
      <c r="D264" s="3851" t="s">
        <v>3539</v>
      </c>
      <c r="E264" s="3851" t="s">
        <v>3752</v>
      </c>
      <c r="F264" s="3851">
        <v>35.07</v>
      </c>
      <c r="G264" s="3862"/>
    </row>
    <row r="265" spans="1:7">
      <c r="A265" s="3851" t="s">
        <v>3608</v>
      </c>
      <c r="B265" s="3851" t="s">
        <v>3538</v>
      </c>
      <c r="C265" s="3851" t="s">
        <v>3513</v>
      </c>
      <c r="D265" s="3851" t="s">
        <v>3539</v>
      </c>
      <c r="E265" s="3851" t="s">
        <v>3753</v>
      </c>
      <c r="F265" s="3851">
        <v>35.07</v>
      </c>
      <c r="G265" s="3862"/>
    </row>
    <row r="266" spans="1:7">
      <c r="A266" s="3851" t="s">
        <v>3608</v>
      </c>
      <c r="B266" s="3851" t="s">
        <v>3538</v>
      </c>
      <c r="C266" s="3851" t="s">
        <v>3513</v>
      </c>
      <c r="D266" s="3851" t="s">
        <v>3539</v>
      </c>
      <c r="E266" s="3851" t="s">
        <v>3754</v>
      </c>
      <c r="F266" s="3851">
        <v>35.07</v>
      </c>
      <c r="G266" s="3862"/>
    </row>
    <row r="267" spans="1:7">
      <c r="A267" s="3851" t="s">
        <v>3608</v>
      </c>
      <c r="B267" s="3851" t="s">
        <v>3538</v>
      </c>
      <c r="C267" s="3851" t="s">
        <v>3513</v>
      </c>
      <c r="D267" s="3851" t="s">
        <v>3539</v>
      </c>
      <c r="E267" s="3851" t="s">
        <v>3755</v>
      </c>
      <c r="F267" s="3851">
        <v>35.07</v>
      </c>
      <c r="G267" s="3862"/>
    </row>
    <row r="268" spans="1:7">
      <c r="A268" s="3851" t="s">
        <v>3608</v>
      </c>
      <c r="B268" s="3851" t="s">
        <v>3538</v>
      </c>
      <c r="C268" s="3851" t="s">
        <v>3513</v>
      </c>
      <c r="D268" s="3851" t="s">
        <v>3539</v>
      </c>
      <c r="E268" s="3851" t="s">
        <v>3756</v>
      </c>
      <c r="F268" s="3851">
        <v>35.07</v>
      </c>
      <c r="G268" s="3862"/>
    </row>
    <row r="269" spans="1:7">
      <c r="A269" s="3851" t="s">
        <v>3608</v>
      </c>
      <c r="B269" s="3851" t="s">
        <v>3538</v>
      </c>
      <c r="C269" s="3851" t="s">
        <v>3513</v>
      </c>
      <c r="D269" s="3851" t="s">
        <v>3539</v>
      </c>
      <c r="E269" s="3851" t="s">
        <v>3757</v>
      </c>
      <c r="F269" s="3851">
        <v>35.07</v>
      </c>
      <c r="G269" s="3862"/>
    </row>
    <row r="270" spans="1:7">
      <c r="A270" s="3851" t="s">
        <v>3608</v>
      </c>
      <c r="B270" s="3851" t="s">
        <v>3538</v>
      </c>
      <c r="C270" s="3851" t="s">
        <v>3513</v>
      </c>
      <c r="D270" s="3851" t="s">
        <v>3539</v>
      </c>
      <c r="E270" s="3851" t="s">
        <v>3758</v>
      </c>
      <c r="F270" s="3851">
        <v>35.07</v>
      </c>
      <c r="G270" s="3862"/>
    </row>
    <row r="271" spans="1:7">
      <c r="A271" s="3851" t="s">
        <v>3608</v>
      </c>
      <c r="B271" s="3851" t="s">
        <v>3538</v>
      </c>
      <c r="C271" s="3851" t="s">
        <v>3513</v>
      </c>
      <c r="D271" s="3851" t="s">
        <v>3539</v>
      </c>
      <c r="E271" s="3851" t="s">
        <v>3759</v>
      </c>
      <c r="F271" s="3851">
        <v>35.07</v>
      </c>
      <c r="G271" s="3862"/>
    </row>
    <row r="272" spans="1:7">
      <c r="A272" s="3851" t="s">
        <v>3608</v>
      </c>
      <c r="B272" s="3851" t="s">
        <v>3538</v>
      </c>
      <c r="C272" s="3851" t="s">
        <v>3513</v>
      </c>
      <c r="D272" s="3851" t="s">
        <v>3539</v>
      </c>
      <c r="E272" s="3851" t="s">
        <v>3760</v>
      </c>
      <c r="F272" s="3851">
        <v>35.07</v>
      </c>
      <c r="G272" s="3862"/>
    </row>
    <row r="273" spans="1:7">
      <c r="A273" s="3851" t="s">
        <v>3608</v>
      </c>
      <c r="B273" s="3851" t="s">
        <v>3538</v>
      </c>
      <c r="C273" s="3851" t="s">
        <v>3513</v>
      </c>
      <c r="D273" s="3851" t="s">
        <v>3539</v>
      </c>
      <c r="E273" s="3851" t="s">
        <v>3761</v>
      </c>
      <c r="F273" s="3851">
        <v>35.07</v>
      </c>
      <c r="G273" s="3862"/>
    </row>
    <row r="274" spans="1:7">
      <c r="A274" s="3851" t="s">
        <v>3608</v>
      </c>
      <c r="B274" s="3851" t="s">
        <v>3538</v>
      </c>
      <c r="C274" s="3851" t="s">
        <v>3513</v>
      </c>
      <c r="D274" s="3851" t="s">
        <v>3539</v>
      </c>
      <c r="E274" s="3851" t="s">
        <v>3762</v>
      </c>
      <c r="F274" s="3851">
        <v>35.07</v>
      </c>
      <c r="G274" s="3862"/>
    </row>
    <row r="275" spans="1:7">
      <c r="A275" s="3851" t="s">
        <v>3608</v>
      </c>
      <c r="B275" s="3851" t="s">
        <v>3538</v>
      </c>
      <c r="C275" s="3851" t="s">
        <v>3513</v>
      </c>
      <c r="D275" s="3851" t="s">
        <v>3539</v>
      </c>
      <c r="E275" s="3851" t="s">
        <v>3763</v>
      </c>
      <c r="F275" s="3851">
        <v>35.07</v>
      </c>
      <c r="G275" s="3862"/>
    </row>
    <row r="276" spans="1:7">
      <c r="A276" s="3851" t="s">
        <v>3608</v>
      </c>
      <c r="B276" s="3851" t="s">
        <v>3538</v>
      </c>
      <c r="C276" s="3851" t="s">
        <v>3513</v>
      </c>
      <c r="D276" s="3851" t="s">
        <v>3539</v>
      </c>
      <c r="E276" s="3851" t="s">
        <v>3764</v>
      </c>
      <c r="F276" s="3851">
        <v>35.07</v>
      </c>
      <c r="G276" s="3862"/>
    </row>
    <row r="277" spans="1:7">
      <c r="A277" s="3851" t="s">
        <v>3608</v>
      </c>
      <c r="B277" s="3851" t="s">
        <v>3538</v>
      </c>
      <c r="C277" s="3851" t="s">
        <v>3513</v>
      </c>
      <c r="D277" s="3851" t="s">
        <v>3539</v>
      </c>
      <c r="E277" s="3851" t="s">
        <v>3765</v>
      </c>
      <c r="F277" s="3851">
        <v>35.07</v>
      </c>
      <c r="G277" s="3862"/>
    </row>
    <row r="278" spans="1:7">
      <c r="A278" s="3851" t="s">
        <v>3608</v>
      </c>
      <c r="B278" s="3851" t="s">
        <v>3538</v>
      </c>
      <c r="C278" s="3851" t="s">
        <v>3513</v>
      </c>
      <c r="D278" s="3851" t="s">
        <v>3539</v>
      </c>
      <c r="E278" s="3851" t="s">
        <v>3766</v>
      </c>
      <c r="F278" s="3851">
        <v>35.07</v>
      </c>
      <c r="G278" s="3862"/>
    </row>
    <row r="279" spans="1:7">
      <c r="A279" s="3851" t="s">
        <v>3608</v>
      </c>
      <c r="B279" s="3851" t="s">
        <v>3538</v>
      </c>
      <c r="C279" s="3851" t="s">
        <v>3513</v>
      </c>
      <c r="D279" s="3851" t="s">
        <v>3539</v>
      </c>
      <c r="E279" s="3851" t="s">
        <v>3767</v>
      </c>
      <c r="F279" s="3851">
        <v>35.07</v>
      </c>
      <c r="G279" s="3862"/>
    </row>
    <row r="280" spans="1:7">
      <c r="A280" s="3851" t="s">
        <v>3608</v>
      </c>
      <c r="B280" s="3851" t="s">
        <v>3538</v>
      </c>
      <c r="C280" s="3851" t="s">
        <v>3513</v>
      </c>
      <c r="D280" s="3851" t="s">
        <v>3539</v>
      </c>
      <c r="E280" s="3851" t="s">
        <v>3768</v>
      </c>
      <c r="F280" s="3851">
        <v>35.07</v>
      </c>
      <c r="G280" s="3862"/>
    </row>
    <row r="281" spans="1:7">
      <c r="A281" s="3851" t="s">
        <v>3608</v>
      </c>
      <c r="B281" s="3851" t="s">
        <v>3538</v>
      </c>
      <c r="C281" s="3851" t="s">
        <v>3513</v>
      </c>
      <c r="D281" s="3851" t="s">
        <v>3539</v>
      </c>
      <c r="E281" s="3851" t="s">
        <v>3769</v>
      </c>
      <c r="F281" s="3851">
        <v>35.07</v>
      </c>
      <c r="G281" s="3862"/>
    </row>
    <row r="282" spans="1:7">
      <c r="A282" s="3851" t="s">
        <v>3608</v>
      </c>
      <c r="B282" s="3851" t="s">
        <v>3538</v>
      </c>
      <c r="C282" s="3851" t="s">
        <v>3513</v>
      </c>
      <c r="D282" s="3851" t="s">
        <v>3539</v>
      </c>
      <c r="E282" s="3851" t="s">
        <v>3770</v>
      </c>
      <c r="F282" s="3851">
        <v>35.07</v>
      </c>
      <c r="G282" s="3862"/>
    </row>
    <row r="283" spans="1:7">
      <c r="A283" s="3851" t="s">
        <v>3608</v>
      </c>
      <c r="B283" s="3851" t="s">
        <v>3538</v>
      </c>
      <c r="C283" s="3851" t="s">
        <v>3513</v>
      </c>
      <c r="D283" s="3851" t="s">
        <v>3539</v>
      </c>
      <c r="E283" s="3851" t="s">
        <v>3771</v>
      </c>
      <c r="F283" s="3851">
        <v>35.07</v>
      </c>
      <c r="G283" s="3862"/>
    </row>
    <row r="284" spans="1:7">
      <c r="A284" s="3851" t="s">
        <v>3608</v>
      </c>
      <c r="B284" s="3851" t="s">
        <v>3538</v>
      </c>
      <c r="C284" s="3851" t="s">
        <v>3513</v>
      </c>
      <c r="D284" s="3851" t="s">
        <v>3539</v>
      </c>
      <c r="E284" s="3851" t="s">
        <v>3772</v>
      </c>
      <c r="F284" s="3851">
        <v>35.07</v>
      </c>
      <c r="G284" s="3862"/>
    </row>
    <row r="285" spans="1:7">
      <c r="A285" s="3851" t="s">
        <v>3608</v>
      </c>
      <c r="B285" s="3851" t="s">
        <v>3538</v>
      </c>
      <c r="C285" s="3851" t="s">
        <v>3513</v>
      </c>
      <c r="D285" s="3851" t="s">
        <v>3539</v>
      </c>
      <c r="E285" s="3851" t="s">
        <v>3773</v>
      </c>
      <c r="F285" s="3851">
        <v>35.07</v>
      </c>
      <c r="G285" s="3862"/>
    </row>
    <row r="286" spans="1:7">
      <c r="A286" s="3851" t="s">
        <v>3608</v>
      </c>
      <c r="B286" s="3851" t="s">
        <v>3538</v>
      </c>
      <c r="C286" s="3851" t="s">
        <v>3513</v>
      </c>
      <c r="D286" s="3851" t="s">
        <v>3539</v>
      </c>
      <c r="E286" s="3851" t="s">
        <v>3774</v>
      </c>
      <c r="F286" s="3851">
        <v>35.07</v>
      </c>
      <c r="G286" s="3862"/>
    </row>
    <row r="287" spans="1:7">
      <c r="A287" s="3851" t="s">
        <v>3608</v>
      </c>
      <c r="B287" s="3851" t="s">
        <v>3538</v>
      </c>
      <c r="C287" s="3851" t="s">
        <v>3513</v>
      </c>
      <c r="D287" s="3851" t="s">
        <v>3539</v>
      </c>
      <c r="E287" s="3851" t="s">
        <v>3775</v>
      </c>
      <c r="F287" s="3851">
        <v>35.07</v>
      </c>
      <c r="G287" s="3862"/>
    </row>
    <row r="288" spans="1:7">
      <c r="A288" s="3851" t="s">
        <v>3608</v>
      </c>
      <c r="B288" s="3851" t="s">
        <v>3538</v>
      </c>
      <c r="C288" s="3851" t="s">
        <v>3513</v>
      </c>
      <c r="D288" s="3851" t="s">
        <v>3539</v>
      </c>
      <c r="E288" s="3851" t="s">
        <v>3776</v>
      </c>
      <c r="F288" s="3851">
        <v>35.07</v>
      </c>
      <c r="G288" s="3862"/>
    </row>
    <row r="289" spans="1:7">
      <c r="A289" s="3851" t="s">
        <v>3608</v>
      </c>
      <c r="B289" s="3851" t="s">
        <v>3538</v>
      </c>
      <c r="C289" s="3851" t="s">
        <v>3513</v>
      </c>
      <c r="D289" s="3851" t="s">
        <v>3539</v>
      </c>
      <c r="E289" s="3851" t="s">
        <v>3777</v>
      </c>
      <c r="F289" s="3851">
        <v>35.07</v>
      </c>
      <c r="G289" s="3862"/>
    </row>
    <row r="290" spans="1:7">
      <c r="A290" s="3851" t="s">
        <v>3608</v>
      </c>
      <c r="B290" s="3851" t="s">
        <v>3538</v>
      </c>
      <c r="C290" s="3851" t="s">
        <v>3513</v>
      </c>
      <c r="D290" s="3851" t="s">
        <v>3539</v>
      </c>
      <c r="E290" s="3851" t="s">
        <v>3778</v>
      </c>
      <c r="F290" s="3851">
        <v>35.07</v>
      </c>
      <c r="G290" s="3862"/>
    </row>
    <row r="291" spans="1:7">
      <c r="A291" s="3851" t="s">
        <v>3608</v>
      </c>
      <c r="B291" s="3851" t="s">
        <v>3538</v>
      </c>
      <c r="C291" s="3851" t="s">
        <v>3513</v>
      </c>
      <c r="D291" s="3851" t="s">
        <v>3539</v>
      </c>
      <c r="E291" s="3851" t="s">
        <v>3779</v>
      </c>
      <c r="F291" s="3851">
        <v>35.07</v>
      </c>
      <c r="G291" s="3862"/>
    </row>
    <row r="292" spans="1:7">
      <c r="A292" s="3851" t="s">
        <v>3608</v>
      </c>
      <c r="B292" s="3851" t="s">
        <v>3538</v>
      </c>
      <c r="C292" s="3851" t="s">
        <v>3513</v>
      </c>
      <c r="D292" s="3851" t="s">
        <v>3539</v>
      </c>
      <c r="E292" s="3851" t="s">
        <v>3780</v>
      </c>
      <c r="F292" s="3851">
        <v>35.07</v>
      </c>
      <c r="G292" s="3862"/>
    </row>
    <row r="293" spans="1:7">
      <c r="A293" s="3851" t="s">
        <v>3608</v>
      </c>
      <c r="B293" s="3851" t="s">
        <v>3538</v>
      </c>
      <c r="C293" s="3851" t="s">
        <v>3513</v>
      </c>
      <c r="D293" s="3851" t="s">
        <v>3539</v>
      </c>
      <c r="E293" s="3851" t="s">
        <v>3781</v>
      </c>
      <c r="F293" s="3851">
        <v>35.07</v>
      </c>
      <c r="G293" s="3862"/>
    </row>
    <row r="294" spans="1:7">
      <c r="A294" s="3851" t="s">
        <v>3608</v>
      </c>
      <c r="B294" s="3851" t="s">
        <v>3538</v>
      </c>
      <c r="C294" s="3851" t="s">
        <v>3513</v>
      </c>
      <c r="D294" s="3851" t="s">
        <v>3539</v>
      </c>
      <c r="E294" s="3851" t="s">
        <v>3782</v>
      </c>
      <c r="F294" s="3851">
        <v>35.07</v>
      </c>
      <c r="G294" s="3862"/>
    </row>
    <row r="295" spans="1:7">
      <c r="A295" s="3851" t="s">
        <v>3608</v>
      </c>
      <c r="B295" s="3851" t="s">
        <v>3538</v>
      </c>
      <c r="C295" s="3851" t="s">
        <v>3513</v>
      </c>
      <c r="D295" s="3851" t="s">
        <v>3539</v>
      </c>
      <c r="E295" s="3851" t="s">
        <v>3783</v>
      </c>
      <c r="F295" s="3851">
        <v>35.07</v>
      </c>
      <c r="G295" s="3862"/>
    </row>
    <row r="296" spans="1:7">
      <c r="A296" s="3851" t="s">
        <v>3608</v>
      </c>
      <c r="B296" s="3851" t="s">
        <v>3538</v>
      </c>
      <c r="C296" s="3851" t="s">
        <v>3513</v>
      </c>
      <c r="D296" s="3851" t="s">
        <v>3539</v>
      </c>
      <c r="E296" s="3851" t="s">
        <v>3784</v>
      </c>
      <c r="F296" s="3851">
        <v>35.07</v>
      </c>
      <c r="G296" s="3862"/>
    </row>
    <row r="297" spans="1:7">
      <c r="A297" s="3851" t="s">
        <v>3608</v>
      </c>
      <c r="B297" s="3851" t="s">
        <v>3538</v>
      </c>
      <c r="C297" s="3851" t="s">
        <v>3513</v>
      </c>
      <c r="D297" s="3851" t="s">
        <v>3539</v>
      </c>
      <c r="E297" s="3851" t="s">
        <v>3785</v>
      </c>
      <c r="F297" s="3851">
        <v>35.07</v>
      </c>
      <c r="G297" s="3862"/>
    </row>
    <row r="298" spans="1:7" ht="13.5" customHeight="1">
      <c r="A298" s="3851" t="s">
        <v>3786</v>
      </c>
      <c r="B298" s="3851"/>
      <c r="C298" s="3851"/>
      <c r="D298" s="3851"/>
      <c r="E298" s="3851"/>
      <c r="F298" s="3851"/>
    </row>
  </sheetData>
  <autoFilter ref="A1:J298"/>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7" sqref="E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4" t="s">
        <v>1130</v>
      </c>
      <c r="B2" s="3574"/>
      <c r="C2" s="3574"/>
      <c r="D2" s="796" t="s">
        <v>1106</v>
      </c>
      <c r="E2" s="1639" t="s">
        <v>1107</v>
      </c>
      <c r="F2" s="2657"/>
      <c r="G2" s="2648"/>
      <c r="H2" s="2649"/>
      <c r="I2" s="2325" t="s">
        <v>1131</v>
      </c>
      <c r="J2" s="2657"/>
      <c r="K2" s="2657"/>
      <c r="L2" s="2657"/>
      <c r="M2" s="2657"/>
      <c r="N2" s="2659"/>
      <c r="O2" s="2657"/>
      <c r="P2" s="2657"/>
    </row>
    <row r="3" spans="1:16" ht="15.75" thickBot="1">
      <c r="A3" s="3575" t="s">
        <v>1104</v>
      </c>
      <c r="B3" s="3575"/>
      <c r="C3" s="3575"/>
      <c r="D3" s="43">
        <f>'数据-基础表'!AY6</f>
        <v>14812.1</v>
      </c>
      <c r="E3" s="43">
        <f>'数据-基础表'!AZ5</f>
        <v>57711.310000000005</v>
      </c>
      <c r="F3" s="2657"/>
      <c r="G3" s="1145"/>
      <c r="H3" s="1026" t="s">
        <v>1105</v>
      </c>
      <c r="I3" s="855">
        <f>ROUND('数据-基础表'!B3/'数据-基础表'!A3,2)</f>
        <v>3.9</v>
      </c>
      <c r="J3" s="2657"/>
      <c r="K3" s="2657"/>
      <c r="L3" s="2657"/>
      <c r="M3" s="2657"/>
      <c r="N3" s="2659"/>
      <c r="O3" s="2657"/>
      <c r="P3" s="2657"/>
    </row>
    <row r="4" spans="1:16" ht="15">
      <c r="A4" s="3576"/>
      <c r="B4" s="3577"/>
      <c r="C4" s="3578"/>
      <c r="D4" s="1641" t="s">
        <v>1106</v>
      </c>
      <c r="E4" s="1642" t="s">
        <v>1107</v>
      </c>
      <c r="F4" s="2657"/>
      <c r="G4" s="2650" t="s">
        <v>1132</v>
      </c>
      <c r="H4" s="1026" t="s">
        <v>1112</v>
      </c>
      <c r="I4" s="855">
        <f>ROUND(SUMIF('数据-基础表'!I9:AS9,"地上",'数据-基础表'!I5:AS5)/'数据-基础表'!A3,2)</f>
        <v>3.01</v>
      </c>
      <c r="J4" s="2657"/>
      <c r="K4" s="2657"/>
      <c r="L4" s="2657"/>
      <c r="M4" s="2657"/>
      <c r="N4" s="2659"/>
      <c r="O4" s="2657"/>
      <c r="P4" s="2657"/>
    </row>
    <row r="5" spans="1:16">
      <c r="A5" s="44" t="s">
        <v>1108</v>
      </c>
      <c r="B5" s="3579" t="s">
        <v>1109</v>
      </c>
      <c r="C5" s="3579"/>
      <c r="D5" s="45">
        <f>ROUND($D$3*E5/$E$3,2)</f>
        <v>0</v>
      </c>
      <c r="E5" s="46">
        <f>SUMIF('数据-基础表'!$11:$11,"住宅",'数据-基础表'!$5:$5)</f>
        <v>0</v>
      </c>
      <c r="F5" s="2657"/>
      <c r="G5" s="1145"/>
      <c r="H5" s="1026" t="s">
        <v>1105</v>
      </c>
      <c r="I5" s="855">
        <f>ROUND(E31/D31,2)</f>
        <v>3.9</v>
      </c>
      <c r="J5" s="2657"/>
      <c r="K5" s="2657"/>
      <c r="L5" s="2657"/>
      <c r="M5" s="2657"/>
      <c r="N5" s="2657"/>
      <c r="O5" s="2657"/>
      <c r="P5" s="2657"/>
    </row>
    <row r="6" spans="1:16" ht="15" thickBot="1">
      <c r="A6" s="1644"/>
      <c r="B6" s="3579" t="s">
        <v>1110</v>
      </c>
      <c r="C6" s="3579"/>
      <c r="D6" s="45">
        <f>ROUND($D$3*E6/$E$3,2)</f>
        <v>14812.1</v>
      </c>
      <c r="E6" s="46">
        <f>E3-E5</f>
        <v>57711.310000000005</v>
      </c>
      <c r="F6" s="2657"/>
      <c r="G6" s="2651" t="s">
        <v>1111</v>
      </c>
      <c r="H6" s="1146" t="s">
        <v>1112</v>
      </c>
      <c r="I6" s="2652">
        <f>ROUND(F31/D31,2)</f>
        <v>3.28</v>
      </c>
      <c r="J6" s="2657"/>
      <c r="K6" s="2657"/>
      <c r="L6" s="2657"/>
      <c r="M6" s="2657"/>
      <c r="N6" s="2657"/>
      <c r="O6" s="2657"/>
      <c r="P6" s="2657"/>
    </row>
    <row r="7" spans="1:16" ht="15.75" thickBot="1">
      <c r="A7" s="3571"/>
      <c r="B7" s="3572"/>
      <c r="C7" s="3573"/>
      <c r="D7" s="1641" t="s">
        <v>1106</v>
      </c>
      <c r="E7" s="1645" t="s">
        <v>1113</v>
      </c>
      <c r="F7" s="2657"/>
      <c r="G7" s="2653" t="s">
        <v>1114</v>
      </c>
      <c r="H7" s="2654"/>
      <c r="I7" s="2655">
        <v>3</v>
      </c>
      <c r="J7" s="2657"/>
      <c r="K7" s="2657"/>
      <c r="L7" s="2657"/>
      <c r="M7" s="2657"/>
      <c r="N7" s="2657"/>
      <c r="O7" s="2657"/>
      <c r="P7" s="2657"/>
    </row>
    <row r="8" spans="1:16">
      <c r="A8" s="44" t="s">
        <v>1115</v>
      </c>
      <c r="B8" s="47" t="s">
        <v>1116</v>
      </c>
      <c r="C8" s="45" t="s">
        <v>1117</v>
      </c>
      <c r="D8" s="45">
        <f t="shared" ref="D8:D15" si="0">ROUND($D$3*E8/$E$3,2)</f>
        <v>12468.1</v>
      </c>
      <c r="E8" s="48">
        <f>SUMIF('数据-基础表'!BB10:BK10,"地上",'数据-基础表'!BB5:BK5)</f>
        <v>48578.539999999994</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304.04000000000002</v>
      </c>
      <c r="E12" s="48">
        <f>SUMPRODUCT(('数据-基础表'!BB10:BK10="地下")*('数据-基础表'!BB11:BK11="仓储")*('数据-基础表'!BB5:BK5))</f>
        <v>1184.6000000000001</v>
      </c>
      <c r="F12" s="2657"/>
      <c r="G12" s="2658"/>
      <c r="H12" s="2658"/>
      <c r="I12" s="2657"/>
      <c r="J12" s="2657"/>
      <c r="K12" s="2657"/>
      <c r="L12" s="2657"/>
      <c r="M12" s="2657"/>
      <c r="N12" s="2657"/>
      <c r="O12" s="2657"/>
      <c r="P12" s="2657"/>
    </row>
    <row r="13" spans="1:16">
      <c r="A13" s="1646"/>
      <c r="B13" s="1647"/>
      <c r="C13" s="45" t="s">
        <v>1121</v>
      </c>
      <c r="D13" s="45">
        <f t="shared" si="0"/>
        <v>2039.97</v>
      </c>
      <c r="E13" s="48">
        <f>SUMPRODUCT(('数据-基础表'!BB10:BK10="地下")*('数据-基础表'!BB11:BK11="车库")*('数据-基础表'!BB5:BK5))</f>
        <v>7948.170000000001</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14812.11</v>
      </c>
      <c r="E16" s="50">
        <f>SUM(E8:E15)</f>
        <v>57711.30999999999</v>
      </c>
      <c r="F16" s="2657"/>
      <c r="G16" s="2658"/>
      <c r="H16" s="1648" t="s">
        <v>1134</v>
      </c>
      <c r="I16" s="1649"/>
      <c r="J16" s="1139"/>
      <c r="K16" s="3568" t="s">
        <v>1134</v>
      </c>
      <c r="L16" s="3569"/>
      <c r="M16" s="3569"/>
      <c r="N16" s="3569"/>
      <c r="O16" s="3569"/>
      <c r="P16" s="3570"/>
    </row>
    <row r="17" spans="1:19" ht="15">
      <c r="A17" s="1650" t="s">
        <v>1135</v>
      </c>
      <c r="B17" s="1651" t="s">
        <v>1136</v>
      </c>
      <c r="C17" s="1652" t="s">
        <v>1137</v>
      </c>
      <c r="D17" s="1653" t="s">
        <v>1125</v>
      </c>
      <c r="E17" s="1654" t="s">
        <v>1126</v>
      </c>
      <c r="F17" s="1655"/>
      <c r="G17" s="1656"/>
      <c r="H17" s="1657" t="s">
        <v>1138</v>
      </c>
      <c r="I17" s="1658" t="s">
        <v>1123</v>
      </c>
      <c r="J17" s="1139"/>
      <c r="K17" s="3565" t="s">
        <v>1139</v>
      </c>
      <c r="L17" s="3566"/>
      <c r="M17" s="3567"/>
      <c r="N17" s="3565" t="s">
        <v>1140</v>
      </c>
      <c r="O17" s="3566"/>
      <c r="P17" s="356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3399</v>
      </c>
      <c r="D19" s="45">
        <f>ROUND($D$3*E19/$E$3,2)</f>
        <v>12466.72</v>
      </c>
      <c r="E19" s="53">
        <f t="shared" ref="E19:E26" si="1">SUM(F19:G19)</f>
        <v>48573.159999999996</v>
      </c>
      <c r="F19" s="2793">
        <f>'数据-基础表'!I5-'数据-基础表'!I17-'数据-基础表'!I18-'数据-基础表'!I19-'数据-基础表'!J20</f>
        <v>48573.159999999996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12466.72</v>
      </c>
      <c r="S19" s="1027">
        <f t="shared" si="5"/>
        <v>48573.159999999996</v>
      </c>
    </row>
    <row r="20" spans="1:19">
      <c r="A20" s="1670"/>
      <c r="B20" s="47" t="s">
        <v>1152</v>
      </c>
      <c r="C20" s="3416" t="s">
        <v>3400</v>
      </c>
      <c r="D20" s="45">
        <f t="shared" ref="D20:D26" si="6">ROUND($D$3*E20/$E$3,2)</f>
        <v>305.42</v>
      </c>
      <c r="E20" s="53">
        <f t="shared" si="1"/>
        <v>1189.98</v>
      </c>
      <c r="F20" s="2793">
        <f>'数据-基础表'!M5</f>
        <v>5.38</v>
      </c>
      <c r="G20" s="2794">
        <f>'数据-基础表'!K5-'数据-基础表'!K17-'数据-基础表'!K18</f>
        <v>1184.5999999999999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305.42</v>
      </c>
      <c r="S20" s="1027">
        <f t="shared" si="5"/>
        <v>1189.98</v>
      </c>
    </row>
    <row r="21" spans="1:19">
      <c r="A21" s="1670"/>
      <c r="B21" s="47" t="s">
        <v>1152</v>
      </c>
      <c r="C21" s="3416" t="s">
        <v>3402</v>
      </c>
      <c r="D21" s="45">
        <f t="shared" si="6"/>
        <v>2039.97</v>
      </c>
      <c r="E21" s="53">
        <f t="shared" si="1"/>
        <v>7948.170000000001</v>
      </c>
      <c r="F21" s="2793"/>
      <c r="G21" s="2794">
        <f>'数据-基础表'!O21-'数据-基础表'!P21</f>
        <v>7948.170000000001</v>
      </c>
      <c r="H21" s="670">
        <f t="shared" si="7"/>
        <v>0</v>
      </c>
      <c r="I21" s="48">
        <f t="shared" si="2"/>
        <v>0</v>
      </c>
      <c r="J21" s="1139"/>
      <c r="K21" s="1138">
        <f t="shared" si="3"/>
        <v>0</v>
      </c>
      <c r="L21" s="1026">
        <f t="shared" si="4"/>
        <v>0</v>
      </c>
      <c r="M21" s="1150">
        <f t="shared" si="8"/>
        <v>0</v>
      </c>
      <c r="N21" s="1668"/>
      <c r="O21" s="1669"/>
      <c r="P21" s="1150">
        <f t="shared" si="9"/>
        <v>0</v>
      </c>
      <c r="R21" s="1026">
        <f t="shared" si="5"/>
        <v>2039.97</v>
      </c>
      <c r="S21" s="1027">
        <f t="shared" si="5"/>
        <v>7948.170000000001</v>
      </c>
    </row>
    <row r="22" spans="1:19">
      <c r="A22" s="1670"/>
      <c r="B22" s="47" t="s">
        <v>1152</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14812.109999999999</v>
      </c>
      <c r="E27" s="1141">
        <f>IF(SUM(E19:E26)='数据-基础表'!BA5,SUM(E19:E26),IF(F27="地上面积有误","面积有误","地下面积有误"))</f>
        <v>57711.31</v>
      </c>
      <c r="F27" s="1140">
        <f>IF(SUM(F19:F26)=E8,SUM(F19:F26),"地上面积有误")</f>
        <v>48578.539999999994</v>
      </c>
      <c r="G27" s="1142">
        <f>SUM(G19:G26)</f>
        <v>9132.77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t="str">
        <f>IF(SUM(R19:R26)=$D$3,SUM(R19:R26),SUM(R19:R26)&amp;"误差"&amp;ROUND(SUM(R19:R26)-$D$3,2))</f>
        <v>14812.11误差0.01</v>
      </c>
      <c r="S27" s="1026">
        <f>IF(SUM(S19:S26)=$E$3,SUM(S19:S26),SUM(S19:S26)&amp;"误差"&amp;ROUND(SUM(S19:S26)-E3,2))</f>
        <v>57711.31</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14812.109999999999</v>
      </c>
      <c r="E31" s="676">
        <f>E27+E30</f>
        <v>57711.31</v>
      </c>
      <c r="F31" s="677">
        <f>F27+F30</f>
        <v>48578.539999999994</v>
      </c>
      <c r="G31" s="678">
        <f>G27+G30</f>
        <v>9132.77</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60587</v>
      </c>
      <c r="F6" s="64">
        <f>SUMIF(项目基本情况!C$12:I$12,C6,项目基本情况!C$15:I$15)</f>
        <v>42.89</v>
      </c>
      <c r="G6" s="65">
        <f>IF(ISERROR(ROUND(POWER(1+H6,D6-F6)*(POWER(1+H6,F6)-1)/(POWER(1+H6,D6)-1),3)),0,ROUND(POWER(1+H6,D6-F6)*(POWER(1+H6,F6)-1)/(POWER(1+H6,D6)-1),3))</f>
        <v>0.96</v>
      </c>
      <c r="H6" s="732">
        <v>0.05</v>
      </c>
      <c r="I6" s="732">
        <v>5.5E-2</v>
      </c>
      <c r="J6" s="66">
        <v>7.4999999999999997E-2</v>
      </c>
      <c r="K6" s="1030">
        <f>SUMIF('数据-汇总表'!C$19:C$33,A6,'数据-汇总表'!E$19:E$33)</f>
        <v>48573.159999999996</v>
      </c>
      <c r="L6" s="733">
        <v>3000</v>
      </c>
      <c r="M6" s="67">
        <f t="shared" ref="M6:M14" si="0">ROUND(K6*L6/10000,0)</f>
        <v>14572</v>
      </c>
      <c r="N6" s="731">
        <f>ROUND(1-(2023-2020)/60,2)</f>
        <v>0.95</v>
      </c>
      <c r="O6" s="67" t="str">
        <f>IF($N$5="成新度","——",ROUND(M6*N6,0))</f>
        <v>——</v>
      </c>
      <c r="P6" s="68" t="str">
        <f>IF($N$5="成新度","——",M6-O6)</f>
        <v>——</v>
      </c>
      <c r="Q6" s="734">
        <v>0.15</v>
      </c>
      <c r="R6" s="69">
        <f ca="1">SUMIF('数据-汇总表'!C$19:C$33,A6,'数据-汇总表'!R$19:R$27)</f>
        <v>12466.72</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0.95</v>
      </c>
      <c r="Z6" s="72"/>
      <c r="AA6" s="66"/>
      <c r="AB6" s="66"/>
      <c r="AC6" s="1040"/>
      <c r="AD6" s="73"/>
      <c r="AE6" s="1041">
        <f ca="1">IF(AN6="",0,SUMIF(INDIRECT("'"&amp;AN6&amp;"'"&amp;"!E:E"),$AE$5,INDIRECT("'"&amp;AN6&amp;"'"&amp;"!F:F")))</f>
        <v>42.89</v>
      </c>
      <c r="AF6" s="1348"/>
      <c r="AG6" s="138">
        <f>IF(AF6="",0,AE6-AF6)</f>
        <v>0</v>
      </c>
      <c r="AH6" s="74"/>
      <c r="AI6" s="76">
        <v>365</v>
      </c>
      <c r="AJ6" s="77"/>
      <c r="AK6" s="78">
        <v>0.01</v>
      </c>
      <c r="AL6" s="79">
        <v>1.5E-3</v>
      </c>
      <c r="AM6" s="80">
        <v>0.01</v>
      </c>
      <c r="AN6" s="1715" t="s">
        <v>3405</v>
      </c>
      <c r="AO6" s="52">
        <f ca="1">SUMIF(INDIRECT("'"&amp;AN6&amp;"'"&amp;"!A:A"),"总价",INDIRECT("'"&amp;AN6&amp;"'"&amp;"!B:B"))</f>
        <v>118518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3342</v>
      </c>
      <c r="D7" s="858">
        <f>SUMIF(项目基本情况!C$12:I$12,C7,项目基本情况!C$14:I$14)</f>
        <v>50</v>
      </c>
      <c r="E7" s="857">
        <f>IF(B7="","",SUMIF(项目基本情况!C$12:H$12,C7,项目基本情况!C$13:H$13))</f>
        <v>60587</v>
      </c>
      <c r="F7" s="64">
        <f>SUMIF(项目基本情况!C$12:I$12,C7,项目基本情况!C$15:I$15)</f>
        <v>42.89</v>
      </c>
      <c r="G7" s="65">
        <f t="shared" ref="G7:G11" si="2">IF(ISERROR(ROUND(POWER(1+H7,D7-F7)*(POWER(1+H7,F7)-1)/(POWER(1+H7,D7)-1),3)),0,ROUND(POWER(1+H7,D7-F7)*(POWER(1+H7,F7)-1)/(POWER(1+H7,D7)-1),3))</f>
        <v>0.95399999999999996</v>
      </c>
      <c r="H7" s="732">
        <v>4.4999999999999998E-2</v>
      </c>
      <c r="I7" s="732">
        <v>0.05</v>
      </c>
      <c r="J7" s="66">
        <v>7.4999999999999997E-2</v>
      </c>
      <c r="K7" s="1030">
        <f>SUMIF('数据-汇总表'!C$19:C$33,A7,'数据-汇总表'!E$19:E$33)</f>
        <v>1189.98</v>
      </c>
      <c r="L7" s="733">
        <f>L6</f>
        <v>3000</v>
      </c>
      <c r="M7" s="67">
        <f t="shared" si="0"/>
        <v>357</v>
      </c>
      <c r="N7" s="731">
        <f>N6</f>
        <v>0.95</v>
      </c>
      <c r="O7" s="67" t="str">
        <f t="shared" ref="O7:O14" si="3">IF($N$5="成新度","——",ROUND(M7*N7,0))</f>
        <v>——</v>
      </c>
      <c r="P7" s="68" t="str">
        <f t="shared" ref="P7:P14" si="4">IF($N$5="成新度","——",M7-O7)</f>
        <v>——</v>
      </c>
      <c r="Q7" s="734">
        <v>0.08</v>
      </c>
      <c r="R7" s="69">
        <f ca="1">SUMIF('数据-汇总表'!C$19:C$33,A7,'数据-汇总表'!R$19:R$27)</f>
        <v>305.42</v>
      </c>
      <c r="S7" s="51">
        <f>IF('数据-汇总表'!$I$17="按面积比例",SUMIF('数据-汇总表'!C$19:C$33,A7,'数据-汇总表'!K$19:K$33),SUMIF('数据-汇总表'!C$19:C$33,A7,'数据-汇总表'!N$19:N$33))</f>
        <v>0</v>
      </c>
      <c r="T7" s="1172">
        <f t="shared" ref="T7:T13" si="5">ROUND($L$14*S7/10000,0)</f>
        <v>0</v>
      </c>
      <c r="U7" s="3427">
        <v>2</v>
      </c>
      <c r="V7" s="70">
        <v>2.5000000000000001E-2</v>
      </c>
      <c r="W7" s="70">
        <v>0.1</v>
      </c>
      <c r="X7" s="1040"/>
      <c r="Y7" s="71">
        <f>N7</f>
        <v>0.95</v>
      </c>
      <c r="Z7" s="72"/>
      <c r="AA7" s="66"/>
      <c r="AB7" s="66"/>
      <c r="AC7" s="1040"/>
      <c r="AD7" s="73"/>
      <c r="AE7" s="1041">
        <f t="shared" ref="AE7:AE13" ca="1" si="6">IF(AN7="",0,SUMIF(INDIRECT("'"&amp;AN7&amp;"'"&amp;"!E:E"),$AE$5,INDIRECT("'"&amp;AN7&amp;"'"&amp;"!F:F")))</f>
        <v>42.89</v>
      </c>
      <c r="AF7" s="1348"/>
      <c r="AG7" s="138">
        <f t="shared" ref="AG7:AG13" si="7">IF(AF7="",0,AE7-AF7)</f>
        <v>0</v>
      </c>
      <c r="AH7" s="74"/>
      <c r="AI7" s="76">
        <v>365</v>
      </c>
      <c r="AJ7" s="77"/>
      <c r="AK7" s="78">
        <f t="shared" ref="AK7:AM8" si="8">AK6</f>
        <v>0.01</v>
      </c>
      <c r="AL7" s="79">
        <f t="shared" si="8"/>
        <v>1.5E-3</v>
      </c>
      <c r="AM7" s="80">
        <f t="shared" si="8"/>
        <v>0.01</v>
      </c>
      <c r="AN7" s="1715" t="s">
        <v>3409</v>
      </c>
      <c r="AO7" s="52">
        <f t="shared" ref="AO7:AO13" ca="1" si="9">SUMIF(INDIRECT("'"&amp;AN7&amp;"'"&amp;"!A:A"),"总价",INDIRECT("'"&amp;AN7&amp;"'"&amp;"!B:B"))</f>
        <v>1495</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3341</v>
      </c>
      <c r="D8" s="858">
        <f>SUMIF(项目基本情况!C$12:I$12,C8,项目基本情况!C$14:I$14)</f>
        <v>50</v>
      </c>
      <c r="E8" s="857">
        <f>IF(B8="","",SUMIF(项目基本情况!C$12:H$12,C8,项目基本情况!C$13:H$13))</f>
        <v>60587</v>
      </c>
      <c r="F8" s="64">
        <f>SUMIF(项目基本情况!C$12:I$12,C8,项目基本情况!C$15:I$15)</f>
        <v>42.89</v>
      </c>
      <c r="G8" s="65">
        <f t="shared" si="2"/>
        <v>0.95399999999999996</v>
      </c>
      <c r="H8" s="732">
        <v>4.4999999999999998E-2</v>
      </c>
      <c r="I8" s="732">
        <v>0.05</v>
      </c>
      <c r="J8" s="66">
        <v>7.4999999999999997E-2</v>
      </c>
      <c r="K8" s="1030">
        <f>SUMIF('数据-汇总表'!C$19:C$33,A8,'数据-汇总表'!E$19:E$33)</f>
        <v>7948.170000000001</v>
      </c>
      <c r="L8" s="733">
        <v>2500</v>
      </c>
      <c r="M8" s="67">
        <f>ROUND(K8*L8/10000,0)</f>
        <v>1987</v>
      </c>
      <c r="N8" s="731">
        <f>N6</f>
        <v>0.95</v>
      </c>
      <c r="O8" s="67" t="str">
        <f t="shared" si="3"/>
        <v>——</v>
      </c>
      <c r="P8" s="68" t="str">
        <f t="shared" si="4"/>
        <v>——</v>
      </c>
      <c r="Q8" s="734">
        <v>0.05</v>
      </c>
      <c r="R8" s="69">
        <f ca="1">SUMIF('数据-汇总表'!C$19:C$33,A8,'数据-汇总表'!R$19:R$27)</f>
        <v>2039.97</v>
      </c>
      <c r="S8" s="51">
        <f>IF('数据-汇总表'!$I$17="按面积比例",SUMIF('数据-汇总表'!C$19:C$33,A8,'数据-汇总表'!K$19:K$33),SUMIF('数据-汇总表'!C$19:C$33,A8,'数据-汇总表'!N$19:N$33))</f>
        <v>0</v>
      </c>
      <c r="T8" s="1172">
        <f t="shared" si="5"/>
        <v>0</v>
      </c>
      <c r="U8" s="3428">
        <v>600</v>
      </c>
      <c r="V8" s="735">
        <v>2.5000000000000001E-2</v>
      </c>
      <c r="W8" s="735">
        <v>0.1</v>
      </c>
      <c r="X8" s="1040"/>
      <c r="Y8" s="71">
        <f>N8</f>
        <v>0.95</v>
      </c>
      <c r="Z8" s="72"/>
      <c r="AA8" s="66"/>
      <c r="AB8" s="66"/>
      <c r="AC8" s="1040"/>
      <c r="AD8" s="73"/>
      <c r="AE8" s="1041">
        <f t="shared" ca="1" si="6"/>
        <v>42.89</v>
      </c>
      <c r="AF8" s="1348"/>
      <c r="AG8" s="138">
        <f t="shared" si="7"/>
        <v>0</v>
      </c>
      <c r="AH8" s="736">
        <f>234-10</f>
        <v>224</v>
      </c>
      <c r="AI8" s="76">
        <v>12</v>
      </c>
      <c r="AJ8" s="77"/>
      <c r="AK8" s="737">
        <f t="shared" si="8"/>
        <v>0.01</v>
      </c>
      <c r="AL8" s="738">
        <f t="shared" si="8"/>
        <v>1.5E-3</v>
      </c>
      <c r="AM8" s="739">
        <f t="shared" si="8"/>
        <v>0.01</v>
      </c>
      <c r="AN8" s="1715" t="s">
        <v>3412</v>
      </c>
      <c r="AO8" s="52">
        <f t="shared" ca="1" si="9"/>
        <v>2268</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34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0.95899999999999996</v>
      </c>
      <c r="H16" s="90">
        <f>ROUND(SUMPRODUCT(H6:H13,K6:K13)/SUMPRODUCT((H6:H13&gt;0)*(K6:K13)),3)</f>
        <v>4.9000000000000002E-2</v>
      </c>
      <c r="I16" s="91"/>
      <c r="J16" s="91"/>
      <c r="K16" s="92">
        <f>SUM(K6:K15)</f>
        <v>57711.31</v>
      </c>
      <c r="L16" s="93">
        <f>ROUND(M16*10000/SUM(K6:K14),0)</f>
        <v>2931</v>
      </c>
      <c r="M16" s="93">
        <f>SUM(M6:M14)</f>
        <v>16916</v>
      </c>
      <c r="N16" s="94">
        <f>ROUND(SUMPRODUCT(M6:M14,N6:N14)/M16,3)</f>
        <v>0.95</v>
      </c>
      <c r="O16" s="93">
        <f>SUM(O6:O14)</f>
        <v>0</v>
      </c>
      <c r="P16" s="93">
        <f>SUM(P6:P14)</f>
        <v>0</v>
      </c>
      <c r="Q16" s="95">
        <f>ROUND(SUMPRODUCT(Q6:Q13,K6:K13)/SUMPRODUCT((Q6:Q13&gt;0)*(K6:K13)),2)</f>
        <v>0.13</v>
      </c>
      <c r="R16" s="1034">
        <f ca="1">SUM(R6:R13)</f>
        <v>14812.109999999999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2304</v>
      </c>
      <c r="D19" s="2674"/>
      <c r="E19" s="2671"/>
      <c r="F19" s="2671"/>
      <c r="G19" s="2671"/>
      <c r="H19" s="2671"/>
      <c r="I19" s="2671"/>
      <c r="J19" s="2671"/>
      <c r="K19" s="2670"/>
      <c r="L19" s="2670"/>
      <c r="M19" s="2669"/>
      <c r="N19" s="2669"/>
      <c r="O19" s="2669"/>
      <c r="P19" s="2669"/>
      <c r="Q19" s="2669"/>
      <c r="R19" s="2669"/>
      <c r="S19" s="3491" t="s">
        <v>3494</v>
      </c>
      <c r="T19" s="2669">
        <f>517.86+521.71</f>
        <v>1039.5700000000002</v>
      </c>
      <c r="U19" s="2669">
        <v>5</v>
      </c>
      <c r="V19" s="2669">
        <f>U19*T19</f>
        <v>5197.8500000000004</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2302</v>
      </c>
      <c r="D20" s="2674"/>
      <c r="E20" s="2671"/>
      <c r="F20" s="2671"/>
      <c r="G20" s="2671"/>
      <c r="H20" s="2671"/>
      <c r="I20" s="2671"/>
      <c r="J20" s="2671"/>
      <c r="K20" s="2670"/>
      <c r="L20" s="2670"/>
      <c r="M20" s="2669"/>
      <c r="N20" s="2669"/>
      <c r="O20" s="2669"/>
      <c r="P20" s="2669"/>
      <c r="Q20" s="2669"/>
      <c r="R20" s="2669"/>
      <c r="S20" s="3491" t="s">
        <v>3495</v>
      </c>
      <c r="T20" s="2669">
        <f>'数据-汇总表'!F19-'数据-取费表'!T19</f>
        <v>47533.59</v>
      </c>
      <c r="U20" s="2669">
        <v>4</v>
      </c>
      <c r="V20" s="2669">
        <f>U20*T20</f>
        <v>190134.36</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f>T19+T20</f>
        <v>48573.159999999996</v>
      </c>
      <c r="U21" s="2669">
        <f>V21/T21</f>
        <v>4.0214021488410472</v>
      </c>
      <c r="V21" s="2669">
        <f>V19+V20</f>
        <v>195332.21</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80" t="s">
        <v>2285</v>
      </c>
      <c r="B1" s="3581"/>
      <c r="C1" s="3581"/>
      <c r="D1" s="3581"/>
      <c r="E1" s="3581"/>
      <c r="F1" s="3581"/>
      <c r="G1" s="358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zoomScaleSheetLayoutView="80" workbookViewId="0">
      <selection activeCell="B1" sqref="B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58995.1</v>
      </c>
      <c r="C1" s="2684"/>
      <c r="D1" s="2684"/>
      <c r="E1" s="2684"/>
      <c r="F1" s="2684"/>
      <c r="G1" s="2685"/>
      <c r="H1" s="2686"/>
      <c r="I1" s="2686"/>
      <c r="J1" s="2686"/>
      <c r="K1" s="2686"/>
    </row>
    <row r="2" spans="1:11" ht="16.5">
      <c r="A2" s="2510" t="s">
        <v>653</v>
      </c>
      <c r="B2" s="2510">
        <f>SUM(C14:C23)</f>
        <v>15141.609999999999</v>
      </c>
      <c r="C2" s="2684"/>
      <c r="D2" s="2684"/>
      <c r="E2" s="2684"/>
      <c r="F2" s="2684"/>
      <c r="G2" s="2685"/>
      <c r="H2" s="2686"/>
      <c r="I2" s="2686"/>
      <c r="J2" s="2686"/>
      <c r="K2" s="2686"/>
    </row>
    <row r="3" spans="1:11" ht="16.5">
      <c r="A3" s="2510" t="s">
        <v>662</v>
      </c>
      <c r="B3" s="2512">
        <f>项目基本情况!D3</f>
        <v>44930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160943</v>
      </c>
      <c r="C5" s="2510">
        <f ca="1">IF(B5=D14,结果表!H102,ROUND(B5*10000/$B$1,0))</f>
        <v>27281</v>
      </c>
      <c r="D5" s="2510">
        <f ca="1">ROUND(B5*10000/$B$2,0)</f>
        <v>106292</v>
      </c>
      <c r="E5" s="2684"/>
      <c r="F5" s="2685"/>
      <c r="G5" s="2685"/>
      <c r="H5" s="2686"/>
      <c r="I5" s="2686"/>
      <c r="J5" s="2686"/>
      <c r="K5" s="2686"/>
    </row>
    <row r="6" spans="1:11" ht="16.5">
      <c r="A6" s="2510" t="s">
        <v>656</v>
      </c>
      <c r="B6" s="2510">
        <f ca="1">SUM(G14:G23)</f>
        <v>160943</v>
      </c>
      <c r="C6" s="2510">
        <f ca="1">IF(B6=G14,结果表!H108,ROUND(B6*10000/$B$1,0))</f>
        <v>27281</v>
      </c>
      <c r="D6" s="2510">
        <f ca="1">ROUND(B6*10000/$B$2,0)</f>
        <v>106292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f ca="1">IF(B8=I14,结果表!H112,ROUND(B8*10000/$B$1,0))</f>
        <v>24345</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48573.159999999996</v>
      </c>
      <c r="C14" s="2516">
        <f>结果表!C118</f>
        <v>12466.72</v>
      </c>
      <c r="D14" s="2516">
        <f ca="1">结果表!H118</f>
        <v>153479</v>
      </c>
      <c r="E14" s="2516">
        <f ca="1">ROUND(D14*10000/B14,0)</f>
        <v>31597</v>
      </c>
      <c r="F14" s="2516">
        <f ca="1">ROUND(D14*10000/C14,0)</f>
        <v>123111</v>
      </c>
      <c r="G14" s="2516">
        <f ca="1">结果表!D122</f>
        <v>153479</v>
      </c>
      <c r="H14" s="2516"/>
      <c r="I14" s="2516"/>
      <c r="J14" s="2685"/>
      <c r="K14" s="2686"/>
    </row>
    <row r="15" spans="1:11" ht="16.5">
      <c r="A15" s="2515" t="s">
        <v>649</v>
      </c>
      <c r="B15" s="2517">
        <f>'结果表(仓储)'!B118</f>
        <v>1189.98</v>
      </c>
      <c r="C15" s="2517">
        <f>'结果表(仓储)'!C118</f>
        <v>305.42</v>
      </c>
      <c r="D15" s="2517">
        <f ca="1">'结果表(仓储)'!H118</f>
        <v>1255</v>
      </c>
      <c r="E15" s="2516">
        <f t="shared" ref="E15:E23" ca="1" si="0">ROUND(D15*10000/B15,0)</f>
        <v>10546</v>
      </c>
      <c r="F15" s="2516">
        <f t="shared" ref="F15:F23" ca="1" si="1">ROUND(D15*10000/C15,0)</f>
        <v>41091</v>
      </c>
      <c r="G15" s="1331">
        <f ca="1">'结果表(仓储)'!D122</f>
        <v>1255</v>
      </c>
      <c r="H15" s="1331"/>
      <c r="I15" s="2517"/>
      <c r="J15" s="2685"/>
      <c r="K15" s="2686"/>
    </row>
    <row r="16" spans="1:11" ht="16.5">
      <c r="A16" s="2515" t="s">
        <v>648</v>
      </c>
      <c r="B16" s="2517">
        <f>'结果表(车库)'!B118</f>
        <v>7948.170000000001</v>
      </c>
      <c r="C16" s="2517">
        <f>'结果表(车库)'!C118</f>
        <v>2039.97</v>
      </c>
      <c r="D16" s="2517">
        <f ca="1">'结果表(车库)'!H118</f>
        <v>3076</v>
      </c>
      <c r="E16" s="2516">
        <f t="shared" ca="1" si="0"/>
        <v>3870</v>
      </c>
      <c r="F16" s="2516">
        <f t="shared" ca="1" si="1"/>
        <v>15079</v>
      </c>
      <c r="G16" s="1331">
        <f ca="1">'结果表(车库)'!D122</f>
        <v>3076</v>
      </c>
      <c r="H16" s="1331"/>
      <c r="I16" s="2517"/>
      <c r="J16" s="2686"/>
      <c r="K16" s="2686"/>
    </row>
    <row r="17" spans="1:11" ht="16.5">
      <c r="A17" s="2515" t="s">
        <v>647</v>
      </c>
      <c r="B17" s="2517">
        <f>[2]系统读取表!$B$14</f>
        <v>1283.79</v>
      </c>
      <c r="C17" s="2517">
        <f>[2]系统读取表!$C$14</f>
        <v>329.5</v>
      </c>
      <c r="D17" s="2517">
        <f>[2]系统读取表!$D$14</f>
        <v>3133</v>
      </c>
      <c r="E17" s="2516">
        <f t="shared" si="0"/>
        <v>24404</v>
      </c>
      <c r="F17" s="2516">
        <f t="shared" si="1"/>
        <v>95083</v>
      </c>
      <c r="G17" s="1331">
        <f>[2]系统读取表!$G$14</f>
        <v>3133</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8" spans="1:11" ht="14.25">
      <c r="A28" s="3582" t="s">
        <v>1442</v>
      </c>
      <c r="B28" s="3585" t="s">
        <v>1443</v>
      </c>
      <c r="C28" s="3585" t="s">
        <v>1444</v>
      </c>
      <c r="D28" s="3587" t="s">
        <v>1445</v>
      </c>
      <c r="E28" s="3588"/>
      <c r="F28" s="3589" t="s">
        <v>1446</v>
      </c>
      <c r="G28" s="3589"/>
      <c r="H28" s="3582" t="s">
        <v>1447</v>
      </c>
      <c r="I28" s="3582"/>
    </row>
    <row r="29" spans="1:11" ht="14.25">
      <c r="A29" s="3582"/>
      <c r="B29" s="3586"/>
      <c r="C29" s="3586"/>
      <c r="D29" s="2598" t="s">
        <v>1448</v>
      </c>
      <c r="E29" s="2598" t="s">
        <v>1449</v>
      </c>
      <c r="F29" s="2598" t="s">
        <v>1448</v>
      </c>
      <c r="G29" s="2598" t="s">
        <v>1450</v>
      </c>
      <c r="H29" s="2598" t="s">
        <v>1448</v>
      </c>
      <c r="I29" s="2598" t="s">
        <v>1450</v>
      </c>
    </row>
    <row r="30" spans="1:11" ht="56.25">
      <c r="A30" s="2598" t="s">
        <v>3498</v>
      </c>
      <c r="B30" s="2598">
        <f>B14+B15+B16</f>
        <v>57711.31</v>
      </c>
      <c r="C30" s="2598">
        <f>C14+C15+C16</f>
        <v>14812.109999999999</v>
      </c>
      <c r="D30" s="2598">
        <f ca="1">结果表!D118+'结果表(仓储)'!D118+'结果表(车库)'!D118</f>
        <v>108332</v>
      </c>
      <c r="E30" s="2598">
        <f ca="1">ROUND(D30*10000/B30,0)</f>
        <v>18771</v>
      </c>
      <c r="F30" s="2598">
        <f ca="1">结果表!F118+'结果表(仓储)'!F118+'结果表(车库)'!F118</f>
        <v>49478</v>
      </c>
      <c r="G30" s="2598">
        <f ca="1">ROUND(F30*10000/B30,0)</f>
        <v>8573</v>
      </c>
      <c r="H30" s="2598">
        <f ca="1">D30+F30</f>
        <v>157810</v>
      </c>
      <c r="I30" s="2598">
        <f ca="1">ROUND(H30*10000/B30,0)</f>
        <v>27345</v>
      </c>
    </row>
    <row r="31" spans="1:11" ht="14.25">
      <c r="A31" s="3582" t="s">
        <v>1451</v>
      </c>
      <c r="B31" s="3582"/>
      <c r="C31" s="3582"/>
      <c r="D31" s="3583" t="str">
        <f ca="1">NUMBERSTRING(INT(D30*10000),2)&amp;"元整"</f>
        <v>壹拾亿捌仟叁佰叁拾贰万元整</v>
      </c>
      <c r="E31" s="3584"/>
      <c r="F31" s="3583" t="str">
        <f ca="1">NUMBERSTRING(INT(F30*10000),2)&amp;"元整"</f>
        <v>肆亿玖仟肆佰柒拾捌万元整</v>
      </c>
      <c r="G31" s="3584"/>
      <c r="H31" s="3583" t="str">
        <f ca="1">NUMBERSTRING(INT(H30*10000),2)&amp;"元整"</f>
        <v>壹拾伍亿柒仟捌佰壹拾万元整</v>
      </c>
      <c r="I31" s="3584"/>
    </row>
  </sheetData>
  <sheetProtection password="CEE9" sheet="1" objects="1" scenarios="1" formatCells="0" formatColumns="0" formatRows="0"/>
  <mergeCells count="10">
    <mergeCell ref="A31:C31"/>
    <mergeCell ref="D31:E31"/>
    <mergeCell ref="F31:G31"/>
    <mergeCell ref="H31:I31"/>
    <mergeCell ref="A28:A29"/>
    <mergeCell ref="B28:B29"/>
    <mergeCell ref="C28:C29"/>
    <mergeCell ref="D28:E28"/>
    <mergeCell ref="F28:G28"/>
    <mergeCell ref="H28:I2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93" sqref="C93"/>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c r="H1" s="1750" t="str">
        <f>IF(G1="现房","——","估价对象范围")</f>
        <v>估价对象范围</v>
      </c>
      <c r="I1" s="1751"/>
    </row>
    <row r="2" spans="1:12" ht="21.75" customHeight="1" thickBot="1">
      <c r="A2" s="3652" t="str">
        <f>项目基本情况!S2</f>
        <v>北京市海淀区忍冬路5号院房地产</v>
      </c>
      <c r="B2" s="3653"/>
      <c r="C2" s="3653"/>
      <c r="D2" s="3653"/>
      <c r="E2" s="3653"/>
      <c r="F2" s="3653"/>
      <c r="G2" s="3653"/>
      <c r="H2" s="3653"/>
      <c r="I2" s="3654"/>
    </row>
    <row r="3" spans="1:12" ht="12.75">
      <c r="A3" s="3656" t="s">
        <v>1263</v>
      </c>
      <c r="B3" s="3657"/>
      <c r="C3" s="3657"/>
      <c r="D3" s="3657"/>
      <c r="E3" s="3657"/>
      <c r="F3" s="3657"/>
      <c r="G3" s="3657"/>
      <c r="H3" s="3657"/>
      <c r="I3" s="3657"/>
    </row>
    <row r="4" spans="1:12" ht="14.25">
      <c r="A4" s="1754" t="s">
        <v>1264</v>
      </c>
      <c r="B4" s="1755" t="s">
        <v>1265</v>
      </c>
      <c r="C4" s="1756" t="s">
        <v>3452</v>
      </c>
      <c r="D4" s="1756" t="s">
        <v>3405</v>
      </c>
      <c r="E4" s="3661" t="s">
        <v>1266</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1267</v>
      </c>
      <c r="B5" s="3655">
        <v>25</v>
      </c>
      <c r="C5" s="3658"/>
      <c r="D5" s="3646"/>
      <c r="E5" s="131" t="s">
        <v>1268</v>
      </c>
      <c r="F5" s="1757"/>
      <c r="G5" s="1757"/>
      <c r="H5" s="1757"/>
      <c r="I5" s="1373"/>
    </row>
    <row r="6" spans="1:12" ht="12.75">
      <c r="A6" s="3605"/>
      <c r="B6" s="3655"/>
      <c r="C6" s="3660"/>
      <c r="D6" s="3646"/>
      <c r="E6" s="131" t="s">
        <v>1269</v>
      </c>
      <c r="F6" s="1757"/>
      <c r="G6" s="1757"/>
      <c r="H6" s="1757"/>
      <c r="I6" s="1373"/>
    </row>
    <row r="7" spans="1:12" ht="12.75">
      <c r="A7" s="3605"/>
      <c r="B7" s="3655"/>
      <c r="C7" s="3659"/>
      <c r="D7" s="3646"/>
      <c r="E7" s="131" t="s">
        <v>1270</v>
      </c>
      <c r="F7" s="1757"/>
      <c r="G7" s="1757"/>
      <c r="H7" s="1757"/>
      <c r="I7" s="1373"/>
    </row>
    <row r="8" spans="1:12" ht="12.75">
      <c r="A8" s="3605" t="s">
        <v>1271</v>
      </c>
      <c r="B8" s="3655">
        <v>15</v>
      </c>
      <c r="C8" s="3658"/>
      <c r="D8" s="3646"/>
      <c r="E8" s="131" t="s">
        <v>1272</v>
      </c>
      <c r="F8" s="1757"/>
      <c r="G8" s="1757"/>
      <c r="H8" s="1757"/>
      <c r="I8" s="1373"/>
    </row>
    <row r="9" spans="1:12" ht="12.75">
      <c r="A9" s="3605"/>
      <c r="B9" s="3655"/>
      <c r="C9" s="3659"/>
      <c r="D9" s="3646"/>
      <c r="E9" s="131" t="s">
        <v>1273</v>
      </c>
      <c r="F9" s="1757"/>
      <c r="G9" s="1757"/>
      <c r="H9" s="1757"/>
      <c r="I9" s="1373"/>
    </row>
    <row r="10" spans="1:12" ht="12.75">
      <c r="A10" s="3605" t="s">
        <v>1274</v>
      </c>
      <c r="B10" s="3655">
        <v>15</v>
      </c>
      <c r="C10" s="3658"/>
      <c r="D10" s="3646"/>
      <c r="E10" s="131" t="s">
        <v>1275</v>
      </c>
      <c r="F10" s="1757"/>
      <c r="G10" s="1757"/>
      <c r="H10" s="1757"/>
      <c r="I10" s="1373"/>
    </row>
    <row r="11" spans="1:12" ht="12.75">
      <c r="A11" s="3605"/>
      <c r="B11" s="3655"/>
      <c r="C11" s="3659"/>
      <c r="D11" s="3646"/>
      <c r="E11" s="131" t="s">
        <v>1276</v>
      </c>
      <c r="F11" s="1757"/>
      <c r="G11" s="1757"/>
      <c r="H11" s="1757"/>
      <c r="I11" s="1373"/>
    </row>
    <row r="12" spans="1:12" ht="12.75">
      <c r="A12" s="3605" t="s">
        <v>1277</v>
      </c>
      <c r="B12" s="3655">
        <v>15</v>
      </c>
      <c r="C12" s="3658"/>
      <c r="D12" s="3646"/>
      <c r="E12" s="131" t="s">
        <v>1278</v>
      </c>
      <c r="F12" s="1757"/>
      <c r="G12" s="1757"/>
      <c r="H12" s="1757"/>
      <c r="I12" s="1373"/>
    </row>
    <row r="13" spans="1:12" ht="12.75">
      <c r="A13" s="3605"/>
      <c r="B13" s="3655"/>
      <c r="C13" s="3659"/>
      <c r="D13" s="3646"/>
      <c r="E13" s="131" t="s">
        <v>1279</v>
      </c>
      <c r="F13" s="1757"/>
      <c r="G13" s="1757"/>
      <c r="H13" s="1757"/>
      <c r="I13" s="1373"/>
    </row>
    <row r="14" spans="1:12" ht="12.75">
      <c r="A14" s="3605" t="s">
        <v>1280</v>
      </c>
      <c r="B14" s="3655">
        <v>30</v>
      </c>
      <c r="C14" s="3658">
        <v>6</v>
      </c>
      <c r="D14" s="3646">
        <v>4</v>
      </c>
      <c r="E14" s="131" t="s">
        <v>1281</v>
      </c>
      <c r="F14" s="1757"/>
      <c r="G14" s="1757"/>
      <c r="H14" s="1757"/>
      <c r="I14" s="1373"/>
    </row>
    <row r="15" spans="1:12" ht="12.75">
      <c r="A15" s="3605"/>
      <c r="B15" s="3655"/>
      <c r="C15" s="3660"/>
      <c r="D15" s="3646"/>
      <c r="E15" s="131" t="s">
        <v>1282</v>
      </c>
      <c r="F15" s="1757"/>
      <c r="G15" s="1757"/>
      <c r="H15" s="1757"/>
      <c r="I15" s="1373"/>
    </row>
    <row r="16" spans="1:12" ht="12.75">
      <c r="A16" s="3605"/>
      <c r="B16" s="3655"/>
      <c r="C16" s="3659"/>
      <c r="D16" s="3646"/>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77" t="s">
        <v>2130</v>
      </c>
      <c r="F18" s="3678"/>
      <c r="G18" s="3678"/>
      <c r="H18" s="3678"/>
      <c r="I18" s="3678"/>
      <c r="K18" s="302" t="s">
        <v>1288</v>
      </c>
      <c r="L18" s="302">
        <f>IF(C1="",'数据-汇总表'!E3,SUMIF(项目类型,C1,'数据-汇总表'!E17:E26)+SUMIF(项目类型,C1,'数据-汇总表'!I17:I26))</f>
        <v>48573.159999999996</v>
      </c>
      <c r="M18" s="302">
        <f>IF(C1="",'数据-汇总表'!E3,SUMIF(项目类型,C1,'数据-汇总表'!E17:E26))</f>
        <v>48573.159999999996</v>
      </c>
    </row>
    <row r="19" spans="1:36" ht="15">
      <c r="A19" s="1761" t="s">
        <v>1289</v>
      </c>
      <c r="B19" s="1762" t="s">
        <v>1290</v>
      </c>
      <c r="C19" s="134">
        <f ca="1">SUMIF(INDIRECT("'"&amp;C4&amp;"'"&amp;"!A:A"),结果表!B19,INDIRECT("'"&amp;C4&amp;"'"&amp;"!B:B"))</f>
        <v>176787</v>
      </c>
      <c r="D19" s="135">
        <f ca="1">SUMIF(INDIRECT("'"&amp;D4&amp;"'"&amp;"!A:A"),结果表!B19,INDIRECT("'"&amp;D4&amp;"'"&amp;"!B:B"))</f>
        <v>118518</v>
      </c>
      <c r="E19" s="1761" t="s">
        <v>1291</v>
      </c>
      <c r="F19" s="1762" t="s">
        <v>1290</v>
      </c>
      <c r="G19" s="136">
        <f ca="1">ROUND(C19*$C$18+D19*$D$18,0)</f>
        <v>153479</v>
      </c>
      <c r="H19" s="1763" t="s">
        <v>1292</v>
      </c>
      <c r="I19" s="129"/>
      <c r="K19" s="302" t="s">
        <v>1293</v>
      </c>
      <c r="L19" s="302">
        <f>IF(C1="",'数据-汇总表'!D3,SUMIF(项目类型,C1,'数据-汇总表'!D17:D26)+SUMIF(项目类型,C1,'数据-汇总表'!H17:H27))</f>
        <v>12466.72</v>
      </c>
      <c r="M19" s="302">
        <f>IF(C1="",'数据-汇总表'!D3,SUMIF(项目类型,C1,'数据-汇总表'!D17:D26))</f>
        <v>12466.72</v>
      </c>
    </row>
    <row r="20" spans="1:36" ht="15">
      <c r="A20" s="1764"/>
      <c r="B20" s="1026" t="s">
        <v>1294</v>
      </c>
      <c r="C20" s="137">
        <f ca="1">SUMIF(INDIRECT("'"&amp;C4&amp;"'"&amp;"!A:A"),结果表!B20,INDIRECT("'"&amp;C4&amp;"'"&amp;"!B:B"))</f>
        <v>36396</v>
      </c>
      <c r="D20" s="138">
        <f ca="1">SUMIF(INDIRECT("'"&amp;D4&amp;"'"&amp;"!A:A"),结果表!B20,INDIRECT("'"&amp;D4&amp;"'"&amp;"!B:B"))</f>
        <v>24400</v>
      </c>
      <c r="E20" s="1764"/>
      <c r="F20" s="1026" t="s">
        <v>1294</v>
      </c>
      <c r="G20" s="139">
        <f ca="1">ROUND(C20*$C$18+D20*$D$18,0)</f>
        <v>31598</v>
      </c>
      <c r="H20" s="808" t="s">
        <v>1295</v>
      </c>
      <c r="I20" s="129"/>
    </row>
    <row r="21" spans="1:36" ht="15" customHeight="1" thickBot="1">
      <c r="A21" s="828"/>
      <c r="B21" s="1765" t="s">
        <v>1296</v>
      </c>
      <c r="C21" s="719">
        <f ca="1">ROUND(C19*10000/L19,0)</f>
        <v>141807</v>
      </c>
      <c r="D21" s="720">
        <f ca="1">ROUND(D19*10000/L19,0)</f>
        <v>95068</v>
      </c>
      <c r="E21" s="828"/>
      <c r="F21" s="1765" t="s">
        <v>1296</v>
      </c>
      <c r="G21" s="140">
        <f ca="1">ROUND(G19*10000/L19,0)</f>
        <v>123111</v>
      </c>
      <c r="H21" s="1766" t="s">
        <v>1295</v>
      </c>
      <c r="I21" s="129"/>
    </row>
    <row r="22" spans="1:36" ht="15" thickBot="1">
      <c r="A22" s="1688" t="s">
        <v>1297</v>
      </c>
      <c r="B22" s="1767"/>
      <c r="C22" s="1768"/>
      <c r="D22" s="721">
        <f ca="1">IF(C19&lt;D19,D19/C19-1,C19/D19-1)</f>
        <v>0.49164683845491819</v>
      </c>
      <c r="E22" s="129"/>
      <c r="F22" s="129"/>
      <c r="G22" s="129"/>
      <c r="H22" s="129"/>
      <c r="I22" s="129"/>
    </row>
    <row r="23" spans="1:36" ht="13.5" thickBot="1">
      <c r="A23" s="1747"/>
      <c r="B23" s="1747"/>
      <c r="C23" s="1747"/>
      <c r="D23" s="1747"/>
      <c r="E23" s="129"/>
      <c r="F23" s="129"/>
      <c r="G23" s="129"/>
      <c r="H23" s="129"/>
      <c r="I23" s="129"/>
    </row>
    <row r="24" spans="1:36" ht="14.25">
      <c r="A24" s="3670" t="s">
        <v>1298</v>
      </c>
      <c r="B24" s="1762" t="s">
        <v>1290</v>
      </c>
      <c r="C24" s="136">
        <f>IF(B30=0,0,D30)</f>
        <v>0</v>
      </c>
      <c r="D24" s="1769"/>
      <c r="E24" s="129"/>
      <c r="F24" s="129"/>
      <c r="G24" s="129"/>
      <c r="H24" s="129"/>
      <c r="I24" s="129"/>
    </row>
    <row r="25" spans="1:36" ht="14.25">
      <c r="A25" s="367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153479</v>
      </c>
      <c r="D32" s="1775" t="s">
        <v>3457</v>
      </c>
      <c r="E32" s="129"/>
      <c r="F32" s="129"/>
      <c r="G32" s="129"/>
      <c r="H32" s="129"/>
      <c r="I32" s="129"/>
    </row>
    <row r="33" spans="1:15" ht="15">
      <c r="A33" s="786" t="s">
        <v>1305</v>
      </c>
      <c r="B33" s="1776"/>
      <c r="C33" s="1777" t="s">
        <v>3461</v>
      </c>
      <c r="D33" s="1778" t="s">
        <v>3405</v>
      </c>
      <c r="E33" s="1779" t="s">
        <v>1306</v>
      </c>
      <c r="F33" s="1780" t="str">
        <f>IF(D32="楼面单价","取值（单价）","取值（总价）")</f>
        <v>取值（总价）</v>
      </c>
      <c r="G33" s="129"/>
      <c r="H33" s="129"/>
      <c r="I33" s="129"/>
    </row>
    <row r="34" spans="1:15" ht="15">
      <c r="A34" s="1781"/>
      <c r="B34" s="1782" t="s">
        <v>1307</v>
      </c>
      <c r="C34" s="148">
        <f ca="1">IF(C33="自定义",F34,C32-C35)</f>
        <v>106514</v>
      </c>
      <c r="D34" s="861">
        <f ca="1">IF(C33="自定义",ROUND(C34/C32,3),IF(C33="收益比率",SUMIF(INDIRECT("'"&amp;D33&amp;"'"&amp;"!b:b"),"土地收益比率",INDIRECT("'"&amp;D33&amp;"'"&amp;"!c:c")),SUMIF(INDIRECT("'"&amp;D33&amp;"'"&amp;"!b:b"),"土地成本比率",INDIRECT("'"&amp;D33&amp;"'"&amp;"!c:c"))))</f>
        <v>0.69399999999999995</v>
      </c>
      <c r="E34" s="1783" t="s">
        <v>1308</v>
      </c>
      <c r="F34" s="1330"/>
      <c r="G34" s="129"/>
      <c r="H34" s="129"/>
      <c r="I34" s="129"/>
    </row>
    <row r="35" spans="1:15" ht="15.75" thickBot="1">
      <c r="A35" s="1784"/>
      <c r="B35" s="1785" t="s">
        <v>1309</v>
      </c>
      <c r="C35" s="1170">
        <f ca="1">IF(C33="自定义",F35,ROUND(C32*D35,0))</f>
        <v>46965</v>
      </c>
      <c r="D35" s="1171">
        <f ca="1">IF(C33="自定义",ROUND(C35/C32,3),IF(C33="收益比率",SUMIF(INDIRECT("'"&amp;D33&amp;"'"&amp;"!b:b"),"建筑物收益比率",INDIRECT("'"&amp;D33&amp;"'"&amp;"!c:c")),SUMIF(INDIRECT("'"&amp;D33&amp;"'"&amp;"!b:b"),"建筑物成本比率",INDIRECT("'"&amp;D33&amp;"'"&amp;"!c:c"))))</f>
        <v>0.30599999999999999</v>
      </c>
      <c r="E35" s="1786" t="s">
        <v>1310</v>
      </c>
      <c r="F35" s="154"/>
      <c r="G35" s="129"/>
      <c r="H35" s="129"/>
      <c r="I35" s="129"/>
    </row>
    <row r="36" spans="1:15" ht="15.75" thickBot="1">
      <c r="A36" s="3647" t="s">
        <v>1311</v>
      </c>
      <c r="B36" s="1787" t="s">
        <v>1312</v>
      </c>
      <c r="C36" s="145"/>
      <c r="D36" s="1788"/>
      <c r="E36" s="1789"/>
      <c r="F36" s="1790"/>
      <c r="G36" s="129"/>
      <c r="H36" s="129"/>
      <c r="I36" s="129"/>
    </row>
    <row r="37" spans="1:15" ht="15.75" thickBot="1">
      <c r="A37" s="3648"/>
      <c r="B37" s="1674" t="s">
        <v>1313</v>
      </c>
      <c r="C37" s="147"/>
      <c r="D37" s="1139"/>
      <c r="E37" s="1139"/>
      <c r="F37" s="1790"/>
      <c r="G37" s="129"/>
      <c r="H37" s="129"/>
      <c r="I37" s="129"/>
    </row>
    <row r="38" spans="1:15" ht="15.75" thickBot="1">
      <c r="A38" s="364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67" t="s">
        <v>1325</v>
      </c>
      <c r="B45" s="3668"/>
      <c r="C45" s="3669"/>
      <c r="D45" s="155">
        <f ca="1">ROUND(系统读取表!B5*F45,0)</f>
        <v>160943</v>
      </c>
      <c r="E45" s="156" t="s">
        <v>1326</v>
      </c>
      <c r="F45" s="157">
        <v>1</v>
      </c>
      <c r="G45" s="158" t="s">
        <v>1327</v>
      </c>
      <c r="H45" s="129"/>
      <c r="I45" s="129"/>
      <c r="J45" s="3592" t="s">
        <v>1328</v>
      </c>
      <c r="K45" s="3592"/>
      <c r="L45" s="3592"/>
      <c r="M45" s="3592"/>
      <c r="N45" s="3592"/>
      <c r="O45" s="3592"/>
    </row>
    <row r="46" spans="1:15" ht="14.25" customHeight="1">
      <c r="A46" s="3664" t="s">
        <v>1329</v>
      </c>
      <c r="B46" s="3665"/>
      <c r="C46" s="3665"/>
      <c r="D46" s="3665"/>
      <c r="E46" s="3665"/>
      <c r="F46" s="3665"/>
      <c r="G46" s="3666"/>
      <c r="H46" s="1806"/>
      <c r="I46" s="159"/>
      <c r="J46" s="2521">
        <v>1</v>
      </c>
      <c r="K46" s="3593" t="s">
        <v>1330</v>
      </c>
      <c r="L46" s="3593"/>
      <c r="M46" s="3594"/>
      <c r="N46" s="3594"/>
      <c r="O46" s="3594"/>
    </row>
    <row r="47" spans="1:15" ht="12" customHeight="1">
      <c r="A47" s="160" t="s">
        <v>1331</v>
      </c>
      <c r="B47" s="161"/>
      <c r="C47" s="162"/>
      <c r="D47" s="1087" t="s">
        <v>1332</v>
      </c>
      <c r="E47" s="302" t="s">
        <v>1333</v>
      </c>
      <c r="F47" s="163" t="s">
        <v>1334</v>
      </c>
      <c r="G47" s="2544" t="s">
        <v>1335</v>
      </c>
      <c r="H47" s="2545"/>
      <c r="I47" s="159"/>
      <c r="J47" s="2521">
        <v>2</v>
      </c>
      <c r="K47" s="3593" t="s">
        <v>1336</v>
      </c>
      <c r="L47" s="3593"/>
      <c r="M47" s="3595">
        <f>'数据-取费表'!B2</f>
        <v>44930</v>
      </c>
      <c r="N47" s="3595"/>
      <c r="O47" s="3595"/>
    </row>
    <row r="48" spans="1:15" ht="25.5">
      <c r="A48" s="3650" t="s">
        <v>1337</v>
      </c>
      <c r="B48" s="3651"/>
      <c r="C48" s="3651"/>
      <c r="D48" s="2324">
        <f ca="1">IF(H48="情况1",0,IF(H48="情况2",D52,IF(H48="情况3",D53,IF(H48="情况4",D54))))</f>
        <v>8584</v>
      </c>
      <c r="E48" s="2334" t="str">
        <f>IF(H48="情况4","(销售额-原购置价)×税（费）率","销售额×税（费）率")</f>
        <v>销售额×税（费）率</v>
      </c>
      <c r="F48" s="2546">
        <f>IF(H48="情况1","免征",'数据-取费表'!B41)</f>
        <v>5.6000000000000001E-2</v>
      </c>
      <c r="G48" s="2547" t="s">
        <v>1338</v>
      </c>
      <c r="H48" s="2548" t="s">
        <v>3499</v>
      </c>
      <c r="I48" s="1806"/>
      <c r="J48" s="2521">
        <v>3</v>
      </c>
      <c r="K48" s="3593" t="s">
        <v>1339</v>
      </c>
      <c r="L48" s="3593"/>
      <c r="M48" s="3596">
        <f ca="1">系统读取表!B5</f>
        <v>160943</v>
      </c>
      <c r="N48" s="3596"/>
      <c r="O48" s="3596"/>
    </row>
    <row r="49" spans="1:35" ht="25.5" customHeight="1">
      <c r="A49" s="2333" t="s">
        <v>1340</v>
      </c>
      <c r="B49" s="3637" t="s">
        <v>1341</v>
      </c>
      <c r="C49" s="3637"/>
      <c r="D49" s="1590">
        <v>0</v>
      </c>
      <c r="E49" s="324" t="s">
        <v>1342</v>
      </c>
      <c r="F49" s="2422" t="s">
        <v>28</v>
      </c>
      <c r="G49" s="3620"/>
      <c r="H49" s="2310" t="s">
        <v>2133</v>
      </c>
      <c r="I49" s="2311"/>
      <c r="J49" s="2521">
        <v>4</v>
      </c>
      <c r="K49" s="3593" t="str">
        <f>IF(项目基本情况!E8="房地产抵押价值","房地产抵押价值","抵押担保权已注销时的房地产抵押价值")</f>
        <v>房地产抵押价值</v>
      </c>
      <c r="L49" s="3593"/>
      <c r="M49" s="3596">
        <f ca="1">系统读取表!B6</f>
        <v>160943</v>
      </c>
      <c r="N49" s="3596"/>
      <c r="O49" s="3596"/>
    </row>
    <row r="50" spans="1:35" ht="25.5" customHeight="1">
      <c r="A50" s="2549"/>
      <c r="B50" s="3637" t="s">
        <v>1343</v>
      </c>
      <c r="C50" s="3637"/>
      <c r="D50" s="2550"/>
      <c r="E50" s="332"/>
      <c r="F50" s="2422"/>
      <c r="G50" s="3621"/>
      <c r="H50" s="2312" t="s">
        <v>2134</v>
      </c>
      <c r="I50" s="2311"/>
      <c r="J50" s="3592" t="s">
        <v>1344</v>
      </c>
      <c r="K50" s="3592"/>
      <c r="L50" s="3592"/>
      <c r="M50" s="3592"/>
      <c r="N50" s="3592"/>
      <c r="O50" s="3592"/>
    </row>
    <row r="51" spans="1:35" ht="20.45" customHeight="1">
      <c r="A51" s="2551"/>
      <c r="B51" s="3637" t="s">
        <v>1345</v>
      </c>
      <c r="C51" s="3637"/>
      <c r="D51" s="1087"/>
      <c r="E51" s="327"/>
      <c r="F51" s="2422"/>
      <c r="G51" s="3622"/>
      <c r="H51" s="2312" t="s">
        <v>2135</v>
      </c>
      <c r="I51" s="2311"/>
      <c r="J51" s="2522" t="s">
        <v>1346</v>
      </c>
      <c r="K51" s="3593" t="s">
        <v>1347</v>
      </c>
      <c r="L51" s="3593"/>
      <c r="M51" s="2522" t="s">
        <v>1348</v>
      </c>
      <c r="N51" s="2522" t="s">
        <v>1349</v>
      </c>
      <c r="O51" s="2522" t="s">
        <v>1350</v>
      </c>
    </row>
    <row r="52" spans="1:35" ht="24" customHeight="1">
      <c r="A52" s="2335" t="s">
        <v>1351</v>
      </c>
      <c r="B52" s="3637" t="s">
        <v>1352</v>
      </c>
      <c r="C52" s="3637"/>
      <c r="D52" s="1087">
        <f ca="1">ROUND(D45*'数据-取费表'!B41/(1+'数据-取费表'!C42),0)</f>
        <v>8584</v>
      </c>
      <c r="E52" s="2334" t="s">
        <v>1353</v>
      </c>
      <c r="F52" s="2552">
        <f>'数据-取费表'!B41</f>
        <v>5.6000000000000001E-2</v>
      </c>
      <c r="G52" s="2553"/>
      <c r="H52" s="2542"/>
      <c r="I52" s="1807"/>
      <c r="J52" s="2521">
        <v>1</v>
      </c>
      <c r="K52" s="3614" t="s">
        <v>1354</v>
      </c>
      <c r="L52" s="3614"/>
      <c r="M52" s="2523">
        <f ca="1">D48</f>
        <v>8584</v>
      </c>
      <c r="N52" s="2521" t="str">
        <f>E48</f>
        <v>销售额×税（费）率</v>
      </c>
      <c r="O52" s="2524">
        <f>F48</f>
        <v>5.6000000000000001E-2</v>
      </c>
    </row>
    <row r="53" spans="1:35" ht="12" customHeight="1">
      <c r="A53" s="2335" t="s">
        <v>1355</v>
      </c>
      <c r="B53" s="3638" t="s">
        <v>2290</v>
      </c>
      <c r="C53" s="3639"/>
      <c r="D53" s="1087">
        <f ca="1">ROUND(D45*'数据-取费表'!B41/(1+'数据-取费表'!C42),0)</f>
        <v>8584</v>
      </c>
      <c r="E53" s="2334" t="s">
        <v>1353</v>
      </c>
      <c r="F53" s="2552">
        <f>'数据-取费表'!B41</f>
        <v>5.6000000000000001E-2</v>
      </c>
      <c r="G53" s="2553"/>
      <c r="H53" s="2542"/>
      <c r="I53" s="1807"/>
      <c r="J53" s="2521">
        <v>2</v>
      </c>
      <c r="K53" s="3614" t="s">
        <v>1356</v>
      </c>
      <c r="L53" s="3614"/>
      <c r="M53" s="2523">
        <f t="shared" ref="M53:O54" ca="1" si="0">D55</f>
        <v>80</v>
      </c>
      <c r="N53" s="2521" t="str">
        <f t="shared" si="0"/>
        <v>销售额×税（费）率</v>
      </c>
      <c r="O53" s="2524">
        <f t="shared" si="0"/>
        <v>5.0000000000000001E-4</v>
      </c>
    </row>
    <row r="54" spans="1:35" ht="12" customHeight="1">
      <c r="A54" s="2335" t="s">
        <v>1357</v>
      </c>
      <c r="B54" s="3638" t="s">
        <v>2291</v>
      </c>
      <c r="C54" s="3639"/>
      <c r="D54" s="1087">
        <f ca="1">C68</f>
        <v>8584</v>
      </c>
      <c r="E54" s="327" t="s">
        <v>1358</v>
      </c>
      <c r="F54" s="2552">
        <f>'数据-取费表'!B41</f>
        <v>5.6000000000000001E-2</v>
      </c>
      <c r="G54" s="2553"/>
      <c r="H54" s="2554"/>
      <c r="I54" s="1807"/>
      <c r="J54" s="2521">
        <v>3</v>
      </c>
      <c r="K54" s="3614" t="s">
        <v>1359</v>
      </c>
      <c r="L54" s="3614"/>
      <c r="M54" s="2523">
        <f t="shared" ca="1" si="0"/>
        <v>11780</v>
      </c>
      <c r="N54" s="2521" t="str">
        <f t="shared" si="0"/>
        <v>增值额×税（费）率</v>
      </c>
      <c r="O54" s="2525" t="str">
        <f t="shared" si="0"/>
        <v>——</v>
      </c>
    </row>
    <row r="55" spans="1:35" ht="24" customHeight="1">
      <c r="A55" s="3673" t="s">
        <v>1360</v>
      </c>
      <c r="B55" s="3651"/>
      <c r="C55" s="3651"/>
      <c r="D55" s="2324">
        <f ca="1">IF(H55="个人住宅",0,ROUND(D45*I55,0))</f>
        <v>80</v>
      </c>
      <c r="E55" s="2334" t="s">
        <v>1361</v>
      </c>
      <c r="F55" s="2552">
        <f>IF(H55="正常",I55,"免征")</f>
        <v>5.0000000000000001E-4</v>
      </c>
      <c r="G55" s="2553"/>
      <c r="H55" s="2548" t="s">
        <v>3433</v>
      </c>
      <c r="I55" s="165">
        <f>'数据-取费表'!B49</f>
        <v>5.0000000000000001E-4</v>
      </c>
      <c r="J55" s="2521" t="str">
        <f>IF(H59="非个人房产","",4)</f>
        <v/>
      </c>
      <c r="K55" s="3614" t="str">
        <f>IF(H59="非个人房产","——","个人所得税")</f>
        <v>——</v>
      </c>
      <c r="L55" s="3614"/>
      <c r="M55" s="2526" t="str">
        <f>D59</f>
        <v>——</v>
      </c>
      <c r="N55" s="2040" t="str">
        <f>E59</f>
        <v>——</v>
      </c>
      <c r="O55" s="2527" t="str">
        <f>F59</f>
        <v>——</v>
      </c>
    </row>
    <row r="56" spans="1:35" ht="24.75">
      <c r="A56" s="3673" t="s">
        <v>1362</v>
      </c>
      <c r="B56" s="3651"/>
      <c r="C56" s="3651"/>
      <c r="D56" s="2324">
        <f ca="1">IF(H56="个人住宅",D57,D58)</f>
        <v>11780</v>
      </c>
      <c r="E56" s="2334" t="s">
        <v>1363</v>
      </c>
      <c r="F56" s="2552" t="str">
        <f>IF(H56="正常",F58,"免征")</f>
        <v>——</v>
      </c>
      <c r="G56" s="2555" t="s">
        <v>1364</v>
      </c>
      <c r="H56" s="2556" t="s">
        <v>3433</v>
      </c>
      <c r="I56" s="1808"/>
      <c r="J56" s="2521"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2.75">
      <c r="A57" s="2335" t="s">
        <v>1340</v>
      </c>
      <c r="B57" s="3638" t="s">
        <v>1365</v>
      </c>
      <c r="C57" s="3639"/>
      <c r="D57" s="1590">
        <v>0</v>
      </c>
      <c r="E57" s="324" t="s">
        <v>1342</v>
      </c>
      <c r="F57" s="302"/>
      <c r="G57" s="2553"/>
      <c r="H57" s="2557"/>
      <c r="I57" s="1808"/>
      <c r="J57" s="3614">
        <f>IF(AND(J55="",J56=""),4,IF(项目基本情况!K6="上海银行",结果表!J56+1,结果表!J55+1))</f>
        <v>4</v>
      </c>
      <c r="K57" s="3614" t="s">
        <v>1366</v>
      </c>
      <c r="L57" s="2528" t="s">
        <v>1367</v>
      </c>
      <c r="M57" s="2529"/>
      <c r="N57" s="2530">
        <f ca="1">SUMIF(M52:M56,"&lt;9e307")</f>
        <v>20444</v>
      </c>
      <c r="O57" s="2531"/>
      <c r="P57" s="2688">
        <f ca="1">N57/M49</f>
        <v>0.12702633851736328</v>
      </c>
    </row>
    <row r="58" spans="1:35" ht="24.75">
      <c r="A58" s="2335" t="s">
        <v>1351</v>
      </c>
      <c r="B58" s="3638" t="s">
        <v>1368</v>
      </c>
      <c r="C58" s="3637"/>
      <c r="D58" s="2324">
        <f ca="1">IF(H58="转让取得",C81,C97)</f>
        <v>11780</v>
      </c>
      <c r="E58" s="2334" t="s">
        <v>1363</v>
      </c>
      <c r="F58" s="302" t="s">
        <v>28</v>
      </c>
      <c r="G58" s="2553"/>
      <c r="H58" s="2556" t="s">
        <v>3500</v>
      </c>
      <c r="I58" s="1808"/>
      <c r="J58" s="3614"/>
      <c r="K58" s="3614"/>
      <c r="L58" s="2528" t="s">
        <v>1369</v>
      </c>
      <c r="M58" s="2532"/>
      <c r="N58" s="2533" t="str">
        <f ca="1">NUMBERSTRING(INT(N57*10000),2)&amp;"元整"</f>
        <v>贰亿零肆佰肆拾肆万元整</v>
      </c>
      <c r="O58" s="2534"/>
    </row>
    <row r="59" spans="1:35" ht="24.75" thickBot="1">
      <c r="A59" s="3618" t="s">
        <v>1370</v>
      </c>
      <c r="B59" s="3619"/>
      <c r="C59" s="3619"/>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1364</v>
      </c>
      <c r="H59" s="2314" t="s">
        <v>3501</v>
      </c>
      <c r="I59" s="2313" t="s">
        <v>2136</v>
      </c>
      <c r="J59" s="3616">
        <f>J57+1</f>
        <v>5</v>
      </c>
      <c r="K59" s="3614" t="s">
        <v>1371</v>
      </c>
      <c r="L59" s="2521" t="s">
        <v>1367</v>
      </c>
      <c r="M59" s="2535"/>
      <c r="N59" s="2536">
        <f ca="1">M49-N57</f>
        <v>140499</v>
      </c>
      <c r="O59" s="2537"/>
    </row>
    <row r="60" spans="1:35" ht="12" customHeight="1">
      <c r="A60" s="1809"/>
      <c r="B60" s="1747"/>
      <c r="C60" s="1747"/>
      <c r="D60" s="1747"/>
      <c r="E60" s="1578"/>
      <c r="F60" s="1808"/>
      <c r="G60" s="1808"/>
      <c r="H60" s="1810"/>
      <c r="I60" s="129"/>
      <c r="J60" s="3617"/>
      <c r="K60" s="3614"/>
      <c r="L60" s="2528" t="s">
        <v>1369</v>
      </c>
      <c r="M60" s="2532"/>
      <c r="N60" s="2533" t="str">
        <f ca="1">NUMBERSTRING(INT(N59*10000),2)&amp;"元整"</f>
        <v>壹拾肆亿零肆佰玖拾玖万元整</v>
      </c>
      <c r="O60" s="2534"/>
    </row>
    <row r="61" spans="1:35" ht="13.5" thickBot="1">
      <c r="A61" s="3672" t="s">
        <v>1372</v>
      </c>
      <c r="B61" s="3672"/>
      <c r="C61" s="3672"/>
      <c r="D61" s="3672"/>
      <c r="E61" s="3672"/>
      <c r="F61" s="1808"/>
      <c r="G61" s="1808"/>
      <c r="H61" s="1810"/>
      <c r="I61" s="129"/>
      <c r="J61" s="2521">
        <f>J59+1</f>
        <v>6</v>
      </c>
      <c r="K61" s="3614" t="s">
        <v>1373</v>
      </c>
      <c r="L61" s="3614"/>
      <c r="M61" s="2538"/>
      <c r="N61" s="2539">
        <f ca="1">ROUND(N59*10000/'数据-汇总表'!E3,0)</f>
        <v>24345</v>
      </c>
      <c r="O61" s="2540"/>
    </row>
    <row r="62" spans="1:35" ht="12.75">
      <c r="A62" s="3633" t="s">
        <v>1374</v>
      </c>
      <c r="B62" s="3634"/>
      <c r="C62" s="2021"/>
      <c r="D62" s="2021" t="s">
        <v>1375</v>
      </c>
      <c r="E62" s="166" t="s">
        <v>1376</v>
      </c>
      <c r="F62" s="1808"/>
      <c r="G62" s="1808"/>
      <c r="H62" s="1810"/>
      <c r="I62" s="129"/>
    </row>
    <row r="63" spans="1:35" ht="12.75">
      <c r="A63" s="173" t="s">
        <v>330</v>
      </c>
      <c r="B63" s="167" t="s">
        <v>1377</v>
      </c>
      <c r="C63" s="2562">
        <f ca="1">ROUND((C64+C65)/(1+'数据-取费表'!C42),0)</f>
        <v>153279</v>
      </c>
      <c r="D63" s="167"/>
      <c r="E63" s="168"/>
      <c r="F63" s="1808"/>
      <c r="G63" s="1808"/>
      <c r="H63" s="1810"/>
      <c r="I63" s="129"/>
      <c r="J63" s="3601" t="s">
        <v>1378</v>
      </c>
      <c r="K63" s="1332" t="s">
        <v>1379</v>
      </c>
      <c r="L63" s="1332">
        <f ca="1">IF(M49&gt;10000,M49*0.5%,IF(AND(M49&gt;1000,M49&lt;=10000),M49*1%,IF(AND(M49&gt;100,M49&lt;=1000),M49*3%,IF(AND(M49&gt;10,M49&lt;=100),M49*5%,M49*8%))))</f>
        <v>804.71500000000003</v>
      </c>
      <c r="M63" s="302">
        <f ca="1">ROUND(L63,1)</f>
        <v>804.7</v>
      </c>
      <c r="N63" s="2541"/>
      <c r="Z63" s="1752"/>
      <c r="AI63" s="1753"/>
    </row>
    <row r="64" spans="1:35" ht="14.25" customHeight="1">
      <c r="A64" s="169" t="s">
        <v>325</v>
      </c>
      <c r="B64" s="170" t="s">
        <v>1380</v>
      </c>
      <c r="C64" s="2563">
        <f ca="1">D45</f>
        <v>160943</v>
      </c>
      <c r="D64" s="170" t="s">
        <v>26</v>
      </c>
      <c r="E64" s="172"/>
      <c r="F64" s="1808"/>
      <c r="G64" s="1808"/>
      <c r="H64" s="1810"/>
      <c r="I64" s="129"/>
      <c r="J64" s="3601"/>
      <c r="K64" s="1332" t="s">
        <v>1381</v>
      </c>
      <c r="L64" s="1332">
        <f ca="1">IF(M49&gt;2000,M49*0.5%,IF(AND(M49&gt;1000,M49&lt;=2000),M49*0.6%,IF(AND(M49&gt;500,M49&lt;=1000),M49*0.7%,IF(AND(M49&gt;200,M49&lt;=500),M49*0.8%,IF(AND(M49&gt;100,M49&lt;=200),M49*0.9%,IF(AND(M49&gt;50,M49&lt;=100),M49*1%,IF(AND(M49&gt;20,M49&lt;=50),M49*1.5%,IF(AND(M49&gt;10,M49&lt;=20),M49*2%,IF(AND(M49&gt;1,M49&lt;=10),M49*2.5%)))))))))</f>
        <v>804.71500000000003</v>
      </c>
      <c r="M64" s="302">
        <f t="shared" ref="M64:M65" ca="1" si="1">ROUND(L64,1)</f>
        <v>804.7</v>
      </c>
      <c r="N64" s="2542" t="s">
        <v>1382</v>
      </c>
      <c r="Z64" s="1752"/>
      <c r="AI64" s="1753"/>
    </row>
    <row r="65" spans="1:35" ht="14.25" customHeight="1">
      <c r="A65" s="169" t="s">
        <v>326</v>
      </c>
      <c r="B65" s="170" t="s">
        <v>1383</v>
      </c>
      <c r="C65" s="2564"/>
      <c r="D65" s="170"/>
      <c r="E65" s="172"/>
      <c r="F65" s="1808"/>
      <c r="G65" s="1808"/>
      <c r="H65" s="1810"/>
      <c r="I65" s="129"/>
      <c r="J65" s="3601"/>
      <c r="K65" s="1332" t="s">
        <v>1384</v>
      </c>
      <c r="L65" s="1332">
        <f ca="1">IF(M49&gt;1000,M49*0.1%,IF(AND(M49&gt;500,M49&lt;=1000),M49*0.5%,IF(AND(M49&gt;50,M49&lt;=500),M49*1%,IF(AND(M49&gt;1,M49&lt;=50),M49*1.5%))))</f>
        <v>160.94300000000001</v>
      </c>
      <c r="M65" s="302">
        <f t="shared" ca="1" si="1"/>
        <v>160.9</v>
      </c>
      <c r="N65" s="2542" t="s">
        <v>1382</v>
      </c>
      <c r="Z65" s="1752"/>
      <c r="AI65" s="1753"/>
    </row>
    <row r="66" spans="1:35" ht="14.25" customHeight="1">
      <c r="A66" s="173" t="s">
        <v>327</v>
      </c>
      <c r="B66" s="174" t="s">
        <v>1385</v>
      </c>
      <c r="C66" s="2565"/>
      <c r="D66" s="174" t="s">
        <v>26</v>
      </c>
      <c r="E66" s="1338" t="s">
        <v>671</v>
      </c>
      <c r="F66" s="1808"/>
      <c r="G66" s="1808"/>
      <c r="H66" s="1810"/>
      <c r="I66" s="129"/>
      <c r="J66" s="3601"/>
      <c r="K66" s="1332" t="s">
        <v>1386</v>
      </c>
      <c r="L66" s="1332">
        <f ca="1">M49*0.5%</f>
        <v>804.71500000000003</v>
      </c>
      <c r="M66" s="302">
        <f ca="1">IF(L66&gt;0.5,0.5,ROUND(L66,0))</f>
        <v>0.5</v>
      </c>
      <c r="N66" s="2542" t="s">
        <v>1387</v>
      </c>
      <c r="Z66" s="1752"/>
      <c r="AI66" s="1753"/>
    </row>
    <row r="67" spans="1:35" ht="14.25" customHeight="1">
      <c r="A67" s="173" t="s">
        <v>328</v>
      </c>
      <c r="B67" s="174" t="s">
        <v>1388</v>
      </c>
      <c r="C67" s="2566">
        <f ca="1">C63-C66</f>
        <v>153279</v>
      </c>
      <c r="D67" s="170" t="s">
        <v>26</v>
      </c>
      <c r="E67" s="172"/>
      <c r="F67" s="1808"/>
      <c r="G67" s="1808"/>
      <c r="H67" s="1810"/>
      <c r="I67" s="129"/>
      <c r="J67" s="3601"/>
      <c r="K67" s="1332" t="s">
        <v>1389</v>
      </c>
      <c r="L67" s="1332">
        <f ca="1">IF(M49&gt;=10000,(8.25+(M49-10000)*0.01%),IF(AND(M49&gt;=8000,M49&lt;10000),(7.85+(M49-8000)*0.02%),IF(AND(M49&gt;=5000,M49&lt;8000),(6.65+(M49-5000)*0.04%),IF(AND(M49&gt;=2000,M49&lt;5000),(4.25+(PM49-2000)*0.08%),IF(AND(M49&gt;=1000,M49&lt;2000),(2.75+(M49-1000)*0.15%),IF(AND(M49&gt;=100,M49&lt;1000),(0.5+(M49-100)*0.25%),IF(AND(M49&gt;0,M49&lt;100),M49*0.5%)))))))</f>
        <v>23.3443</v>
      </c>
      <c r="M67" s="302">
        <f ca="1">ROUND(L67*0.9,1)</f>
        <v>21</v>
      </c>
      <c r="N67" s="2541"/>
      <c r="Z67" s="1752"/>
      <c r="AI67" s="1753"/>
    </row>
    <row r="68" spans="1:35" ht="14.25" customHeight="1" thickBot="1">
      <c r="A68" s="176" t="s">
        <v>329</v>
      </c>
      <c r="B68" s="177" t="s">
        <v>1390</v>
      </c>
      <c r="C68" s="2567">
        <f ca="1">IF(C67&lt;=0,0,ROUND(C67*D68,0))</f>
        <v>8584</v>
      </c>
      <c r="D68" s="2568">
        <f>'数据-取费表'!B41</f>
        <v>5.6000000000000001E-2</v>
      </c>
      <c r="E68" s="178"/>
      <c r="F68" s="1808"/>
      <c r="G68" s="1808"/>
      <c r="H68" s="1810"/>
      <c r="I68" s="129"/>
      <c r="J68" s="3601"/>
      <c r="K68" s="1332" t="s">
        <v>1391</v>
      </c>
      <c r="L68" s="1332">
        <f ca="1">IF(M49&gt;10000,M49*0.5%,IF(AND(M49&gt;5000,M49&lt;=10000),M49*1%,IF(AND(M49&gt;1000,M49&lt;=5000),M49*2%,IF(AND(M49&gt;200,M49&lt;=1000),M49*3%,M49*5%))))</f>
        <v>804.71500000000003</v>
      </c>
      <c r="M68" s="302">
        <f ca="1">ROUND(L68,1)</f>
        <v>804.7</v>
      </c>
      <c r="N68" s="2541"/>
      <c r="Z68" s="1752"/>
      <c r="AI68" s="1753"/>
    </row>
    <row r="69" spans="1:35" s="1772" customFormat="1" ht="16.5" customHeight="1">
      <c r="A69" s="1811"/>
      <c r="B69" s="1812"/>
      <c r="C69" s="1813"/>
      <c r="D69" s="1814"/>
      <c r="E69" s="1815"/>
      <c r="F69" s="1578"/>
      <c r="G69" s="1578"/>
      <c r="H69" s="1577"/>
      <c r="I69" s="1747"/>
      <c r="J69" s="3601"/>
      <c r="K69" s="1332" t="s">
        <v>1392</v>
      </c>
      <c r="L69" s="1332"/>
      <c r="M69" s="302">
        <f ca="1">ROUND(SUM(M63:M68),0)</f>
        <v>2597</v>
      </c>
      <c r="N69" s="2543">
        <f ca="1">M69/M49</f>
        <v>1.6136147580199201E-2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1" t="s">
        <v>1393</v>
      </c>
      <c r="B70" s="3642"/>
      <c r="C70" s="3642"/>
      <c r="D70" s="3642"/>
      <c r="E70" s="3642"/>
      <c r="F70" s="3642"/>
      <c r="G70" s="3642"/>
      <c r="H70" s="364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3" t="s">
        <v>1374</v>
      </c>
      <c r="B71" s="3634"/>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153279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920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38" t="s">
        <v>1401</v>
      </c>
      <c r="F76" s="3637"/>
      <c r="G76" s="3637"/>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920</v>
      </c>
      <c r="D78" s="2575">
        <f>'数据-取费表'!B43</f>
        <v>6.000000000000001E-3</v>
      </c>
      <c r="E78" s="3630" t="s">
        <v>1405</v>
      </c>
      <c r="F78" s="3631"/>
      <c r="G78" s="3631"/>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152359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165.60760869565217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91093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1" t="s">
        <v>1409</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3" t="s">
        <v>1374</v>
      </c>
      <c r="B84" s="363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153279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114011.7311392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67566.731139199997</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f>13056*('数据-汇总表'!F27+'[2]数据-汇总表'!$F$19)/10000+13056*0.2*25%*'数据-汇总表'!G20/10000+13056*0.15*25%*'数据-汇总表'!G21/10000</f>
        <v>65566.731139199997</v>
      </c>
      <c r="D88" s="2575"/>
      <c r="E88" s="193" t="s">
        <v>1412</v>
      </c>
      <c r="F88" s="2327"/>
      <c r="G88" s="194" t="s">
        <v>1413</v>
      </c>
      <c r="H88" s="1824" t="s">
        <v>3502</v>
      </c>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2000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03" t="s">
        <v>2128</v>
      </c>
      <c r="H90" s="360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 ca="1">收益法!C19+成本法!C33+'成本法(车库)'!C33+[2]成本法!$C$33</f>
        <v>19427</v>
      </c>
      <c r="D91" s="2575"/>
      <c r="E91" s="3630" t="s">
        <v>1418</v>
      </c>
      <c r="F91" s="3631"/>
      <c r="G91" s="363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 ca="1">ROUND((C87+C90+C91)*D92,0)</f>
        <v>8699</v>
      </c>
      <c r="D92" s="2581">
        <v>0.1</v>
      </c>
      <c r="E92" s="3630" t="s">
        <v>1421</v>
      </c>
      <c r="F92" s="3631"/>
      <c r="G92" s="3631"/>
      <c r="H92" s="3632"/>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920</v>
      </c>
      <c r="D93" s="2575">
        <f>'数据-取费表'!B43</f>
        <v>6.000000000000001E-3</v>
      </c>
      <c r="E93" s="3630" t="s">
        <v>1405</v>
      </c>
      <c r="F93" s="3631"/>
      <c r="G93" s="3631"/>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 ca="1">ROUND((C87+C90+C91)*D94,0)</f>
        <v>17399</v>
      </c>
      <c r="D94" s="2575">
        <v>0.2</v>
      </c>
      <c r="E94" s="3674" t="s">
        <v>1425</v>
      </c>
      <c r="F94" s="3675"/>
      <c r="G94" s="3675"/>
      <c r="H94" s="36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39267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0.34441192680477645</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11780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6" t="s">
        <v>1427</v>
      </c>
      <c r="B100" s="3577"/>
      <c r="C100" s="3577"/>
      <c r="D100" s="3615"/>
      <c r="E100" s="3577" t="s">
        <v>1428</v>
      </c>
      <c r="F100" s="3577"/>
      <c r="G100" s="3577"/>
      <c r="H100" s="3615"/>
      <c r="I100" s="129"/>
    </row>
    <row r="101" spans="1:35" ht="18.75" customHeight="1">
      <c r="A101" s="3623" t="s">
        <v>1429</v>
      </c>
      <c r="B101" s="3624"/>
      <c r="C101" s="2583" t="str">
        <f>C4</f>
        <v>比较法-办公</v>
      </c>
      <c r="D101" s="2584" t="str">
        <f>D4</f>
        <v>收益法</v>
      </c>
      <c r="E101" s="3597" t="s">
        <v>1430</v>
      </c>
      <c r="F101" s="3598"/>
      <c r="G101" s="1827" t="s">
        <v>1431</v>
      </c>
      <c r="H101" s="2593">
        <f ca="1">H118</f>
        <v>153479</v>
      </c>
      <c r="I101" s="129"/>
    </row>
    <row r="102" spans="1:35" ht="18.75" customHeight="1">
      <c r="A102" s="3625" t="s">
        <v>1432</v>
      </c>
      <c r="B102" s="2582" t="s">
        <v>1431</v>
      </c>
      <c r="C102" s="2583">
        <f ca="1">IF(D32="楼面单价",ROUND(C19,0),C19)</f>
        <v>176787</v>
      </c>
      <c r="D102" s="2584">
        <f ca="1">IF(D32="楼面单价",ROUND(D19,0),D19)</f>
        <v>118518</v>
      </c>
      <c r="E102" s="3597"/>
      <c r="F102" s="3598"/>
      <c r="G102" s="1827" t="s">
        <v>1433</v>
      </c>
      <c r="H102" s="2553">
        <f ca="1">I118</f>
        <v>31597</v>
      </c>
      <c r="I102" s="129"/>
    </row>
    <row r="103" spans="1:35" ht="42.75" customHeight="1">
      <c r="A103" s="3625"/>
      <c r="B103" s="2582" t="s">
        <v>1433</v>
      </c>
      <c r="C103" s="2585">
        <f ca="1">C20</f>
        <v>36396</v>
      </c>
      <c r="D103" s="2586">
        <f ca="1">D20</f>
        <v>24400</v>
      </c>
      <c r="E103" s="3590" t="s">
        <v>1434</v>
      </c>
      <c r="F103" s="3591"/>
      <c r="G103" s="1828" t="s">
        <v>1435</v>
      </c>
      <c r="H103" s="2593">
        <f>IF(D36="正常操作",H104+H105+H106,H105+H106)</f>
        <v>0</v>
      </c>
      <c r="I103" s="129"/>
    </row>
    <row r="104" spans="1:35" ht="18.75" customHeight="1">
      <c r="A104" s="3625" t="s">
        <v>1436</v>
      </c>
      <c r="B104" s="2587" t="s">
        <v>1431</v>
      </c>
      <c r="C104" s="2588">
        <f ca="1">H118</f>
        <v>153479</v>
      </c>
      <c r="D104" s="2589"/>
      <c r="E104" s="1674" t="s">
        <v>1437</v>
      </c>
      <c r="F104" s="1666"/>
      <c r="G104" s="1828" t="s">
        <v>1435</v>
      </c>
      <c r="H104" s="2594">
        <f>IF(D36="同一抵押权人同一抵押物续贷",C36&amp;"（续贷，未扣减，详见特别提示）",C36)</f>
        <v>0</v>
      </c>
      <c r="I104" s="129"/>
    </row>
    <row r="105" spans="1:35" ht="18.75" customHeight="1" thickBot="1">
      <c r="A105" s="3635"/>
      <c r="B105" s="2590" t="s">
        <v>1433</v>
      </c>
      <c r="C105" s="2591">
        <f ca="1">I118</f>
        <v>31597</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6" t="str">
        <f>IF(项目基本情况!E8="已注销","——","3.房地产抵押价值")</f>
        <v>3.房地产抵押价值</v>
      </c>
      <c r="F107" s="3598"/>
      <c r="G107" s="1827" t="s">
        <v>1431</v>
      </c>
      <c r="H107" s="2593">
        <f ca="1">IF(E107="——","——",H101-H103)</f>
        <v>153479</v>
      </c>
      <c r="I107" s="129"/>
    </row>
    <row r="108" spans="1:35" ht="18.75" customHeight="1">
      <c r="A108" s="129"/>
      <c r="B108" s="129"/>
      <c r="C108" s="129"/>
      <c r="D108" s="129"/>
      <c r="E108" s="3626"/>
      <c r="F108" s="3598"/>
      <c r="G108" s="1827" t="s">
        <v>1433</v>
      </c>
      <c r="H108" s="2553">
        <f ca="1">IF(H107=H101,H102,ROUND(H107*10000/'数据-汇总表'!E3,0))</f>
        <v>31597</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8"/>
      <c r="G109" s="1827" t="s">
        <v>1431</v>
      </c>
      <c r="H109" s="2596" t="str">
        <f>IF(E109="——","——",H101-H105-H106)</f>
        <v>——</v>
      </c>
      <c r="I109" s="129"/>
    </row>
    <row r="110" spans="1:35" ht="18.75" customHeight="1">
      <c r="A110" s="129"/>
      <c r="B110" s="129"/>
      <c r="C110" s="129"/>
      <c r="D110" s="129"/>
      <c r="E110" s="3626"/>
      <c r="F110" s="3598"/>
      <c r="G110" s="1827" t="s">
        <v>1433</v>
      </c>
      <c r="H110" s="2553"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613"/>
      <c r="G111" s="1827" t="s">
        <v>1431</v>
      </c>
      <c r="H111" s="2593">
        <f ca="1">IF(E111="——","——",N59)</f>
        <v>140499</v>
      </c>
      <c r="I111" s="129"/>
    </row>
    <row r="112" spans="1:35" ht="18.75" customHeight="1" thickBot="1">
      <c r="A112" s="129"/>
      <c r="B112" s="129"/>
      <c r="C112" s="129"/>
      <c r="D112" s="129"/>
      <c r="E112" s="3628"/>
      <c r="F112" s="3629"/>
      <c r="G112" s="1830" t="s">
        <v>1433</v>
      </c>
      <c r="H112" s="2597">
        <f ca="1">IF(E111="——","——",N61)</f>
        <v>24345</v>
      </c>
      <c r="I112" s="129"/>
    </row>
    <row r="113" spans="1:27" ht="18.75" customHeight="1">
      <c r="A113" s="129"/>
      <c r="B113" s="129"/>
      <c r="C113" s="129"/>
      <c r="D113" s="129"/>
      <c r="E113" s="3636" t="s">
        <v>1439</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3" t="s">
        <v>1441</v>
      </c>
      <c r="B115" s="3644"/>
      <c r="C115" s="3644"/>
      <c r="D115" s="3644"/>
      <c r="E115" s="3644"/>
      <c r="F115" s="3644"/>
      <c r="G115" s="3644"/>
      <c r="H115" s="3644"/>
      <c r="I115" s="3645"/>
    </row>
    <row r="116" spans="1:27" ht="27" customHeight="1">
      <c r="A116" s="3605" t="s">
        <v>1442</v>
      </c>
      <c r="B116" s="3585" t="s">
        <v>1443</v>
      </c>
      <c r="C116" s="3585" t="s">
        <v>1444</v>
      </c>
      <c r="D116" s="3587" t="s">
        <v>1445</v>
      </c>
      <c r="E116" s="3588"/>
      <c r="F116" s="3589" t="s">
        <v>1446</v>
      </c>
      <c r="G116" s="3589"/>
      <c r="H116" s="3605" t="s">
        <v>1447</v>
      </c>
      <c r="I116" s="3605"/>
    </row>
    <row r="117" spans="1:27" ht="18.75" customHeight="1">
      <c r="A117" s="3605"/>
      <c r="B117" s="3586"/>
      <c r="C117" s="3586"/>
      <c r="D117" s="2329" t="s">
        <v>1448</v>
      </c>
      <c r="E117" s="2329" t="s">
        <v>1449</v>
      </c>
      <c r="F117" s="2329" t="s">
        <v>1448</v>
      </c>
      <c r="G117" s="2329" t="s">
        <v>1450</v>
      </c>
      <c r="H117" s="2329" t="s">
        <v>1448</v>
      </c>
      <c r="I117" s="2329" t="s">
        <v>1450</v>
      </c>
    </row>
    <row r="118" spans="1:27" ht="24.75" customHeight="1">
      <c r="A118" s="2598" t="str">
        <f>项目基本情况!S2</f>
        <v>北京市海淀区忍冬路5号院房地产</v>
      </c>
      <c r="B118" s="2329">
        <f>M18</f>
        <v>48573.159999999996</v>
      </c>
      <c r="C118" s="2329">
        <f>M19</f>
        <v>12466.72</v>
      </c>
      <c r="D118" s="2329">
        <f ca="1">ROUND(IF(D32="总价",C34,E118*B118/10000),0)</f>
        <v>106514</v>
      </c>
      <c r="E118" s="2329">
        <f ca="1">ROUND(IF(C33="自定义",IF(D32="楼面单价",C34,D118*10000/B118),I118-G118),0)</f>
        <v>21928</v>
      </c>
      <c r="F118" s="2329">
        <f ca="1">ROUND(IF(D32="总价",C35,G118*B118/10000),0)</f>
        <v>46965</v>
      </c>
      <c r="G118" s="2329">
        <f ca="1">ROUND(IF(D32="楼面单价",C35,F118*10000/B118),0)</f>
        <v>9669</v>
      </c>
      <c r="H118" s="2329">
        <f ca="1">ROUND(IF(D32="总价",C32,I118*B118/10000),0)</f>
        <v>153479</v>
      </c>
      <c r="I118" s="2329">
        <f ca="1">ROUND(IF(D32="楼面单价",C32,H118*10000/B118),0)</f>
        <v>31597</v>
      </c>
    </row>
    <row r="119" spans="1:27" ht="18.75" customHeight="1">
      <c r="A119" s="3605" t="s">
        <v>1451</v>
      </c>
      <c r="B119" s="3605"/>
      <c r="C119" s="3605"/>
      <c r="D119" s="3609" t="str">
        <f ca="1">NUMBERSTRING(INT(D118*10000),2)&amp;"元整"</f>
        <v>壹拾亿陆仟伍佰壹拾肆万元整</v>
      </c>
      <c r="E119" s="3610"/>
      <c r="F119" s="3609" t="str">
        <f ca="1">NUMBERSTRING(INT(F118*10000),2)&amp;"元整"</f>
        <v>肆亿陆仟玖佰陆拾伍万元整</v>
      </c>
      <c r="G119" s="3610"/>
      <c r="H119" s="3609" t="str">
        <f ca="1">NUMBERSTRING(INT(H118*10000),2)&amp;"元整"</f>
        <v>壹拾伍亿叁仟肆佰柒拾玖万元整</v>
      </c>
      <c r="I119" s="3610"/>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1451</v>
      </c>
      <c r="B121" s="3611"/>
      <c r="C121" s="3610"/>
      <c r="D121" s="3609" t="str">
        <f>IF(D120=0,"零元整",NUMBERSTRING(INT(D120*10000),2)&amp;"元整")</f>
        <v>零元整</v>
      </c>
      <c r="E121" s="3611"/>
      <c r="F121" s="3611"/>
      <c r="G121" s="3611"/>
      <c r="H121" s="3611"/>
      <c r="I121" s="3610"/>
      <c r="AA121" s="725"/>
    </row>
    <row r="122" spans="1:27" ht="18.75" customHeight="1">
      <c r="A122" s="3613" t="str">
        <f>IF(项目基本情况!B9="房地产市场价值","",MID(E107,3,LEN(E107)-2))</f>
        <v>房地产抵押价值</v>
      </c>
      <c r="B122" s="3613"/>
      <c r="C122" s="3613"/>
      <c r="D122" s="3606">
        <f ca="1">H107</f>
        <v>153479</v>
      </c>
      <c r="E122" s="3607"/>
      <c r="F122" s="3607"/>
      <c r="G122" s="3607"/>
      <c r="H122" s="3607"/>
      <c r="I122" s="3608"/>
      <c r="AA122" s="725"/>
    </row>
    <row r="123" spans="1:27" ht="18.75" customHeight="1">
      <c r="A123" s="3605" t="s">
        <v>1451</v>
      </c>
      <c r="B123" s="3605"/>
      <c r="C123" s="3605"/>
      <c r="D123" s="3609" t="str">
        <f ca="1">NUMBERSTRING(INT(D122*10000),2)&amp;"元整"</f>
        <v>壹拾伍亿叁仟肆佰柒拾玖万元整</v>
      </c>
      <c r="E123" s="3611"/>
      <c r="F123" s="3611"/>
      <c r="G123" s="3611"/>
      <c r="H123" s="3611"/>
      <c r="I123" s="3610"/>
      <c r="AA123" s="725"/>
    </row>
    <row r="124" spans="1:27" ht="18.75" customHeight="1">
      <c r="A124" s="3613" t="str">
        <f>IF(项目基本情况!B9="房地产市场价值","",MID(E109,3,LEN(E109)-2))</f>
        <v/>
      </c>
      <c r="B124" s="3613"/>
      <c r="C124" s="3613"/>
      <c r="D124" s="3606" t="str">
        <f>H109</f>
        <v>——</v>
      </c>
      <c r="E124" s="3607"/>
      <c r="F124" s="3607"/>
      <c r="G124" s="3607"/>
      <c r="H124" s="3607"/>
      <c r="I124" s="3608"/>
      <c r="AA124" s="725"/>
    </row>
    <row r="125" spans="1:27" ht="18.75" customHeight="1">
      <c r="A125" s="3605" t="s">
        <v>1451</v>
      </c>
      <c r="B125" s="3605"/>
      <c r="C125" s="3605"/>
      <c r="D125" s="3609" t="e">
        <f>NUMBERSTRING(INT(D124*10000),2)&amp;"元整"</f>
        <v>#VALUE!</v>
      </c>
      <c r="E125" s="3611"/>
      <c r="F125" s="3611"/>
      <c r="G125" s="3611"/>
      <c r="H125" s="3611"/>
      <c r="I125" s="3610"/>
      <c r="AA125" s="725"/>
    </row>
    <row r="126" spans="1:27" ht="18.75" customHeight="1">
      <c r="A126" s="3613" t="str">
        <f>IF(项目基本情况!B9="房地产市场价值","",MID(E111,3,LEN(E111)-2))</f>
        <v>抵押净值</v>
      </c>
      <c r="B126" s="3613"/>
      <c r="C126" s="3613"/>
      <c r="D126" s="3606">
        <f ca="1">H111</f>
        <v>140499</v>
      </c>
      <c r="E126" s="3607"/>
      <c r="F126" s="3607"/>
      <c r="G126" s="3607"/>
      <c r="H126" s="3607"/>
      <c r="I126" s="3608"/>
      <c r="AA126" s="725"/>
    </row>
    <row r="127" spans="1:27" ht="18.75" customHeight="1">
      <c r="A127" s="3605" t="s">
        <v>1451</v>
      </c>
      <c r="B127" s="3605"/>
      <c r="C127" s="3605"/>
      <c r="D127" s="3609" t="str">
        <f ca="1">NUMBERSTRING(INT(D126*10000),2)&amp;"元整"</f>
        <v>壹拾肆亿零肆佰玖拾玖万元整</v>
      </c>
      <c r="E127" s="3611"/>
      <c r="F127" s="3611"/>
      <c r="G127" s="3611"/>
      <c r="H127" s="3611"/>
      <c r="I127" s="3610"/>
      <c r="AA127" s="725"/>
    </row>
    <row r="128" spans="1:27" ht="21.75" customHeight="1">
      <c r="A128" s="3612" t="s">
        <v>1452</v>
      </c>
      <c r="B128" s="3612"/>
      <c r="C128" s="3612"/>
      <c r="D128" s="3612"/>
      <c r="E128" s="3612"/>
      <c r="F128" s="3612"/>
      <c r="G128" s="3612"/>
      <c r="H128" s="3612"/>
      <c r="I128" s="361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3" t="str">
        <f>项目基本情况!B1</f>
        <v>北京市海淀区忍冬路5号院房地产抵押价值预评估</v>
      </c>
      <c r="C37" s="3493"/>
      <c r="D37" s="3493"/>
      <c r="E37" s="3493"/>
      <c r="F37" s="3493"/>
      <c r="G37" s="3493"/>
      <c r="H37" s="3493"/>
      <c r="I37" s="34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M21" sqref="M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2" t="s">
        <v>3453</v>
      </c>
      <c r="F1" s="1879" t="s">
        <v>3429</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176787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36396</v>
      </c>
      <c r="C3" s="354" t="s">
        <v>1767</v>
      </c>
      <c r="D3" s="353">
        <f>IF(D1="",'数据-汇总表'!E3,SUMIF('数据-汇总表'!$C19:$C33,D1,'数据-汇总表'!$E19:$E33))</f>
        <v>48573.159999999996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01" t="s">
        <v>1769</v>
      </c>
      <c r="D4" s="3702"/>
      <c r="E4" s="3703" t="s">
        <v>1770</v>
      </c>
      <c r="F4" s="3704"/>
      <c r="G4" s="3701" t="s">
        <v>1771</v>
      </c>
      <c r="H4" s="3702"/>
      <c r="I4" s="3701" t="s">
        <v>1772</v>
      </c>
      <c r="J4" s="3702"/>
      <c r="K4" s="559" t="s">
        <v>1773</v>
      </c>
      <c r="L4" s="2713"/>
      <c r="M4" s="2714"/>
      <c r="N4" s="2714"/>
      <c r="O4" s="2714"/>
      <c r="P4" s="3705" t="s">
        <v>1774</v>
      </c>
      <c r="Q4" s="3706"/>
      <c r="R4" s="3684" t="s">
        <v>1770</v>
      </c>
      <c r="S4" s="3685"/>
      <c r="T4" s="3684" t="s">
        <v>1771</v>
      </c>
      <c r="U4" s="3685"/>
      <c r="V4" s="3713" t="s">
        <v>1772</v>
      </c>
      <c r="W4" s="3713"/>
      <c r="X4" s="1958"/>
      <c r="Y4" s="3684" t="s">
        <v>1774</v>
      </c>
      <c r="Z4" s="3685"/>
      <c r="AA4" s="3679" t="s">
        <v>1770</v>
      </c>
      <c r="AB4" s="3679" t="s">
        <v>1771</v>
      </c>
      <c r="AC4" s="3698" t="s">
        <v>1772</v>
      </c>
    </row>
    <row r="5" spans="1:29" ht="15">
      <c r="A5" s="358"/>
      <c r="B5" s="359"/>
      <c r="C5" s="3690" t="s">
        <v>1672</v>
      </c>
      <c r="D5" s="3691"/>
      <c r="E5" s="3688" t="s">
        <v>3430</v>
      </c>
      <c r="F5" s="3689"/>
      <c r="G5" s="3694" t="s">
        <v>3431</v>
      </c>
      <c r="H5" s="3691"/>
      <c r="I5" s="3694" t="s">
        <v>3432</v>
      </c>
      <c r="J5" s="3691"/>
      <c r="K5" s="559"/>
      <c r="L5" s="2713"/>
      <c r="M5" s="2714"/>
      <c r="N5" s="2714"/>
      <c r="O5" s="2714"/>
      <c r="P5" s="3707"/>
      <c r="Q5" s="3708"/>
      <c r="R5" s="3686"/>
      <c r="S5" s="3687"/>
      <c r="T5" s="3686"/>
      <c r="U5" s="3687"/>
      <c r="V5" s="3714"/>
      <c r="W5" s="3714"/>
      <c r="X5" s="1355"/>
      <c r="Y5" s="3686"/>
      <c r="Z5" s="3687"/>
      <c r="AA5" s="3680"/>
      <c r="AB5" s="3680"/>
      <c r="AC5" s="3699"/>
    </row>
    <row r="6" spans="1:29" ht="15.75" thickBot="1">
      <c r="A6" s="360"/>
      <c r="B6" s="361"/>
      <c r="C6" s="3692" t="s">
        <v>1676</v>
      </c>
      <c r="D6" s="3693"/>
      <c r="E6" s="3695" t="s">
        <v>1676</v>
      </c>
      <c r="F6" s="3696"/>
      <c r="G6" s="3692" t="s">
        <v>1676</v>
      </c>
      <c r="H6" s="3693"/>
      <c r="I6" s="3692" t="s">
        <v>1676</v>
      </c>
      <c r="J6" s="3693"/>
      <c r="K6" s="559" t="s">
        <v>1677</v>
      </c>
      <c r="L6" s="2713"/>
      <c r="M6" s="2714"/>
      <c r="N6" s="2714"/>
      <c r="O6" s="2714"/>
      <c r="P6" s="3709"/>
      <c r="Q6" s="3710"/>
      <c r="R6" s="3686"/>
      <c r="S6" s="3687"/>
      <c r="T6" s="3711"/>
      <c r="U6" s="3712"/>
      <c r="V6" s="3714"/>
      <c r="W6" s="3714"/>
      <c r="X6" s="1355"/>
      <c r="Y6" s="3711"/>
      <c r="Z6" s="3712"/>
      <c r="AA6" s="3681"/>
      <c r="AB6" s="3681"/>
      <c r="AC6" s="3700"/>
    </row>
    <row r="7" spans="1:29" s="108" customFormat="1" ht="15.75" thickBot="1">
      <c r="A7" s="362" t="s">
        <v>1678</v>
      </c>
      <c r="B7" s="363"/>
      <c r="C7" s="364">
        <f>'数据-取费表'!B2</f>
        <v>44930</v>
      </c>
      <c r="D7" s="365">
        <v>100</v>
      </c>
      <c r="E7" s="366">
        <f>C7</f>
        <v>44930</v>
      </c>
      <c r="F7" s="367">
        <f>SUMIF(59:59,YEAR(E7)&amp;"-"&amp;MONTH(E7),60:60)</f>
        <v>100</v>
      </c>
      <c r="G7" s="366">
        <f>C7</f>
        <v>44930</v>
      </c>
      <c r="H7" s="365">
        <f>SUMIF(59:59,YEAR(G7)&amp;"-"&amp;MONTH(G7),60:60)</f>
        <v>100</v>
      </c>
      <c r="I7" s="366">
        <f>C7</f>
        <v>44930</v>
      </c>
      <c r="J7" s="365">
        <f>SUMIF(59:59,YEAR(I7)&amp;"-"&amp;MONTH(I7),60:60)</f>
        <v>100</v>
      </c>
      <c r="K7" s="560"/>
      <c r="L7" s="2715"/>
      <c r="M7" s="2716"/>
      <c r="N7" s="2716"/>
      <c r="O7" s="2716"/>
      <c r="P7" s="3715" t="s">
        <v>1679</v>
      </c>
      <c r="Q7" s="3716"/>
      <c r="R7" s="701" t="s">
        <v>14</v>
      </c>
      <c r="S7" s="702">
        <f t="shared" ref="S7:S15" si="0">F7</f>
        <v>100</v>
      </c>
      <c r="T7" s="701" t="s">
        <v>14</v>
      </c>
      <c r="U7" s="702">
        <f t="shared" ref="U7:U15" si="1">H7</f>
        <v>100</v>
      </c>
      <c r="V7" s="701" t="s">
        <v>14</v>
      </c>
      <c r="W7" s="702">
        <f t="shared" ref="W7:W15" si="2">J7</f>
        <v>100</v>
      </c>
      <c r="X7" s="703"/>
      <c r="Y7" s="3682" t="s">
        <v>1679</v>
      </c>
      <c r="Z7" s="3683"/>
      <c r="AA7" s="704">
        <f>D7/F7</f>
        <v>1</v>
      </c>
      <c r="AB7" s="704">
        <f>D7/H7</f>
        <v>1</v>
      </c>
      <c r="AC7" s="1959">
        <f>D7/J7</f>
        <v>1</v>
      </c>
    </row>
    <row r="8" spans="1:29" s="108" customFormat="1" ht="15.75" thickBot="1">
      <c r="A8" s="362" t="s">
        <v>1680</v>
      </c>
      <c r="B8" s="363"/>
      <c r="C8" s="368" t="s">
        <v>3433</v>
      </c>
      <c r="D8" s="365">
        <v>100</v>
      </c>
      <c r="E8" s="368" t="s">
        <v>3433</v>
      </c>
      <c r="F8" s="367">
        <f>SUMIF(62:62,E8,63:63)-SUMIF(62:62,C8,63:63)+100</f>
        <v>100</v>
      </c>
      <c r="G8" s="368" t="s">
        <v>3433</v>
      </c>
      <c r="H8" s="365">
        <f>SUMIF(62:62,G8,63:63)-SUMIF(62:62,C8,63:63)+100</f>
        <v>100</v>
      </c>
      <c r="I8" s="368" t="s">
        <v>3433</v>
      </c>
      <c r="J8" s="365">
        <f>SUMIF(62:62,I8,63:63)-SUMIF(62:62,C8,63:63)+100</f>
        <v>100</v>
      </c>
      <c r="K8" s="560"/>
      <c r="L8" s="2715"/>
      <c r="M8" s="2716"/>
      <c r="N8" s="2716"/>
      <c r="O8" s="2716"/>
      <c r="P8" s="3715" t="s">
        <v>1682</v>
      </c>
      <c r="Q8" s="3683"/>
      <c r="R8" s="701" t="s">
        <v>14</v>
      </c>
      <c r="S8" s="702">
        <f t="shared" si="0"/>
        <v>100</v>
      </c>
      <c r="T8" s="701" t="s">
        <v>14</v>
      </c>
      <c r="U8" s="702">
        <f t="shared" si="1"/>
        <v>100</v>
      </c>
      <c r="V8" s="701" t="s">
        <v>14</v>
      </c>
      <c r="W8" s="702">
        <f t="shared" si="2"/>
        <v>100</v>
      </c>
      <c r="X8" s="703"/>
      <c r="Y8" s="3682" t="s">
        <v>1682</v>
      </c>
      <c r="Z8" s="3683"/>
      <c r="AA8" s="704">
        <f t="shared" ref="AA8:AA47" si="3">D8/F8</f>
        <v>1</v>
      </c>
      <c r="AB8" s="704">
        <f t="shared" ref="AB8:AB47" si="4">D8/H8</f>
        <v>1</v>
      </c>
      <c r="AC8" s="1959">
        <f t="shared" ref="AC8:AC47" si="5">D8/J8</f>
        <v>1</v>
      </c>
    </row>
    <row r="9" spans="1:29" s="108" customFormat="1">
      <c r="A9" s="369" t="s">
        <v>1683</v>
      </c>
      <c r="B9" s="63" t="s">
        <v>1684</v>
      </c>
      <c r="C9" s="3480"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7"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1959">
        <f t="shared" si="5"/>
        <v>1</v>
      </c>
    </row>
    <row r="10" spans="1:29" s="378" customFormat="1" ht="27.75" thickBot="1">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9">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7"/>
      <c r="Q11" s="1343"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105</v>
      </c>
      <c r="K15" s="563">
        <v>5</v>
      </c>
      <c r="L15" s="2720"/>
      <c r="M15" s="2714"/>
      <c r="N15" s="2714"/>
      <c r="O15" s="2714"/>
      <c r="P15" s="3717" t="s">
        <v>1690</v>
      </c>
      <c r="Q15" s="1352" t="str">
        <f t="shared" si="6"/>
        <v>办公集聚程度</v>
      </c>
      <c r="R15" s="705" t="s">
        <v>14</v>
      </c>
      <c r="S15" s="706">
        <f t="shared" si="0"/>
        <v>100</v>
      </c>
      <c r="T15" s="705" t="s">
        <v>14</v>
      </c>
      <c r="U15" s="706">
        <f t="shared" si="1"/>
        <v>100</v>
      </c>
      <c r="V15" s="705" t="s">
        <v>14</v>
      </c>
      <c r="W15" s="706">
        <f t="shared" si="2"/>
        <v>105</v>
      </c>
      <c r="X15" s="1355"/>
      <c r="Y15" s="3719" t="s">
        <v>1690</v>
      </c>
      <c r="Z15" s="1356" t="str">
        <f t="shared" si="7"/>
        <v>办公集聚程度</v>
      </c>
      <c r="AA15" s="1353">
        <f t="shared" si="3"/>
        <v>1</v>
      </c>
      <c r="AB15" s="1353">
        <f t="shared" si="4"/>
        <v>1</v>
      </c>
      <c r="AC15" s="1962">
        <f t="shared" si="5"/>
        <v>0.95238095238095233</v>
      </c>
    </row>
    <row r="16" spans="1:29" ht="15">
      <c r="A16" s="379"/>
      <c r="B16" s="578"/>
      <c r="C16" s="1904" t="s">
        <v>3419</v>
      </c>
      <c r="D16" s="399"/>
      <c r="E16" s="1904" t="s">
        <v>3419</v>
      </c>
      <c r="F16" s="399"/>
      <c r="G16" s="1904" t="s">
        <v>3419</v>
      </c>
      <c r="H16" s="401"/>
      <c r="I16" s="1904" t="s">
        <v>3420</v>
      </c>
      <c r="J16" s="399"/>
      <c r="K16" s="564"/>
      <c r="L16" s="2720"/>
      <c r="M16" s="2714"/>
      <c r="N16" s="2714"/>
      <c r="O16" s="2714"/>
      <c r="P16" s="3718"/>
      <c r="Q16" s="1352"/>
      <c r="R16" s="705"/>
      <c r="S16" s="706"/>
      <c r="T16" s="705"/>
      <c r="U16" s="706"/>
      <c r="V16" s="705"/>
      <c r="W16" s="706"/>
      <c r="X16" s="1355"/>
      <c r="Y16" s="372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0"/>
      <c r="M17" s="2714"/>
      <c r="N17" s="2714"/>
      <c r="O17" s="2714"/>
      <c r="P17" s="3718"/>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t="s">
        <v>3419</v>
      </c>
      <c r="D18" s="401"/>
      <c r="E18" s="1964" t="s">
        <v>3419</v>
      </c>
      <c r="F18" s="401"/>
      <c r="G18" s="1964" t="s">
        <v>3419</v>
      </c>
      <c r="H18" s="399"/>
      <c r="I18" s="1964" t="s">
        <v>3419</v>
      </c>
      <c r="J18" s="399"/>
      <c r="K18" s="564"/>
      <c r="L18" s="2720"/>
      <c r="M18" s="2714"/>
      <c r="N18" s="2714"/>
      <c r="O18" s="2714"/>
      <c r="P18" s="3718"/>
      <c r="Q18" s="1352"/>
      <c r="R18" s="705"/>
      <c r="S18" s="706"/>
      <c r="T18" s="705"/>
      <c r="U18" s="706"/>
      <c r="V18" s="705"/>
      <c r="W18" s="706"/>
      <c r="X18" s="1355"/>
      <c r="Y18" s="372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5</v>
      </c>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t="s">
        <v>3419</v>
      </c>
      <c r="D20" s="399"/>
      <c r="E20" s="1904" t="s">
        <v>3419</v>
      </c>
      <c r="F20" s="399"/>
      <c r="G20" s="1904" t="s">
        <v>3419</v>
      </c>
      <c r="H20" s="399"/>
      <c r="I20" s="1904" t="s">
        <v>3419</v>
      </c>
      <c r="J20" s="399"/>
      <c r="K20" s="564"/>
      <c r="L20" s="2720"/>
      <c r="M20" s="2714"/>
      <c r="N20" s="2714"/>
      <c r="O20" s="2714"/>
      <c r="P20" s="3718"/>
      <c r="Q20" s="1352"/>
      <c r="R20" s="705"/>
      <c r="S20" s="706"/>
      <c r="T20" s="705"/>
      <c r="U20" s="706"/>
      <c r="V20" s="705"/>
      <c r="W20" s="706"/>
      <c r="X20" s="1355"/>
      <c r="Y20" s="372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t="s">
        <v>3435</v>
      </c>
      <c r="D22" s="399"/>
      <c r="E22" s="1964" t="s">
        <v>3435</v>
      </c>
      <c r="F22" s="399"/>
      <c r="G22" s="1964" t="s">
        <v>3435</v>
      </c>
      <c r="H22" s="399"/>
      <c r="I22" s="1964" t="s">
        <v>3435</v>
      </c>
      <c r="J22" s="399"/>
      <c r="K22" s="1130"/>
      <c r="L22" s="2720"/>
      <c r="M22" s="2714"/>
      <c r="N22" s="2714"/>
      <c r="O22" s="2714"/>
      <c r="P22" s="3718"/>
      <c r="Q22" s="1352"/>
      <c r="R22" s="705"/>
      <c r="S22" s="706"/>
      <c r="T22" s="705"/>
      <c r="U22" s="706"/>
      <c r="V22" s="705"/>
      <c r="W22" s="706"/>
      <c r="X22" s="1355"/>
      <c r="Y22" s="372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8"/>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75" thickBot="1">
      <c r="A24" s="379"/>
      <c r="B24" s="581"/>
      <c r="C24" s="1904" t="s">
        <v>3420</v>
      </c>
      <c r="D24" s="399"/>
      <c r="E24" s="1904" t="s">
        <v>3420</v>
      </c>
      <c r="F24" s="399"/>
      <c r="G24" s="1904" t="s">
        <v>3420</v>
      </c>
      <c r="H24" s="399"/>
      <c r="I24" s="1904" t="s">
        <v>3420</v>
      </c>
      <c r="J24" s="399"/>
      <c r="K24" s="564"/>
      <c r="L24" s="2720"/>
      <c r="M24" s="2714"/>
      <c r="N24" s="2714"/>
      <c r="O24" s="2714"/>
      <c r="P24" s="3718"/>
      <c r="Q24" s="1352"/>
      <c r="R24" s="705"/>
      <c r="S24" s="706"/>
      <c r="T24" s="705"/>
      <c r="U24" s="706"/>
      <c r="V24" s="705"/>
      <c r="W24" s="706"/>
      <c r="X24" s="1355"/>
      <c r="Y24" s="3720"/>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20"/>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1693</v>
      </c>
      <c r="B33" s="63" t="s">
        <v>1816</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0</v>
      </c>
      <c r="L33" s="2720"/>
      <c r="M33" s="2714"/>
      <c r="N33" s="2714"/>
      <c r="O33" s="2714"/>
      <c r="P33" s="3721" t="s">
        <v>1695</v>
      </c>
      <c r="Q33" s="1352" t="str">
        <f t="shared" si="11"/>
        <v>建筑类型</v>
      </c>
      <c r="R33" s="705" t="s">
        <v>14</v>
      </c>
      <c r="S33" s="706">
        <f t="shared" si="12"/>
        <v>100</v>
      </c>
      <c r="T33" s="705" t="s">
        <v>14</v>
      </c>
      <c r="U33" s="706">
        <f t="shared" si="13"/>
        <v>100</v>
      </c>
      <c r="V33" s="705" t="s">
        <v>14</v>
      </c>
      <c r="W33" s="706">
        <f t="shared" si="14"/>
        <v>100</v>
      </c>
      <c r="X33" s="1355"/>
      <c r="Y33" s="372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53">
        <f t="shared" si="3"/>
        <v>1</v>
      </c>
      <c r="AB34" s="1353">
        <f t="shared" si="4"/>
        <v>1</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1784</v>
      </c>
      <c r="C36" s="411" t="s">
        <v>3437</v>
      </c>
      <c r="D36" s="386">
        <v>100</v>
      </c>
      <c r="E36" s="411" t="s">
        <v>3437</v>
      </c>
      <c r="F36" s="412">
        <f>SUMIF(108:108,E36,109:109)-SUMIF(108:108,C36,109:109)+100</f>
        <v>100</v>
      </c>
      <c r="G36" s="411" t="s">
        <v>3437</v>
      </c>
      <c r="H36" s="386">
        <f>SUMIF(108:108,G36,109:109)-SUMIF(108:108,C36,109:109)+100</f>
        <v>100</v>
      </c>
      <c r="I36" s="411" t="s">
        <v>3437</v>
      </c>
      <c r="J36" s="386">
        <f>SUMIF(108:108,I36,109:109)-SUMIF(108:108,C36,109:109)+100</f>
        <v>100</v>
      </c>
      <c r="K36" s="561">
        <v>2</v>
      </c>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0"/>
      <c r="M37" s="2714"/>
      <c r="N37" s="2714"/>
      <c r="O37" s="2714"/>
      <c r="P37" s="3722"/>
      <c r="Q37" s="1352" t="str">
        <f t="shared" si="11"/>
        <v>成新度</v>
      </c>
      <c r="R37" s="705" t="s">
        <v>14</v>
      </c>
      <c r="S37" s="706">
        <f t="shared" si="12"/>
        <v>100</v>
      </c>
      <c r="T37" s="705" t="s">
        <v>14</v>
      </c>
      <c r="U37" s="706">
        <f t="shared" si="13"/>
        <v>100</v>
      </c>
      <c r="V37" s="705" t="s">
        <v>14</v>
      </c>
      <c r="W37" s="706">
        <f t="shared" si="14"/>
        <v>100</v>
      </c>
      <c r="X37" s="1355"/>
      <c r="Y37" s="3724"/>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1818</v>
      </c>
      <c r="C39" s="411" t="s">
        <v>3439</v>
      </c>
      <c r="D39" s="386">
        <v>100</v>
      </c>
      <c r="E39" s="411" t="s">
        <v>3439</v>
      </c>
      <c r="F39" s="412">
        <f>SUMIF(115:115,E39,116:116)-SUMIF(115:115,C39,116:116)+100</f>
        <v>100</v>
      </c>
      <c r="G39" s="411" t="s">
        <v>3439</v>
      </c>
      <c r="H39" s="386">
        <f>SUMIF(115:115,G39,116:116)-SUMIF(115:115,C39,116:116)+100</f>
        <v>100</v>
      </c>
      <c r="I39" s="411" t="s">
        <v>3439</v>
      </c>
      <c r="J39" s="386">
        <f>SUMIF(115:115,I39,116:116)-SUMIF(115:115,C39,116:116)+100</f>
        <v>100</v>
      </c>
      <c r="K39" s="561">
        <v>2</v>
      </c>
      <c r="L39" s="2720"/>
      <c r="M39" s="2714"/>
      <c r="N39" s="2714"/>
      <c r="O39" s="2714"/>
      <c r="P39" s="3722" t="s">
        <v>1695</v>
      </c>
      <c r="Q39" s="1352" t="str">
        <f t="shared" si="11"/>
        <v>物业管理</v>
      </c>
      <c r="R39" s="705" t="s">
        <v>14</v>
      </c>
      <c r="S39" s="706">
        <f t="shared" si="12"/>
        <v>100</v>
      </c>
      <c r="T39" s="705" t="s">
        <v>14</v>
      </c>
      <c r="U39" s="706">
        <f t="shared" si="13"/>
        <v>100</v>
      </c>
      <c r="V39" s="705" t="s">
        <v>14</v>
      </c>
      <c r="W39" s="706">
        <f t="shared" si="14"/>
        <v>100</v>
      </c>
      <c r="X39" s="1355"/>
      <c r="Y39" s="3724" t="s">
        <v>1695</v>
      </c>
      <c r="Z39" s="1356" t="str">
        <f t="shared" si="15"/>
        <v>物业管理</v>
      </c>
      <c r="AA39" s="1353">
        <f t="shared" si="3"/>
        <v>1</v>
      </c>
      <c r="AB39" s="1353">
        <f t="shared" si="4"/>
        <v>1</v>
      </c>
      <c r="AC39" s="1962">
        <f t="shared" si="5"/>
        <v>1</v>
      </c>
    </row>
    <row r="40" spans="1:29" ht="15">
      <c r="A40" s="423"/>
      <c r="B40" s="375" t="s">
        <v>1786</v>
      </c>
      <c r="C40" s="411" t="s">
        <v>3441</v>
      </c>
      <c r="D40" s="386">
        <v>100</v>
      </c>
      <c r="E40" s="411" t="s">
        <v>3447</v>
      </c>
      <c r="F40" s="412">
        <f>SUMIF(117:117,E40,118:118)-SUMIF(117:117,C40,118:118)+100</f>
        <v>99</v>
      </c>
      <c r="G40" s="411" t="s">
        <v>3447</v>
      </c>
      <c r="H40" s="386">
        <f>SUMIF(117:117,G40,118:118)-SUMIF(117:117,C40,118:118)+100</f>
        <v>99</v>
      </c>
      <c r="I40" s="411" t="s">
        <v>3447</v>
      </c>
      <c r="J40" s="386">
        <f>SUMIF(117:117,I40,118:118)-SUMIF(117:117,C40,118:118)+100</f>
        <v>99</v>
      </c>
      <c r="K40" s="561">
        <v>1</v>
      </c>
      <c r="L40" s="2720"/>
      <c r="M40" s="2714"/>
      <c r="N40" s="2714"/>
      <c r="O40" s="2714"/>
      <c r="P40" s="3722"/>
      <c r="Q40" s="1352" t="str">
        <f t="shared" si="11"/>
        <v>市政基础设施</v>
      </c>
      <c r="R40" s="705" t="s">
        <v>14</v>
      </c>
      <c r="S40" s="706">
        <f t="shared" si="12"/>
        <v>99</v>
      </c>
      <c r="T40" s="705" t="s">
        <v>14</v>
      </c>
      <c r="U40" s="706">
        <f t="shared" si="13"/>
        <v>99</v>
      </c>
      <c r="V40" s="705" t="s">
        <v>14</v>
      </c>
      <c r="W40" s="706">
        <f t="shared" si="14"/>
        <v>99</v>
      </c>
      <c r="X40" s="1355"/>
      <c r="Y40" s="3724"/>
      <c r="Z40" s="1356" t="str">
        <f t="shared" si="15"/>
        <v>市政基础设施</v>
      </c>
      <c r="AA40" s="1353">
        <f t="shared" si="3"/>
        <v>1.0101010101010102</v>
      </c>
      <c r="AB40" s="1353">
        <f t="shared" si="4"/>
        <v>1.0101010101010102</v>
      </c>
      <c r="AC40" s="1962">
        <f t="shared" si="5"/>
        <v>1.0101010101010102</v>
      </c>
    </row>
    <row r="41" spans="1:29" ht="15">
      <c r="A41" s="423"/>
      <c r="B41" s="375" t="s">
        <v>1788</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5</v>
      </c>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1791</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1</v>
      </c>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1706</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2</v>
      </c>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1707</v>
      </c>
      <c r="B48" s="431"/>
      <c r="C48" s="1154" t="s">
        <v>0</v>
      </c>
      <c r="D48" s="1155"/>
      <c r="E48" s="1156">
        <v>36000</v>
      </c>
      <c r="F48" s="1157"/>
      <c r="G48" s="1158">
        <v>34000</v>
      </c>
      <c r="H48" s="1159"/>
      <c r="I48" s="1156">
        <v>40000</v>
      </c>
      <c r="J48" s="436"/>
      <c r="K48" s="714"/>
      <c r="L48" s="2722"/>
      <c r="M48" s="2714"/>
      <c r="N48" s="2714"/>
      <c r="O48" s="2714"/>
      <c r="P48" s="3697" t="str">
        <f>A48</f>
        <v>成交单价（元/平方米）</v>
      </c>
      <c r="Q48" s="3726"/>
      <c r="R48" s="3727">
        <f>E48</f>
        <v>36000</v>
      </c>
      <c r="S48" s="3727"/>
      <c r="T48" s="3727">
        <f>G48</f>
        <v>34000</v>
      </c>
      <c r="U48" s="3727"/>
      <c r="V48" s="3727">
        <f>I48</f>
        <v>40000</v>
      </c>
      <c r="W48" s="3727"/>
      <c r="X48" s="397"/>
      <c r="Y48" s="712"/>
      <c r="Z48" s="397"/>
      <c r="AA48" s="397"/>
      <c r="AB48" s="397"/>
      <c r="AC48" s="578"/>
    </row>
    <row r="49" spans="1:29" ht="15.75" thickBot="1">
      <c r="A49" s="437" t="s">
        <v>1792</v>
      </c>
      <c r="B49" s="438"/>
      <c r="C49" s="1160">
        <f>R50</f>
        <v>36396</v>
      </c>
      <c r="D49" s="2317" t="s">
        <v>2137</v>
      </c>
      <c r="E49" s="1161">
        <f>R49</f>
        <v>36364</v>
      </c>
      <c r="F49" s="2318"/>
      <c r="G49" s="1160">
        <f>T49</f>
        <v>34343</v>
      </c>
      <c r="H49" s="2318"/>
      <c r="I49" s="1161">
        <f>V49</f>
        <v>38480</v>
      </c>
      <c r="J49" s="2318"/>
      <c r="K49" s="2320">
        <f>F49+H49+J49</f>
        <v>0</v>
      </c>
      <c r="L49" s="2722"/>
      <c r="M49" s="2714"/>
      <c r="N49" s="2714"/>
      <c r="O49" s="2714"/>
      <c r="P49" s="3697" t="str">
        <f>A49</f>
        <v>比较价值（元/平方米）</v>
      </c>
      <c r="Q49" s="3726"/>
      <c r="R49" s="3727">
        <f>IF(F1="售价",ROUND(PRODUCT(R48,AA7:AA47),0),ROUND(PRODUCT(R48,AA7:AA47),1))</f>
        <v>36364</v>
      </c>
      <c r="S49" s="3727"/>
      <c r="T49" s="3727">
        <f>IF(F1="售价",ROUND(PRODUCT(T48,AB7:AB47),0),ROUND(PRODUCT(T48,AB7:AB47),1))</f>
        <v>34343</v>
      </c>
      <c r="U49" s="3727"/>
      <c r="V49" s="3727">
        <f>IF(F1="售价",ROUND(PRODUCT(V48,AC7:AC47),0),ROUND(PRODUCT(V48,AC7:AC47),1))</f>
        <v>38480</v>
      </c>
      <c r="W49" s="3727"/>
      <c r="X49" s="397"/>
      <c r="Y49" s="397"/>
      <c r="Z49" s="397"/>
      <c r="AA49" s="397"/>
      <c r="AB49" s="397"/>
      <c r="AC49" s="578"/>
    </row>
    <row r="50" spans="1:29" ht="15.75" thickBot="1">
      <c r="A50" s="441" t="s">
        <v>1793</v>
      </c>
      <c r="B50" s="442"/>
      <c r="C50" s="1163">
        <f>R50</f>
        <v>36396</v>
      </c>
      <c r="D50" s="1163"/>
      <c r="E50" s="1163"/>
      <c r="F50" s="1163"/>
      <c r="G50" s="1163"/>
      <c r="H50" s="1163"/>
      <c r="I50" s="1163"/>
      <c r="J50" s="443"/>
      <c r="K50" s="715"/>
      <c r="L50" s="2722"/>
      <c r="M50" s="2714"/>
      <c r="N50" s="2714"/>
      <c r="O50" s="2714"/>
      <c r="P50" s="3728" t="str">
        <f>A50</f>
        <v>估价对象XX用房的比较价值（楼面单价，元/平方米）</v>
      </c>
      <c r="Q50" s="3729"/>
      <c r="R50" s="3730">
        <f>IF(F1="售价",ROUND(IF(D49="简单平均",AVERAGE(R49:V49),R49*F49+T49*H49+V49*J49),0),ROUND(IF(D49="简单平均",AVERAGE(R49:V49),R49*F49+T49*H49+V49*J49),1))</f>
        <v>36396</v>
      </c>
      <c r="S50" s="3730"/>
      <c r="T50" s="3730"/>
      <c r="U50" s="3730"/>
      <c r="V50" s="3730"/>
      <c r="W50" s="373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f>IF(E48&lt;E49,E49/E48-1,E48/E49-1)</f>
        <v>1.0111111111111182E-2</v>
      </c>
      <c r="F53" s="449" t="str">
        <f>IF(OR(E53&gt;=0.3,E53&lt;=-0.3),"超过30%","")</f>
        <v/>
      </c>
      <c r="G53" s="448">
        <f>IF(G48&lt;G49,G49/G48-1,G48/G49-1)</f>
        <v>1.008823529411762E-2</v>
      </c>
      <c r="H53" s="449" t="str">
        <f>IF(OR(G53&gt;=0.3,G53&lt;=-0.3),"超过30%","")</f>
        <v/>
      </c>
      <c r="I53" s="448">
        <f>IF(I48&lt;I49,I49/I48-1,I48/I49-1)</f>
        <v>3.9501039501039559E-2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f>IF(E49&lt;G49,G49/E49-1,E49/G49-1)</f>
        <v>5.8847508953789651E-2</v>
      </c>
      <c r="F54" s="449" t="str">
        <f>IF(OR(E54&gt;=0.2,E54&lt;=-0.2),"超过20%","")</f>
        <v/>
      </c>
      <c r="G54" s="448">
        <f>IF(G49&lt;I49,I49/G49-1,G49/I49-1)</f>
        <v>0.12046122936260661</v>
      </c>
      <c r="H54" s="449" t="str">
        <f>IF(OR(G54&gt;=0.2,G54&lt;=-0.2),"超过20%","")</f>
        <v/>
      </c>
      <c r="I54" s="448">
        <f>IF(I49&lt;E49,E49/I49-1,I49/E49-1)</f>
        <v>5.8189418105818902E-2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5.8823529411764719E-2</v>
      </c>
      <c r="F55" s="449" t="str">
        <f>IF(OR(E55&gt;=0.3,E55&lt;=-0.3),"超过30%","")</f>
        <v/>
      </c>
      <c r="G55" s="448">
        <f>IF(G48&lt;I48,I48/G48-1,G48/I48-1)</f>
        <v>0.17647058823529416</v>
      </c>
      <c r="H55" s="449" t="str">
        <f>IF(OR(G55&gt;=0.3,G55&lt;=-0.3),"超过30%","")</f>
        <v/>
      </c>
      <c r="I55" s="448">
        <f>IF(I48&lt;E48,E48/I48-1,I48/E48-1)</f>
        <v>0.11111111111111116</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95</v>
      </c>
      <c r="E80" s="493">
        <f>D80-$K17</f>
        <v>90</v>
      </c>
      <c r="F80" s="493">
        <f>E80-$K17</f>
        <v>85</v>
      </c>
      <c r="G80" s="493">
        <f>F80-$K17</f>
        <v>80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95</v>
      </c>
      <c r="E82" s="493">
        <f>D82-$K19</f>
        <v>90</v>
      </c>
      <c r="F82" s="493">
        <f>E82-$K19</f>
        <v>85</v>
      </c>
      <c r="G82" s="493">
        <f>F82-$K19</f>
        <v>80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482" t="s">
        <v>3455</v>
      </c>
      <c r="D101" s="3482"/>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481" t="s">
        <v>3436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481" t="s">
        <v>3438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481" t="s">
        <v>3440</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3481" t="s">
        <v>3442</v>
      </c>
      <c r="D117" s="3481" t="s">
        <v>3448</v>
      </c>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3483" t="s">
        <v>3445</v>
      </c>
      <c r="D119" s="3483" t="s">
        <v>3446</v>
      </c>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481" t="s">
        <v>3438</v>
      </c>
      <c r="D123" s="3481" t="s">
        <v>3450</v>
      </c>
      <c r="E123" s="3481" t="s">
        <v>3451</v>
      </c>
      <c r="F123" s="3483" t="s">
        <v>3444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9" sqref="C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42.89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118518</v>
      </c>
      <c r="C2" s="1387" t="s">
        <v>805</v>
      </c>
      <c r="D2" s="1387"/>
      <c r="E2" s="1388"/>
      <c r="F2" s="1389"/>
      <c r="G2" s="2704"/>
      <c r="H2" s="2693"/>
      <c r="I2" s="2693"/>
      <c r="J2" s="2693"/>
      <c r="K2" s="2694"/>
      <c r="L2" s="2693"/>
      <c r="M2" s="2693"/>
    </row>
    <row r="3" spans="1:37" ht="18" customHeight="1" thickBot="1">
      <c r="A3" s="1390" t="s">
        <v>806</v>
      </c>
      <c r="B3" s="1391">
        <f ca="1">IF(ISERROR(B2*10000/F43),0,ROUND(B2*10000/F43,0))</f>
        <v>24400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6391</v>
      </c>
      <c r="D5" s="1364" t="s">
        <v>693</v>
      </c>
      <c r="E5" s="1071"/>
      <c r="F5" s="1072"/>
      <c r="G5" s="1384"/>
      <c r="H5" s="299">
        <v>1</v>
      </c>
      <c r="I5" s="300" t="s">
        <v>692</v>
      </c>
      <c r="J5" s="1070">
        <f ca="1">J6+J10+J12</f>
        <v>0</v>
      </c>
      <c r="K5" s="1364" t="s">
        <v>693</v>
      </c>
      <c r="L5" s="1071"/>
      <c r="M5" s="1072"/>
    </row>
    <row r="6" spans="1:37" ht="18" customHeight="1">
      <c r="A6" s="1069" t="s">
        <v>398</v>
      </c>
      <c r="B6" s="3733" t="s">
        <v>694</v>
      </c>
      <c r="C6" s="1074">
        <f ca="1">ROUND(F6*F8*F7*(1-F9)/10000,0)</f>
        <v>6383</v>
      </c>
      <c r="D6" s="155" t="s">
        <v>2108</v>
      </c>
      <c r="E6" s="302" t="s">
        <v>696</v>
      </c>
      <c r="F6" s="303">
        <f ca="1">INDIRECT("'数据-取费表'!u"&amp;$G$1)</f>
        <v>4</v>
      </c>
      <c r="G6" s="1384"/>
      <c r="H6" s="1069" t="s">
        <v>398</v>
      </c>
      <c r="I6" s="3733" t="s">
        <v>694</v>
      </c>
      <c r="J6" s="301">
        <f ca="1">ROUND(M6*M8*M7*(1-M9)/10000,0)</f>
        <v>0</v>
      </c>
      <c r="K6" s="15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48573.159999999996</v>
      </c>
      <c r="G7" s="1384"/>
      <c r="H7" s="304"/>
      <c r="I7" s="3734"/>
      <c r="J7" s="306"/>
      <c r="K7" s="307"/>
      <c r="L7" s="302" t="s">
        <v>697</v>
      </c>
      <c r="M7" s="303">
        <f ca="1">F7</f>
        <v>48573.159999999996</v>
      </c>
    </row>
    <row r="8" spans="1:37" ht="18" customHeight="1">
      <c r="A8" s="304"/>
      <c r="B8" s="3734"/>
      <c r="C8" s="306"/>
      <c r="D8" s="307"/>
      <c r="E8" s="302" t="s">
        <v>698</v>
      </c>
      <c r="F8" s="303">
        <f ca="1">INDIRECT("'数据-取费表'!ai"&amp;$G$1)</f>
        <v>365</v>
      </c>
      <c r="G8" s="1384"/>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2116</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20449</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14572</v>
      </c>
      <c r="D14" s="1345" t="s">
        <v>708</v>
      </c>
      <c r="E14" s="1342"/>
      <c r="F14" s="319"/>
      <c r="G14" s="1384"/>
      <c r="H14" s="982" t="s">
        <v>398</v>
      </c>
      <c r="I14" s="302" t="s">
        <v>709</v>
      </c>
      <c r="J14" s="21">
        <f ca="1">C29</f>
        <v>21525</v>
      </c>
      <c r="K14" s="12"/>
      <c r="L14" s="807"/>
      <c r="M14" s="808"/>
    </row>
    <row r="15" spans="1:37" s="1397" customFormat="1" ht="18" customHeight="1" thickBot="1">
      <c r="A15" s="982" t="s">
        <v>399</v>
      </c>
      <c r="B15" s="302" t="s">
        <v>710</v>
      </c>
      <c r="C15" s="21">
        <f ca="1">ROUND(C14*F15,0)</f>
        <v>583</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217</v>
      </c>
      <c r="K16" s="1087" t="s">
        <v>715</v>
      </c>
      <c r="L16" s="1088"/>
      <c r="M16" s="1072"/>
    </row>
    <row r="17" spans="1:37" s="1397" customFormat="1" ht="18" customHeight="1">
      <c r="A17" s="982" t="s">
        <v>681</v>
      </c>
      <c r="B17" s="302" t="s">
        <v>716</v>
      </c>
      <c r="C17" s="21">
        <f ca="1">ROUND(F17*(F43+INDIRECT("'数据-取费表'!S"&amp;$G$1))/10000,0)</f>
        <v>971</v>
      </c>
      <c r="D17" s="302" t="s">
        <v>717</v>
      </c>
      <c r="E17" s="302" t="s">
        <v>718</v>
      </c>
      <c r="F17" s="23">
        <f>'数据-取费表'!B35</f>
        <v>200</v>
      </c>
      <c r="G17" s="1396"/>
      <c r="H17" s="982" t="s">
        <v>398</v>
      </c>
      <c r="I17" s="302" t="s">
        <v>719</v>
      </c>
      <c r="J17" s="2316">
        <f ca="1">ROUND(IF(AND(项目基本情况!B11="自然人",项目基本情况!B10="北京市"),J6*M17/(1+'数据-取费表'!C42),J18+J19+J20),2)</f>
        <v>1.87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16345</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327</v>
      </c>
      <c r="D20" s="323" t="s">
        <v>729</v>
      </c>
      <c r="E20" s="302" t="s">
        <v>712</v>
      </c>
      <c r="F20" s="322">
        <f>'数据-取费表'!B37</f>
        <v>0.02</v>
      </c>
      <c r="G20" s="1396"/>
      <c r="H20" s="982" t="s">
        <v>680</v>
      </c>
      <c r="I20" s="155" t="s">
        <v>730</v>
      </c>
      <c r="J20" s="22">
        <f ca="1">ROUND(M20*M21/10000,2)</f>
        <v>1.87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12466.72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215.25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-217</v>
      </c>
      <c r="K25" s="1095" t="s">
        <v>753</v>
      </c>
      <c r="L25" s="1096"/>
      <c r="M25" s="1097"/>
    </row>
    <row r="26" spans="1:37">
      <c r="A26" s="982" t="s">
        <v>397</v>
      </c>
      <c r="B26" s="302" t="s">
        <v>754</v>
      </c>
      <c r="C26" s="21">
        <f ca="1">ROUND((C19+C20)*F26,0)</f>
        <v>2501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21525</v>
      </c>
      <c r="D29" s="1092"/>
      <c r="E29" s="1090"/>
      <c r="F29" s="1093"/>
      <c r="G29" s="1396"/>
      <c r="H29" s="334" t="s">
        <v>396</v>
      </c>
      <c r="I29" s="335" t="s">
        <v>768</v>
      </c>
      <c r="J29" s="336">
        <f ca="1">ROUND(J26/(1+F40)^F41,0)</f>
        <v>0</v>
      </c>
      <c r="K29" s="337" t="s">
        <v>769</v>
      </c>
      <c r="L29" s="338"/>
      <c r="M29" s="339">
        <f ca="1">INDIRECT("'数据-取费表'!k"&amp;$G$1)</f>
        <v>48573.159999999996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1382</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1071.79</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340.43</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729.49</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1.87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12466.72</v>
      </c>
      <c r="G35" s="1384"/>
      <c r="H35" s="2695"/>
      <c r="I35" s="1398"/>
      <c r="J35" s="1399"/>
      <c r="K35" s="2699"/>
      <c r="L35" s="2698"/>
      <c r="M35" s="2698"/>
    </row>
    <row r="36" spans="1:18" ht="18" customHeight="1">
      <c r="A36" s="1102" t="s">
        <v>402</v>
      </c>
      <c r="B36" s="302" t="s">
        <v>738</v>
      </c>
      <c r="C36" s="21">
        <f ca="1">ROUND(C29*F36,2)</f>
        <v>215.25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30.67</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63.91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5009</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118518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24400</v>
      </c>
      <c r="D43" s="337" t="s">
        <v>777</v>
      </c>
      <c r="E43" s="338" t="s">
        <v>778</v>
      </c>
      <c r="F43" s="339">
        <f ca="1">INDIRECT("'数据-取费表'!k"&amp;$G$1)</f>
        <v>48573.159999999996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-122573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118518</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2020</v>
      </c>
      <c r="K49" s="1423" t="s">
        <v>824</v>
      </c>
      <c r="L49" s="1427"/>
      <c r="O49" s="1428" t="s">
        <v>405</v>
      </c>
      <c r="P49" s="1419" t="s">
        <v>825</v>
      </c>
      <c r="Q49" s="1420">
        <f ca="1">C29</f>
        <v>21525</v>
      </c>
      <c r="R49" s="1420" t="s">
        <v>818</v>
      </c>
    </row>
    <row r="50" spans="1:18" s="1384" customFormat="1" ht="13.5" thickBot="1">
      <c r="A50" s="976"/>
      <c r="B50" s="979"/>
      <c r="C50" s="1118"/>
      <c r="D50" s="953"/>
      <c r="E50" s="1056" t="s">
        <v>697</v>
      </c>
      <c r="F50" s="1057">
        <f ca="1">F7</f>
        <v>48573.159999999996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65199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31" t="s">
        <v>837</v>
      </c>
      <c r="L53" s="3732"/>
      <c r="O53" s="1418" t="s">
        <v>409</v>
      </c>
      <c r="P53" s="1419" t="s">
        <v>838</v>
      </c>
      <c r="Q53" s="1420">
        <f ca="1">Q47+Q48</f>
        <v>118518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20449</v>
      </c>
      <c r="D56" s="1447"/>
      <c r="E56" s="1448"/>
      <c r="F56" s="1440"/>
      <c r="I56" s="1449" t="s">
        <v>842</v>
      </c>
      <c r="J56" s="1450" t="s">
        <v>3396</v>
      </c>
      <c r="K56" s="1421" t="s">
        <v>843</v>
      </c>
      <c r="L56" s="1424" t="str">
        <f ca="1">IF(L48&lt;J51,"——",L48-J53)</f>
        <v>——</v>
      </c>
      <c r="O56" s="1418" t="s">
        <v>403</v>
      </c>
      <c r="P56" s="1419" t="s">
        <v>817</v>
      </c>
      <c r="Q56" s="1420">
        <f ca="1">C40+J29</f>
        <v>118518</v>
      </c>
      <c r="R56" s="1420" t="s">
        <v>818</v>
      </c>
    </row>
    <row r="57" spans="1:18" s="1384" customFormat="1" ht="24.75" thickBot="1">
      <c r="A57" s="1451"/>
      <c r="B57" s="950" t="s">
        <v>767</v>
      </c>
      <c r="C57" s="238">
        <f ca="1">C29</f>
        <v>21525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118518</v>
      </c>
      <c r="R62" s="1420" t="s">
        <v>410</v>
      </c>
    </row>
    <row r="63" spans="1:18" s="1384" customFormat="1" ht="13.5" thickBot="1">
      <c r="A63" s="326"/>
      <c r="B63" s="956"/>
      <c r="C63" s="26"/>
      <c r="D63" s="966"/>
      <c r="E63" s="950" t="s">
        <v>788</v>
      </c>
      <c r="F63" s="303">
        <f t="shared" ca="1" si="0"/>
        <v>12466.72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215.25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30.67</v>
      </c>
      <c r="D65" s="964" t="s">
        <v>743</v>
      </c>
      <c r="E65" s="950" t="s">
        <v>744</v>
      </c>
      <c r="F65" s="330">
        <f t="shared" ca="1" si="0"/>
        <v>1.5E-3</v>
      </c>
      <c r="I65" s="1462" t="s">
        <v>867</v>
      </c>
      <c r="J65" s="1463">
        <v>40</v>
      </c>
      <c r="K65" s="1463">
        <v>30</v>
      </c>
      <c r="L65" s="1463">
        <v>50</v>
      </c>
      <c r="M65" s="1465">
        <v>0.02</v>
      </c>
      <c r="O65" s="1418" t="s">
        <v>403</v>
      </c>
      <c r="P65" s="1419" t="s">
        <v>868</v>
      </c>
      <c r="Q65" s="1420">
        <f ca="1">C40+J29</f>
        <v>118518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-248</v>
      </c>
      <c r="D67" s="963" t="s">
        <v>753</v>
      </c>
      <c r="E67" s="968"/>
      <c r="F67" s="969"/>
      <c r="O67" s="1428" t="s">
        <v>405</v>
      </c>
      <c r="P67" s="1419" t="s">
        <v>850</v>
      </c>
      <c r="Q67" s="1466">
        <f ca="1">L51</f>
        <v>65199</v>
      </c>
      <c r="R67" s="1420" t="s">
        <v>870</v>
      </c>
    </row>
    <row r="68" spans="1:18" s="1384" customFormat="1" ht="16.5" thickBot="1">
      <c r="A68" s="947" t="s">
        <v>395</v>
      </c>
      <c r="B68" s="948" t="s">
        <v>774</v>
      </c>
      <c r="C68" s="301">
        <f ca="1">ROUND(C67*(1-((1+F70)/(1+F68))^F69)/(F68-F70),0)</f>
        <v>-4055</v>
      </c>
      <c r="D68" s="965" t="s">
        <v>758</v>
      </c>
      <c r="E68" s="950" t="s">
        <v>759</v>
      </c>
      <c r="F68" s="312">
        <f ca="1">F40</f>
        <v>5.5E-2</v>
      </c>
      <c r="O68" s="1428" t="s">
        <v>406</v>
      </c>
      <c r="P68" s="1467" t="s">
        <v>871</v>
      </c>
      <c r="Q68" s="1420">
        <f ca="1">ROUND(Q69-Q70*Q71,0)</f>
        <v>3475</v>
      </c>
      <c r="R68" s="1420" t="s">
        <v>414</v>
      </c>
    </row>
    <row r="69" spans="1:18" s="1384" customFormat="1" ht="13.5" thickBot="1">
      <c r="A69" s="951"/>
      <c r="B69" s="952"/>
      <c r="C69" s="306"/>
      <c r="D69" s="970" t="s">
        <v>762</v>
      </c>
      <c r="E69" s="950" t="s">
        <v>763</v>
      </c>
      <c r="F69" s="333">
        <f ca="1">F41</f>
        <v>42.89</v>
      </c>
      <c r="O69" s="1428" t="s">
        <v>411</v>
      </c>
      <c r="P69" s="1467" t="s">
        <v>872</v>
      </c>
      <c r="Q69" s="1420">
        <f ca="1">C39</f>
        <v>5009</v>
      </c>
      <c r="R69" s="1420" t="s">
        <v>818</v>
      </c>
    </row>
    <row r="70" spans="1:18" s="1384" customFormat="1" ht="13.5" thickBot="1">
      <c r="A70" s="954"/>
      <c r="B70" s="955"/>
      <c r="C70" s="310"/>
      <c r="D70" s="966"/>
      <c r="E70" s="950" t="s">
        <v>766</v>
      </c>
      <c r="F70" s="1054"/>
      <c r="O70" s="1428" t="s">
        <v>412</v>
      </c>
      <c r="P70" s="1467" t="s">
        <v>873</v>
      </c>
      <c r="Q70" s="1420">
        <f ca="1">C13</f>
        <v>20449</v>
      </c>
      <c r="R70" s="1420" t="s">
        <v>818</v>
      </c>
    </row>
    <row r="71" spans="1:18" s="1384" customFormat="1" ht="13.5" thickBot="1">
      <c r="A71" s="971" t="s">
        <v>396</v>
      </c>
      <c r="B71" s="972" t="s">
        <v>776</v>
      </c>
      <c r="C71" s="336">
        <f ca="1">ROUND(C68*10000/F71,0)</f>
        <v>-835</v>
      </c>
      <c r="D71" s="973" t="s">
        <v>777</v>
      </c>
      <c r="E71" s="974" t="s">
        <v>778</v>
      </c>
      <c r="F71" s="339">
        <f ca="1">F43</f>
        <v>48573.159999999996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1534</v>
      </c>
      <c r="D75" s="1384"/>
      <c r="E75" s="1384"/>
      <c r="F75" s="1384"/>
      <c r="K75" s="1402"/>
      <c r="L75" s="1384"/>
      <c r="O75" s="1418" t="s">
        <v>409</v>
      </c>
      <c r="P75" s="1419" t="s">
        <v>838</v>
      </c>
      <c r="Q75" s="1420">
        <f ca="1">Q65+Q66</f>
        <v>118518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0.82699999999999996</v>
      </c>
    </row>
    <row r="83" spans="2:3">
      <c r="B83" s="273" t="s">
        <v>803</v>
      </c>
      <c r="C83" s="274">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9" t="s">
        <v>2083</v>
      </c>
      <c r="D1" s="3740"/>
      <c r="E1" s="3740"/>
      <c r="F1" s="3740"/>
      <c r="G1" s="3740"/>
      <c r="H1" s="3740"/>
      <c r="I1" s="3740"/>
      <c r="J1" s="3740"/>
      <c r="K1" s="3740"/>
      <c r="L1" s="3740"/>
      <c r="M1" s="3740"/>
      <c r="N1" s="3740"/>
      <c r="O1" s="3740"/>
      <c r="P1" s="3740"/>
      <c r="Q1" s="3740"/>
      <c r="R1" s="3740"/>
      <c r="S1" s="374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1" zoomScaleNormal="100" zoomScaleSheetLayoutView="100" zoomScalePageLayoutView="80" workbookViewId="0">
      <selection activeCell="H25" sqref="H25"/>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3342</v>
      </c>
      <c r="D1" s="1747"/>
      <c r="E1" s="1747"/>
      <c r="F1" s="1749" t="s">
        <v>1262</v>
      </c>
      <c r="G1" s="1561"/>
      <c r="H1" s="1750" t="str">
        <f>IF(G1="现房","——","估价对象范围")</f>
        <v>估价对象范围</v>
      </c>
      <c r="I1" s="1751"/>
    </row>
    <row r="2" spans="1:12" ht="21.75" customHeight="1" thickBot="1">
      <c r="A2" s="3652" t="str">
        <f>项目基本情况!S2</f>
        <v>北京市海淀区忍冬路5号院房地产</v>
      </c>
      <c r="B2" s="3653"/>
      <c r="C2" s="3653"/>
      <c r="D2" s="3653"/>
      <c r="E2" s="3653"/>
      <c r="F2" s="3653"/>
      <c r="G2" s="3653"/>
      <c r="H2" s="3653"/>
      <c r="I2" s="3654"/>
    </row>
    <row r="3" spans="1:12" ht="12.75">
      <c r="A3" s="3656" t="s">
        <v>1263</v>
      </c>
      <c r="B3" s="3657"/>
      <c r="C3" s="3657"/>
      <c r="D3" s="3657"/>
      <c r="E3" s="3657"/>
      <c r="F3" s="3657"/>
      <c r="G3" s="3657"/>
      <c r="H3" s="3657"/>
      <c r="I3" s="3657"/>
    </row>
    <row r="4" spans="1:12" ht="14.25">
      <c r="A4" s="1754" t="s">
        <v>1264</v>
      </c>
      <c r="B4" s="1755" t="s">
        <v>1265</v>
      </c>
      <c r="C4" s="1756" t="s">
        <v>3456</v>
      </c>
      <c r="D4" s="1756" t="s">
        <v>3409</v>
      </c>
      <c r="E4" s="3661" t="s">
        <v>1266</v>
      </c>
      <c r="F4" s="3662"/>
      <c r="G4" s="3662"/>
      <c r="H4" s="3662"/>
      <c r="I4" s="3663"/>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605" t="s">
        <v>1267</v>
      </c>
      <c r="B5" s="3655">
        <v>25</v>
      </c>
      <c r="C5" s="3658"/>
      <c r="D5" s="3646"/>
      <c r="E5" s="131" t="s">
        <v>1268</v>
      </c>
      <c r="F5" s="1757"/>
      <c r="G5" s="1757"/>
      <c r="H5" s="1757"/>
      <c r="I5" s="1373"/>
    </row>
    <row r="6" spans="1:12" ht="12.75">
      <c r="A6" s="3605"/>
      <c r="B6" s="3655"/>
      <c r="C6" s="3660"/>
      <c r="D6" s="3646"/>
      <c r="E6" s="131" t="s">
        <v>1269</v>
      </c>
      <c r="F6" s="1757"/>
      <c r="G6" s="1757"/>
      <c r="H6" s="1757"/>
      <c r="I6" s="1373"/>
    </row>
    <row r="7" spans="1:12" ht="12.75">
      <c r="A7" s="3605"/>
      <c r="B7" s="3655"/>
      <c r="C7" s="3659"/>
      <c r="D7" s="3646"/>
      <c r="E7" s="131" t="s">
        <v>1270</v>
      </c>
      <c r="F7" s="1757"/>
      <c r="G7" s="1757"/>
      <c r="H7" s="1757"/>
      <c r="I7" s="1373"/>
    </row>
    <row r="8" spans="1:12" ht="12.75">
      <c r="A8" s="3605" t="s">
        <v>1271</v>
      </c>
      <c r="B8" s="3655">
        <v>15</v>
      </c>
      <c r="C8" s="3658"/>
      <c r="D8" s="3646"/>
      <c r="E8" s="131" t="s">
        <v>1272</v>
      </c>
      <c r="F8" s="1757"/>
      <c r="G8" s="1757"/>
      <c r="H8" s="1757"/>
      <c r="I8" s="1373"/>
    </row>
    <row r="9" spans="1:12" ht="12.75">
      <c r="A9" s="3605"/>
      <c r="B9" s="3655"/>
      <c r="C9" s="3659"/>
      <c r="D9" s="3646"/>
      <c r="E9" s="131" t="s">
        <v>1273</v>
      </c>
      <c r="F9" s="1757"/>
      <c r="G9" s="1757"/>
      <c r="H9" s="1757"/>
      <c r="I9" s="1373"/>
    </row>
    <row r="10" spans="1:12" ht="12.75">
      <c r="A10" s="3605" t="s">
        <v>1274</v>
      </c>
      <c r="B10" s="3655">
        <v>15</v>
      </c>
      <c r="C10" s="3658"/>
      <c r="D10" s="3646"/>
      <c r="E10" s="131" t="s">
        <v>1275</v>
      </c>
      <c r="F10" s="1757"/>
      <c r="G10" s="1757"/>
      <c r="H10" s="1757"/>
      <c r="I10" s="1373"/>
    </row>
    <row r="11" spans="1:12" ht="12.75">
      <c r="A11" s="3605"/>
      <c r="B11" s="3655"/>
      <c r="C11" s="3659"/>
      <c r="D11" s="3646"/>
      <c r="E11" s="131" t="s">
        <v>1276</v>
      </c>
      <c r="F11" s="1757"/>
      <c r="G11" s="1757"/>
      <c r="H11" s="1757"/>
      <c r="I11" s="1373"/>
    </row>
    <row r="12" spans="1:12" ht="12.75">
      <c r="A12" s="3605" t="s">
        <v>1277</v>
      </c>
      <c r="B12" s="3655">
        <v>15</v>
      </c>
      <c r="C12" s="3658"/>
      <c r="D12" s="3646"/>
      <c r="E12" s="131" t="s">
        <v>1278</v>
      </c>
      <c r="F12" s="1757"/>
      <c r="G12" s="1757"/>
      <c r="H12" s="1757"/>
      <c r="I12" s="1373"/>
    </row>
    <row r="13" spans="1:12" ht="12.75">
      <c r="A13" s="3605"/>
      <c r="B13" s="3655"/>
      <c r="C13" s="3659"/>
      <c r="D13" s="3646"/>
      <c r="E13" s="131" t="s">
        <v>1279</v>
      </c>
      <c r="F13" s="1757"/>
      <c r="G13" s="1757"/>
      <c r="H13" s="1757"/>
      <c r="I13" s="1373"/>
    </row>
    <row r="14" spans="1:12" ht="12.75">
      <c r="A14" s="3605" t="s">
        <v>1280</v>
      </c>
      <c r="B14" s="3655">
        <v>30</v>
      </c>
      <c r="C14" s="3658">
        <v>4</v>
      </c>
      <c r="D14" s="3646">
        <v>6</v>
      </c>
      <c r="E14" s="131" t="s">
        <v>1281</v>
      </c>
      <c r="F14" s="1757"/>
      <c r="G14" s="1757"/>
      <c r="H14" s="1757"/>
      <c r="I14" s="1373"/>
    </row>
    <row r="15" spans="1:12" ht="12.75">
      <c r="A15" s="3605"/>
      <c r="B15" s="3655"/>
      <c r="C15" s="3660"/>
      <c r="D15" s="3646"/>
      <c r="E15" s="131" t="s">
        <v>1282</v>
      </c>
      <c r="F15" s="1757"/>
      <c r="G15" s="1757"/>
      <c r="H15" s="1757"/>
      <c r="I15" s="1373"/>
    </row>
    <row r="16" spans="1:12" ht="12.75">
      <c r="A16" s="3605"/>
      <c r="B16" s="3655"/>
      <c r="C16" s="3659"/>
      <c r="D16" s="364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77" t="s">
        <v>2130</v>
      </c>
      <c r="F18" s="3678"/>
      <c r="G18" s="3678"/>
      <c r="H18" s="3678"/>
      <c r="I18" s="3678"/>
      <c r="K18" s="302" t="s">
        <v>1288</v>
      </c>
      <c r="L18" s="302">
        <f>IF(C1="",'数据-汇总表'!E3,SUMIF(项目类型,C1,'数据-汇总表'!E17:E26)+SUMIF(项目类型,C1,'数据-汇总表'!I17:I26))</f>
        <v>1189.98</v>
      </c>
      <c r="M18" s="302">
        <f>IF(C1="",'数据-汇总表'!E3,SUMIF(项目类型,C1,'数据-汇总表'!E17:E26))</f>
        <v>1189.98</v>
      </c>
    </row>
    <row r="19" spans="1:36" ht="15">
      <c r="A19" s="1761" t="s">
        <v>1289</v>
      </c>
      <c r="B19" s="1762" t="s">
        <v>1290</v>
      </c>
      <c r="C19" s="134">
        <f ca="1">SUMIF(INDIRECT("'"&amp;C4&amp;"'"&amp;"!A:A"),'结果表(仓储)'!B19,INDIRECT("'"&amp;C4&amp;"'"&amp;"!B:B"))</f>
        <v>894</v>
      </c>
      <c r="D19" s="135">
        <f ca="1">SUMIF(INDIRECT("'"&amp;D4&amp;"'"&amp;"!A:A"),'结果表(仓储)'!B19,INDIRECT("'"&amp;D4&amp;"'"&amp;"!B:B"))</f>
        <v>1495</v>
      </c>
      <c r="E19" s="1761" t="s">
        <v>1291</v>
      </c>
      <c r="F19" s="1762" t="s">
        <v>1290</v>
      </c>
      <c r="G19" s="136">
        <f ca="1">ROUND(C19*$C$18+D19*$D$18,0)</f>
        <v>1255</v>
      </c>
      <c r="H19" s="1763" t="s">
        <v>1292</v>
      </c>
      <c r="I19" s="129"/>
      <c r="K19" s="302" t="s">
        <v>1293</v>
      </c>
      <c r="L19" s="302">
        <f>IF(C1="",'数据-汇总表'!D3,SUMIF(项目类型,C1,'数据-汇总表'!D17:D26)+SUMIF(项目类型,C1,'数据-汇总表'!H17:H27))</f>
        <v>305.42</v>
      </c>
      <c r="M19" s="302">
        <f>IF(C1="",'数据-汇总表'!D3,SUMIF(项目类型,C1,'数据-汇总表'!D17:D26))</f>
        <v>305.42</v>
      </c>
    </row>
    <row r="20" spans="1:36" ht="15">
      <c r="A20" s="1764"/>
      <c r="B20" s="1026" t="s">
        <v>1294</v>
      </c>
      <c r="C20" s="137">
        <f ca="1">SUMIF(INDIRECT("'"&amp;C4&amp;"'"&amp;"!A:A"),'结果表(仓储)'!B20,INDIRECT("'"&amp;C4&amp;"'"&amp;"!B:B"))</f>
        <v>7513</v>
      </c>
      <c r="D20" s="138">
        <f ca="1">SUMIF(INDIRECT("'"&amp;D4&amp;"'"&amp;"!A:A"),'结果表(仓储)'!B20,INDIRECT("'"&amp;D4&amp;"'"&amp;"!B:B"))</f>
        <v>12563</v>
      </c>
      <c r="E20" s="1764"/>
      <c r="F20" s="1026" t="s">
        <v>1294</v>
      </c>
      <c r="G20" s="139">
        <f ca="1">ROUND(C20*$C$18+D20*$D$18,0)</f>
        <v>10543</v>
      </c>
      <c r="H20" s="808" t="s">
        <v>1295</v>
      </c>
      <c r="I20" s="129"/>
    </row>
    <row r="21" spans="1:36" ht="15" customHeight="1" thickBot="1">
      <c r="A21" s="828"/>
      <c r="B21" s="1765" t="s">
        <v>1296</v>
      </c>
      <c r="C21" s="719">
        <f ca="1">ROUND(C19*10000/L19,0)</f>
        <v>29271</v>
      </c>
      <c r="D21" s="720">
        <f ca="1">ROUND(D19*10000/L19,0)</f>
        <v>48949</v>
      </c>
      <c r="E21" s="828"/>
      <c r="F21" s="1765" t="s">
        <v>1296</v>
      </c>
      <c r="G21" s="140">
        <f ca="1">ROUND(G19*10000/L19,0)</f>
        <v>41091</v>
      </c>
      <c r="H21" s="1766" t="s">
        <v>1295</v>
      </c>
      <c r="I21" s="129"/>
    </row>
    <row r="22" spans="1:36" ht="15" thickBot="1">
      <c r="A22" s="1688" t="s">
        <v>1297</v>
      </c>
      <c r="B22" s="1767"/>
      <c r="C22" s="1768"/>
      <c r="D22" s="721">
        <f ca="1">IF(C19&lt;D19,D19/C19-1,C19/D19-1)</f>
        <v>0.67225950782997757</v>
      </c>
      <c r="E22" s="129"/>
      <c r="F22" s="129"/>
      <c r="G22" s="129"/>
      <c r="H22" s="129"/>
      <c r="I22" s="129"/>
    </row>
    <row r="23" spans="1:36" ht="13.5" thickBot="1">
      <c r="A23" s="1747"/>
      <c r="B23" s="1747"/>
      <c r="C23" s="1747"/>
      <c r="D23" s="1747"/>
      <c r="E23" s="129"/>
      <c r="F23" s="129"/>
      <c r="G23" s="129"/>
      <c r="H23" s="129"/>
      <c r="I23" s="129"/>
    </row>
    <row r="24" spans="1:36" ht="14.25">
      <c r="A24" s="3670" t="s">
        <v>1298</v>
      </c>
      <c r="B24" s="1762" t="s">
        <v>1290</v>
      </c>
      <c r="C24" s="136">
        <f>IF(B30=0,0,D30)</f>
        <v>0</v>
      </c>
      <c r="D24" s="1769"/>
      <c r="E24" s="129"/>
      <c r="F24" s="129"/>
      <c r="G24" s="129"/>
      <c r="H24" s="129"/>
      <c r="I24" s="129"/>
    </row>
    <row r="25" spans="1:36" ht="14.25">
      <c r="A25" s="367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1255</v>
      </c>
      <c r="D32" s="1775" t="s">
        <v>3457</v>
      </c>
      <c r="E32" s="129"/>
      <c r="F32" s="129"/>
      <c r="G32" s="129"/>
      <c r="H32" s="129"/>
      <c r="I32" s="129"/>
    </row>
    <row r="33" spans="1:15" ht="15">
      <c r="A33" s="786" t="s">
        <v>1305</v>
      </c>
      <c r="B33" s="1776"/>
      <c r="C33" s="1777" t="s">
        <v>3458</v>
      </c>
      <c r="D33" s="1778" t="s">
        <v>3456</v>
      </c>
      <c r="E33" s="1779" t="s">
        <v>1306</v>
      </c>
      <c r="F33" s="1780" t="str">
        <f>IF(D32="楼面单价","取值（单价）","取值（总价）")</f>
        <v>取值（总价）</v>
      </c>
      <c r="G33" s="129"/>
      <c r="H33" s="129"/>
      <c r="I33" s="129"/>
    </row>
    <row r="34" spans="1:15" ht="15">
      <c r="A34" s="1781"/>
      <c r="B34" s="1782" t="s">
        <v>1307</v>
      </c>
      <c r="C34" s="148">
        <f ca="1">IF(C33="自定义",F34,C32-C35)</f>
        <v>594</v>
      </c>
      <c r="D34" s="861">
        <f ca="1">IF(C33="自定义",ROUND(C34/C32,3),IF(C33="收益比率",SUMIF(INDIRECT("'"&amp;D33&amp;"'"&amp;"!b:b"),"土地收益比率",INDIRECT("'"&amp;D33&amp;"'"&amp;"!c:c")),SUMIF(INDIRECT("'"&amp;D33&amp;"'"&amp;"!b:b"),"土地成本比率",INDIRECT("'"&amp;D33&amp;"'"&amp;"!c:c"))))</f>
        <v>0.47299999999999998</v>
      </c>
      <c r="E34" s="1783" t="s">
        <v>1308</v>
      </c>
      <c r="F34" s="1330"/>
      <c r="G34" s="129"/>
      <c r="H34" s="129"/>
      <c r="I34" s="129"/>
    </row>
    <row r="35" spans="1:15" ht="15.75" thickBot="1">
      <c r="A35" s="1784"/>
      <c r="B35" s="1785" t="s">
        <v>1309</v>
      </c>
      <c r="C35" s="1170">
        <f ca="1">IF(C33="自定义",F35,ROUND(C32*D35,0))</f>
        <v>661</v>
      </c>
      <c r="D35" s="1171">
        <f ca="1">IF(C33="自定义",ROUND(C35/C32,3),IF(C33="收益比率",SUMIF(INDIRECT("'"&amp;D33&amp;"'"&amp;"!b:b"),"建筑物收益比率",INDIRECT("'"&amp;D33&amp;"'"&amp;"!c:c")),SUMIF(INDIRECT("'"&amp;D33&amp;"'"&amp;"!b:b"),"建筑物成本比率",INDIRECT("'"&amp;D33&amp;"'"&amp;"!c:c"))))</f>
        <v>0.52700000000000002</v>
      </c>
      <c r="E35" s="1786" t="s">
        <v>1310</v>
      </c>
      <c r="F35" s="154"/>
      <c r="G35" s="129"/>
      <c r="H35" s="129"/>
      <c r="I35" s="129"/>
    </row>
    <row r="36" spans="1:15" ht="15.75" thickBot="1">
      <c r="A36" s="3647" t="s">
        <v>1311</v>
      </c>
      <c r="B36" s="1787" t="s">
        <v>1312</v>
      </c>
      <c r="C36" s="145"/>
      <c r="D36" s="1788"/>
      <c r="E36" s="1789"/>
      <c r="F36" s="1790"/>
      <c r="G36" s="129"/>
      <c r="H36" s="129"/>
      <c r="I36" s="129"/>
    </row>
    <row r="37" spans="1:15" ht="15.75" thickBot="1">
      <c r="A37" s="3648"/>
      <c r="B37" s="1674" t="s">
        <v>1313</v>
      </c>
      <c r="C37" s="147"/>
      <c r="D37" s="1139"/>
      <c r="E37" s="1139"/>
      <c r="F37" s="1790"/>
      <c r="G37" s="129"/>
      <c r="H37" s="129"/>
      <c r="I37" s="129"/>
    </row>
    <row r="38" spans="1:15" ht="15.75" thickBot="1">
      <c r="A38" s="3649"/>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67" t="s">
        <v>1325</v>
      </c>
      <c r="B45" s="3668"/>
      <c r="C45" s="3669"/>
      <c r="D45" s="155">
        <f ca="1">ROUND(H101*F45,0)</f>
        <v>1255</v>
      </c>
      <c r="E45" s="156" t="s">
        <v>1326</v>
      </c>
      <c r="F45" s="157">
        <v>1</v>
      </c>
      <c r="G45" s="158" t="s">
        <v>1327</v>
      </c>
      <c r="H45" s="129"/>
      <c r="I45" s="129"/>
      <c r="J45" s="3592" t="s">
        <v>1328</v>
      </c>
      <c r="K45" s="3592"/>
      <c r="L45" s="3592"/>
      <c r="M45" s="3592"/>
      <c r="N45" s="3592"/>
      <c r="O45" s="3592"/>
    </row>
    <row r="46" spans="1:15" ht="14.25" customHeight="1">
      <c r="A46" s="3664" t="s">
        <v>1329</v>
      </c>
      <c r="B46" s="3665"/>
      <c r="C46" s="3665"/>
      <c r="D46" s="3665"/>
      <c r="E46" s="3665"/>
      <c r="F46" s="3665"/>
      <c r="G46" s="3666"/>
      <c r="H46" s="1806"/>
      <c r="I46" s="159"/>
      <c r="J46" s="3463">
        <v>1</v>
      </c>
      <c r="K46" s="3593" t="s">
        <v>1330</v>
      </c>
      <c r="L46" s="3593"/>
      <c r="M46" s="3594"/>
      <c r="N46" s="3594"/>
      <c r="O46" s="3594"/>
    </row>
    <row r="47" spans="1:15" ht="12" customHeight="1">
      <c r="A47" s="160" t="s">
        <v>1331</v>
      </c>
      <c r="B47" s="161"/>
      <c r="C47" s="162"/>
      <c r="D47" s="1087" t="s">
        <v>1332</v>
      </c>
      <c r="E47" s="302" t="s">
        <v>1333</v>
      </c>
      <c r="F47" s="163" t="s">
        <v>1334</v>
      </c>
      <c r="G47" s="2544" t="s">
        <v>1335</v>
      </c>
      <c r="H47" s="2545"/>
      <c r="I47" s="159"/>
      <c r="J47" s="3463">
        <v>2</v>
      </c>
      <c r="K47" s="3593" t="s">
        <v>1336</v>
      </c>
      <c r="L47" s="3593"/>
      <c r="M47" s="3595">
        <f>'数据-取费表'!B2</f>
        <v>44930</v>
      </c>
      <c r="N47" s="3595"/>
      <c r="O47" s="3595"/>
    </row>
    <row r="48" spans="1:15" ht="25.5">
      <c r="A48" s="3650" t="s">
        <v>1337</v>
      </c>
      <c r="B48" s="3651"/>
      <c r="C48" s="3651"/>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593" t="s">
        <v>1339</v>
      </c>
      <c r="L48" s="3593"/>
      <c r="M48" s="3596">
        <f ca="1">H101</f>
        <v>1255</v>
      </c>
      <c r="N48" s="3596"/>
      <c r="O48" s="3596"/>
    </row>
    <row r="49" spans="1:35" ht="25.5" customHeight="1">
      <c r="A49" s="3472" t="s">
        <v>1340</v>
      </c>
      <c r="B49" s="3637" t="s">
        <v>1341</v>
      </c>
      <c r="C49" s="3637"/>
      <c r="D49" s="1590">
        <v>0</v>
      </c>
      <c r="E49" s="324" t="s">
        <v>1342</v>
      </c>
      <c r="F49" s="3458" t="s">
        <v>28</v>
      </c>
      <c r="G49" s="3620"/>
      <c r="H49" s="2310" t="s">
        <v>2133</v>
      </c>
      <c r="I49" s="2311"/>
      <c r="J49" s="3463">
        <v>4</v>
      </c>
      <c r="K49" s="3593" t="str">
        <f>IF(项目基本情况!E8="房地产抵押价值","房地产抵押价值","抵押担保权已注销时的房地产抵押价值")</f>
        <v>房地产抵押价值</v>
      </c>
      <c r="L49" s="3593"/>
      <c r="M49" s="3596">
        <f ca="1">IF(项目基本情况!E8="房地产抵押价值",H107,H109)</f>
        <v>1255</v>
      </c>
      <c r="N49" s="3596"/>
      <c r="O49" s="3596"/>
    </row>
    <row r="50" spans="1:35" ht="25.5" customHeight="1">
      <c r="A50" s="2549"/>
      <c r="B50" s="3637" t="s">
        <v>1343</v>
      </c>
      <c r="C50" s="3637"/>
      <c r="D50" s="2550"/>
      <c r="E50" s="332"/>
      <c r="F50" s="3458"/>
      <c r="G50" s="3621"/>
      <c r="H50" s="2312" t="s">
        <v>2134</v>
      </c>
      <c r="I50" s="2311"/>
      <c r="J50" s="3592" t="s">
        <v>1344</v>
      </c>
      <c r="K50" s="3592"/>
      <c r="L50" s="3592"/>
      <c r="M50" s="3592"/>
      <c r="N50" s="3592"/>
      <c r="O50" s="3592"/>
    </row>
    <row r="51" spans="1:35" ht="20.45" customHeight="1">
      <c r="A51" s="2551"/>
      <c r="B51" s="3637" t="s">
        <v>1345</v>
      </c>
      <c r="C51" s="3637"/>
      <c r="D51" s="1087"/>
      <c r="E51" s="327"/>
      <c r="F51" s="3458"/>
      <c r="G51" s="3622"/>
      <c r="H51" s="2312" t="s">
        <v>2135</v>
      </c>
      <c r="I51" s="2311"/>
      <c r="J51" s="3459" t="s">
        <v>1346</v>
      </c>
      <c r="K51" s="3593" t="s">
        <v>1347</v>
      </c>
      <c r="L51" s="3593"/>
      <c r="M51" s="3459" t="s">
        <v>1348</v>
      </c>
      <c r="N51" s="3459" t="s">
        <v>1349</v>
      </c>
      <c r="O51" s="3459" t="s">
        <v>1350</v>
      </c>
    </row>
    <row r="52" spans="1:35" ht="24" customHeight="1">
      <c r="A52" s="3474" t="s">
        <v>1351</v>
      </c>
      <c r="B52" s="3637" t="s">
        <v>1352</v>
      </c>
      <c r="C52" s="3637"/>
      <c r="D52" s="1087">
        <f ca="1">ROUND(D45*'数据-取费表'!B41/(1+'数据-取费表'!C42),0)</f>
        <v>67</v>
      </c>
      <c r="E52" s="3473" t="s">
        <v>1353</v>
      </c>
      <c r="F52" s="2552">
        <f>'数据-取费表'!B41</f>
        <v>5.6000000000000001E-2</v>
      </c>
      <c r="G52" s="2553"/>
      <c r="H52" s="2542"/>
      <c r="I52" s="1807"/>
      <c r="J52" s="3463">
        <v>1</v>
      </c>
      <c r="K52" s="3614" t="s">
        <v>1354</v>
      </c>
      <c r="L52" s="3614"/>
      <c r="M52" s="2523" t="b">
        <f>D48</f>
        <v>0</v>
      </c>
      <c r="N52" s="3463" t="str">
        <f>E48</f>
        <v>销售额×税（费）率</v>
      </c>
      <c r="O52" s="2524">
        <f>F48</f>
        <v>5.6000000000000001E-2</v>
      </c>
    </row>
    <row r="53" spans="1:35" ht="12" customHeight="1">
      <c r="A53" s="3474" t="s">
        <v>1355</v>
      </c>
      <c r="B53" s="3638" t="s">
        <v>2290</v>
      </c>
      <c r="C53" s="3639"/>
      <c r="D53" s="1087">
        <f ca="1">ROUND(D45*'数据-取费表'!B41/(1+'数据-取费表'!C42),0)</f>
        <v>67</v>
      </c>
      <c r="E53" s="3473" t="s">
        <v>1353</v>
      </c>
      <c r="F53" s="2552">
        <f>'数据-取费表'!B41</f>
        <v>5.6000000000000001E-2</v>
      </c>
      <c r="G53" s="2553"/>
      <c r="H53" s="2542"/>
      <c r="I53" s="1807"/>
      <c r="J53" s="3463">
        <v>2</v>
      </c>
      <c r="K53" s="3614" t="s">
        <v>1356</v>
      </c>
      <c r="L53" s="3614"/>
      <c r="M53" s="2523">
        <f t="shared" ref="M53:O54" ca="1" si="0">D55</f>
        <v>1</v>
      </c>
      <c r="N53" s="3463" t="str">
        <f t="shared" si="0"/>
        <v>销售额×税（费）率</v>
      </c>
      <c r="O53" s="2524" t="str">
        <f t="shared" si="0"/>
        <v>免征</v>
      </c>
    </row>
    <row r="54" spans="1:35" ht="12" customHeight="1">
      <c r="A54" s="3474" t="s">
        <v>1357</v>
      </c>
      <c r="B54" s="3638" t="s">
        <v>2291</v>
      </c>
      <c r="C54" s="3639"/>
      <c r="D54" s="1087">
        <f ca="1">C68</f>
        <v>67</v>
      </c>
      <c r="E54" s="327" t="s">
        <v>1358</v>
      </c>
      <c r="F54" s="2552">
        <f>'数据-取费表'!B41</f>
        <v>5.6000000000000001E-2</v>
      </c>
      <c r="G54" s="2553"/>
      <c r="H54" s="2554"/>
      <c r="I54" s="1807"/>
      <c r="J54" s="3463">
        <v>3</v>
      </c>
      <c r="K54" s="3614" t="s">
        <v>1359</v>
      </c>
      <c r="L54" s="3614"/>
      <c r="M54" s="2523">
        <f t="shared" ca="1" si="0"/>
        <v>710</v>
      </c>
      <c r="N54" s="3463" t="str">
        <f t="shared" si="0"/>
        <v>增值额×税（费）率</v>
      </c>
      <c r="O54" s="2525" t="str">
        <f t="shared" si="0"/>
        <v>免征</v>
      </c>
    </row>
    <row r="55" spans="1:35" ht="24" customHeight="1">
      <c r="A55" s="3673" t="s">
        <v>1360</v>
      </c>
      <c r="B55" s="3651"/>
      <c r="C55" s="3651"/>
      <c r="D55" s="3460">
        <f ca="1">IF(H55="个人住宅",0,ROUND(D45*I55,0))</f>
        <v>1</v>
      </c>
      <c r="E55" s="3473" t="s">
        <v>1361</v>
      </c>
      <c r="F55" s="2552" t="str">
        <f>IF(H55="正常",I55,"免征")</f>
        <v>免征</v>
      </c>
      <c r="G55" s="2553"/>
      <c r="H55" s="2548"/>
      <c r="I55" s="165">
        <f>'数据-取费表'!B49</f>
        <v>5.0000000000000001E-4</v>
      </c>
      <c r="J55" s="3463">
        <f>IF(H59="非个人房产","",4)</f>
        <v>4</v>
      </c>
      <c r="K55" s="3614" t="str">
        <f>IF(H59="非个人房产","——","个人所得税")</f>
        <v>个人所得税</v>
      </c>
      <c r="L55" s="3614"/>
      <c r="M55" s="2526">
        <f ca="1">D59</f>
        <v>12</v>
      </c>
      <c r="N55" s="3464" t="str">
        <f>E59</f>
        <v>差额计税</v>
      </c>
      <c r="O55" s="2527">
        <f>F59</f>
        <v>0.01</v>
      </c>
    </row>
    <row r="56" spans="1:35" ht="24.75">
      <c r="A56" s="3673" t="s">
        <v>1362</v>
      </c>
      <c r="B56" s="3651"/>
      <c r="C56" s="3651"/>
      <c r="D56" s="3460">
        <f ca="1">IF(H56="个人住宅",D57,D58)</f>
        <v>710</v>
      </c>
      <c r="E56" s="3473" t="s">
        <v>1363</v>
      </c>
      <c r="F56" s="2552" t="str">
        <f>IF(H56="正常",F58,"免征")</f>
        <v>免征</v>
      </c>
      <c r="G56" s="2555" t="s">
        <v>1364</v>
      </c>
      <c r="H56" s="2556"/>
      <c r="I56" s="1808"/>
      <c r="J56" s="3463"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2.75">
      <c r="A57" s="3474" t="s">
        <v>1340</v>
      </c>
      <c r="B57" s="3638" t="s">
        <v>1365</v>
      </c>
      <c r="C57" s="3639"/>
      <c r="D57" s="1590">
        <v>0</v>
      </c>
      <c r="E57" s="324" t="s">
        <v>1342</v>
      </c>
      <c r="F57" s="302"/>
      <c r="G57" s="2553"/>
      <c r="H57" s="2557"/>
      <c r="I57" s="1808"/>
      <c r="J57" s="3614">
        <f>IF(AND(J55="",J56=""),4,IF(项目基本情况!K6="上海银行",'结果表(仓储)'!J56+1,'结果表(仓储)'!J55+1))</f>
        <v>5</v>
      </c>
      <c r="K57" s="3614" t="s">
        <v>1366</v>
      </c>
      <c r="L57" s="2528" t="s">
        <v>1367</v>
      </c>
      <c r="M57" s="2529"/>
      <c r="N57" s="2530">
        <f ca="1">SUMIF(M52:M56,"&lt;9e307")</f>
        <v>723</v>
      </c>
      <c r="O57" s="2531"/>
      <c r="P57" s="2688">
        <f ca="1">N57/M49</f>
        <v>0.57609561752988048</v>
      </c>
    </row>
    <row r="58" spans="1:35" ht="24.75">
      <c r="A58" s="3474" t="s">
        <v>1351</v>
      </c>
      <c r="B58" s="3638" t="s">
        <v>1368</v>
      </c>
      <c r="C58" s="3637"/>
      <c r="D58" s="3460">
        <f ca="1">IF(H58="转让取得",C81,C97)</f>
        <v>710</v>
      </c>
      <c r="E58" s="3473" t="s">
        <v>1363</v>
      </c>
      <c r="F58" s="302" t="s">
        <v>28</v>
      </c>
      <c r="G58" s="2553"/>
      <c r="H58" s="2556"/>
      <c r="I58" s="1808"/>
      <c r="J58" s="3614"/>
      <c r="K58" s="3614"/>
      <c r="L58" s="2528" t="s">
        <v>1369</v>
      </c>
      <c r="M58" s="2532"/>
      <c r="N58" s="2533" t="str">
        <f ca="1">NUMBERSTRING(INT(N57*10000),2)&amp;"元整"</f>
        <v>柒佰贰拾叁万元整</v>
      </c>
      <c r="O58" s="2534"/>
    </row>
    <row r="59" spans="1:35" ht="24.75" thickBot="1">
      <c r="A59" s="3618" t="s">
        <v>1370</v>
      </c>
      <c r="B59" s="3619"/>
      <c r="C59" s="3619"/>
      <c r="D59" s="2558">
        <f ca="1">IF(H59="非个人房产","——",IF(H59="个人住宅（满五唯一有凭证）",0,IF(H59="个人其他（无凭证）",ROUND(D45*F59,0),ROUND(C67*F59,0))))</f>
        <v>12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16">
        <f>J57+1</f>
        <v>6</v>
      </c>
      <c r="K59" s="3614" t="s">
        <v>1371</v>
      </c>
      <c r="L59" s="3463" t="s">
        <v>1367</v>
      </c>
      <c r="M59" s="2535"/>
      <c r="N59" s="2536">
        <f ca="1">M49-N57</f>
        <v>532</v>
      </c>
      <c r="O59" s="2537"/>
    </row>
    <row r="60" spans="1:35" ht="12" customHeight="1">
      <c r="A60" s="1809"/>
      <c r="B60" s="1747"/>
      <c r="C60" s="1747"/>
      <c r="D60" s="1747"/>
      <c r="E60" s="1578"/>
      <c r="F60" s="1808"/>
      <c r="G60" s="1808"/>
      <c r="H60" s="1810"/>
      <c r="I60" s="129"/>
      <c r="J60" s="3617"/>
      <c r="K60" s="3614"/>
      <c r="L60" s="2528" t="s">
        <v>1369</v>
      </c>
      <c r="M60" s="2532"/>
      <c r="N60" s="2533" t="str">
        <f ca="1">NUMBERSTRING(INT(N59*10000),2)&amp;"元整"</f>
        <v>伍佰叁拾贰万元整</v>
      </c>
      <c r="O60" s="2534"/>
    </row>
    <row r="61" spans="1:35" ht="13.5" thickBot="1">
      <c r="A61" s="3672" t="s">
        <v>1372</v>
      </c>
      <c r="B61" s="3672"/>
      <c r="C61" s="3672"/>
      <c r="D61" s="3672"/>
      <c r="E61" s="3672"/>
      <c r="F61" s="1808"/>
      <c r="G61" s="1808"/>
      <c r="H61" s="1810"/>
      <c r="I61" s="129"/>
      <c r="J61" s="3463">
        <f>J59+1</f>
        <v>7</v>
      </c>
      <c r="K61" s="3614" t="s">
        <v>1373</v>
      </c>
      <c r="L61" s="3614"/>
      <c r="M61" s="2538"/>
      <c r="N61" s="2539">
        <f ca="1">ROUND(N59*10000/'数据-汇总表'!E3,0)</f>
        <v>92</v>
      </c>
      <c r="O61" s="2540"/>
    </row>
    <row r="62" spans="1:35" ht="12.75">
      <c r="A62" s="3633" t="s">
        <v>1374</v>
      </c>
      <c r="B62" s="3634"/>
      <c r="C62" s="3468"/>
      <c r="D62" s="3468" t="s">
        <v>1375</v>
      </c>
      <c r="E62" s="166" t="s">
        <v>1376</v>
      </c>
      <c r="F62" s="1808"/>
      <c r="G62" s="1808"/>
      <c r="H62" s="1810"/>
      <c r="I62" s="129"/>
    </row>
    <row r="63" spans="1:35" ht="12.75">
      <c r="A63" s="173" t="s">
        <v>330</v>
      </c>
      <c r="B63" s="167" t="s">
        <v>1377</v>
      </c>
      <c r="C63" s="2562">
        <f ca="1">ROUND((C64+C65)/(1+'数据-取费表'!C42),0)</f>
        <v>1195</v>
      </c>
      <c r="D63" s="167"/>
      <c r="E63" s="168"/>
      <c r="F63" s="1808"/>
      <c r="G63" s="1808"/>
      <c r="H63" s="1810"/>
      <c r="I63" s="129"/>
      <c r="J63" s="3601" t="s">
        <v>1378</v>
      </c>
      <c r="K63" s="3461" t="s">
        <v>1379</v>
      </c>
      <c r="L63" s="3461">
        <f ca="1">IF(M49&gt;10000,M49*0.5%,IF(AND(M49&gt;1000,M49&lt;=10000),M49*1%,IF(AND(M49&gt;100,M49&lt;=1000),M49*3%,IF(AND(M49&gt;10,M49&lt;=100),M49*5%,M49*8%))))</f>
        <v>12.55</v>
      </c>
      <c r="M63" s="302">
        <f ca="1">ROUND(L63,1)</f>
        <v>12.6</v>
      </c>
      <c r="N63" s="2541"/>
      <c r="Z63" s="1752"/>
      <c r="AI63" s="1753"/>
    </row>
    <row r="64" spans="1:35" ht="14.25" customHeight="1">
      <c r="A64" s="169" t="s">
        <v>325</v>
      </c>
      <c r="B64" s="170" t="s">
        <v>1380</v>
      </c>
      <c r="C64" s="2563">
        <f ca="1">D45</f>
        <v>1255</v>
      </c>
      <c r="D64" s="170" t="s">
        <v>26</v>
      </c>
      <c r="E64" s="172"/>
      <c r="F64" s="1808"/>
      <c r="G64" s="1808"/>
      <c r="H64" s="1810"/>
      <c r="I64" s="129"/>
      <c r="J64" s="3601"/>
      <c r="K64" s="3461" t="s">
        <v>1381</v>
      </c>
      <c r="L64" s="3461">
        <f ca="1">IF(M49&gt;2000,M49*0.5%,IF(AND(M49&gt;1000,M49&lt;=2000),M49*0.6%,IF(AND(M49&gt;500,M49&lt;=1000),M49*0.7%,IF(AND(M49&gt;200,M49&lt;=500),M49*0.8%,IF(AND(M49&gt;100,M49&lt;=200),M49*0.9%,IF(AND(M49&gt;50,M49&lt;=100),M49*1%,IF(AND(M49&gt;20,M49&lt;=50),M49*1.5%,IF(AND(M49&gt;10,M49&lt;=20),M49*2%,IF(AND(M49&gt;1,M49&lt;=10),M49*2.5%)))))))))</f>
        <v>7.53</v>
      </c>
      <c r="M64" s="302">
        <f t="shared" ref="M64:M65" ca="1" si="1">ROUND(L64,1)</f>
        <v>7.5</v>
      </c>
      <c r="N64" s="2542" t="s">
        <v>1382</v>
      </c>
      <c r="Z64" s="1752"/>
      <c r="AI64" s="1753"/>
    </row>
    <row r="65" spans="1:35" ht="14.25" customHeight="1">
      <c r="A65" s="169" t="s">
        <v>326</v>
      </c>
      <c r="B65" s="170" t="s">
        <v>1383</v>
      </c>
      <c r="C65" s="2564"/>
      <c r="D65" s="170"/>
      <c r="E65" s="172"/>
      <c r="F65" s="1808"/>
      <c r="G65" s="1808"/>
      <c r="H65" s="1810"/>
      <c r="I65" s="129"/>
      <c r="J65" s="3601"/>
      <c r="K65" s="3461" t="s">
        <v>1384</v>
      </c>
      <c r="L65" s="3461">
        <f ca="1">IF(M49&gt;1000,M49*0.1%,IF(AND(M49&gt;500,M49&lt;=1000),M49*0.5%,IF(AND(M49&gt;50,M49&lt;=500),M49*1%,IF(AND(M49&gt;1,M49&lt;=50),M49*1.5%))))</f>
        <v>1.2550000000000001</v>
      </c>
      <c r="M65" s="302">
        <f t="shared" ca="1" si="1"/>
        <v>1.3</v>
      </c>
      <c r="N65" s="2542" t="s">
        <v>1382</v>
      </c>
      <c r="Z65" s="1752"/>
      <c r="AI65" s="1753"/>
    </row>
    <row r="66" spans="1:35" ht="14.25" customHeight="1">
      <c r="A66" s="173" t="s">
        <v>327</v>
      </c>
      <c r="B66" s="174" t="s">
        <v>1385</v>
      </c>
      <c r="C66" s="2565"/>
      <c r="D66" s="174" t="s">
        <v>26</v>
      </c>
      <c r="E66" s="1338" t="s">
        <v>671</v>
      </c>
      <c r="F66" s="1808"/>
      <c r="G66" s="1808"/>
      <c r="H66" s="1810"/>
      <c r="I66" s="129"/>
      <c r="J66" s="3601"/>
      <c r="K66" s="3461" t="s">
        <v>1386</v>
      </c>
      <c r="L66" s="3461">
        <f ca="1">M49*0.5%</f>
        <v>6.2750000000000004</v>
      </c>
      <c r="M66" s="302">
        <f ca="1">IF(L66&gt;0.5,0.5,ROUND(L66,0))</f>
        <v>0.5</v>
      </c>
      <c r="N66" s="2542" t="s">
        <v>1387</v>
      </c>
      <c r="Z66" s="1752"/>
      <c r="AI66" s="1753"/>
    </row>
    <row r="67" spans="1:35" ht="14.25" customHeight="1">
      <c r="A67" s="173" t="s">
        <v>328</v>
      </c>
      <c r="B67" s="174" t="s">
        <v>1388</v>
      </c>
      <c r="C67" s="2566">
        <f ca="1">C63-C66</f>
        <v>1195</v>
      </c>
      <c r="D67" s="170" t="s">
        <v>26</v>
      </c>
      <c r="E67" s="172"/>
      <c r="F67" s="1808"/>
      <c r="G67" s="1808"/>
      <c r="H67" s="1810"/>
      <c r="I67" s="129"/>
      <c r="J67" s="3601"/>
      <c r="K67" s="3461" t="s">
        <v>1389</v>
      </c>
      <c r="L67" s="3461">
        <f ca="1">IF(M49&gt;=10000,(8.25+(M49-10000)*0.01%),IF(AND(M49&gt;=8000,M49&lt;10000),(7.85+(M49-8000)*0.02%),IF(AND(M49&gt;=5000,M49&lt;8000),(6.65+(M49-5000)*0.04%),IF(AND(M49&gt;=2000,M49&lt;5000),(4.25+(PM49-2000)*0.08%),IF(AND(M49&gt;=1000,M49&lt;2000),(2.75+(M49-1000)*0.15%),IF(AND(M49&gt;=100,M49&lt;1000),(0.5+(M49-100)*0.25%),IF(AND(M49&gt;0,M49&lt;100),M49*0.5%)))))))</f>
        <v>3.1324999999999998</v>
      </c>
      <c r="M67" s="302">
        <f ca="1">ROUND(L67*0.9,1)</f>
        <v>2.8</v>
      </c>
      <c r="N67" s="2541"/>
      <c r="Z67" s="1752"/>
      <c r="AI67" s="1753"/>
    </row>
    <row r="68" spans="1:35" ht="14.25" customHeight="1" thickBot="1">
      <c r="A68" s="176" t="s">
        <v>329</v>
      </c>
      <c r="B68" s="177" t="s">
        <v>1390</v>
      </c>
      <c r="C68" s="2567">
        <f ca="1">IF(C67&lt;=0,0,ROUND(C67*D68,0))</f>
        <v>67</v>
      </c>
      <c r="D68" s="2568">
        <f>'数据-取费表'!B41</f>
        <v>5.6000000000000001E-2</v>
      </c>
      <c r="E68" s="178"/>
      <c r="F68" s="1808"/>
      <c r="G68" s="1808"/>
      <c r="H68" s="1810"/>
      <c r="I68" s="129"/>
      <c r="J68" s="3601"/>
      <c r="K68" s="3461" t="s">
        <v>1391</v>
      </c>
      <c r="L68" s="3461">
        <f ca="1">IF(M49&gt;10000,M49*0.5%,IF(AND(M49&gt;5000,M49&lt;=10000),M49*1%,IF(AND(M49&gt;1000,M49&lt;=5000),M49*2%,IF(AND(M49&gt;200,M49&lt;=1000),M49*3%,M49*5%))))</f>
        <v>25.1</v>
      </c>
      <c r="M68" s="302">
        <f ca="1">ROUND(L68,1)</f>
        <v>25.1</v>
      </c>
      <c r="N68" s="2541"/>
      <c r="Z68" s="1752"/>
      <c r="AI68" s="1753"/>
    </row>
    <row r="69" spans="1:35" s="1772" customFormat="1" ht="16.5" customHeight="1">
      <c r="A69" s="1811"/>
      <c r="B69" s="1812"/>
      <c r="C69" s="1813"/>
      <c r="D69" s="1814"/>
      <c r="E69" s="1815"/>
      <c r="F69" s="1578"/>
      <c r="G69" s="1578"/>
      <c r="H69" s="1577"/>
      <c r="I69" s="1747"/>
      <c r="J69" s="3601"/>
      <c r="K69" s="3461" t="s">
        <v>1392</v>
      </c>
      <c r="L69" s="3461"/>
      <c r="M69" s="302">
        <f ca="1">ROUND(SUM(M63:M68),0)</f>
        <v>50</v>
      </c>
      <c r="N69" s="2543">
        <f ca="1">M69/M49</f>
        <v>3.9840637450199202E-2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1" t="s">
        <v>1393</v>
      </c>
      <c r="B70" s="3642"/>
      <c r="C70" s="3642"/>
      <c r="D70" s="3642"/>
      <c r="E70" s="3642"/>
      <c r="F70" s="3642"/>
      <c r="G70" s="3642"/>
      <c r="H70" s="364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3" t="s">
        <v>1374</v>
      </c>
      <c r="B71" s="3634"/>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1195</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7</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38" t="s">
        <v>1401</v>
      </c>
      <c r="F76" s="3637"/>
      <c r="G76" s="3637"/>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7</v>
      </c>
      <c r="D78" s="2575">
        <f>'数据-取费表'!B43</f>
        <v>6.000000000000001E-3</v>
      </c>
      <c r="E78" s="3630" t="s">
        <v>1405</v>
      </c>
      <c r="F78" s="3631"/>
      <c r="G78" s="3631"/>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1188</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169.71428571428572</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710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1" t="s">
        <v>1409</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3" t="s">
        <v>1374</v>
      </c>
      <c r="B84" s="3634"/>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1195</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7</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03" t="s">
        <v>2128</v>
      </c>
      <c r="H90" s="360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30" t="s">
        <v>1418</v>
      </c>
      <c r="F91" s="3631"/>
      <c r="G91" s="363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30" t="s">
        <v>1421</v>
      </c>
      <c r="F92" s="3631"/>
      <c r="G92" s="3631"/>
      <c r="H92" s="3632"/>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7</v>
      </c>
      <c r="D93" s="2575">
        <f>'数据-取费表'!B43</f>
        <v>6.000000000000001E-3</v>
      </c>
      <c r="E93" s="3630" t="s">
        <v>1405</v>
      </c>
      <c r="F93" s="3631"/>
      <c r="G93" s="3631"/>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74" t="s">
        <v>1425</v>
      </c>
      <c r="F94" s="3675"/>
      <c r="G94" s="3675"/>
      <c r="H94" s="36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1188</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169.71428571428572</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710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6" t="s">
        <v>1427</v>
      </c>
      <c r="B100" s="3577"/>
      <c r="C100" s="3577"/>
      <c r="D100" s="3615"/>
      <c r="E100" s="3577" t="s">
        <v>1428</v>
      </c>
      <c r="F100" s="3577"/>
      <c r="G100" s="3577"/>
      <c r="H100" s="3615"/>
      <c r="I100" s="129"/>
    </row>
    <row r="101" spans="1:35" ht="18.75" customHeight="1">
      <c r="A101" s="3623" t="s">
        <v>1429</v>
      </c>
      <c r="B101" s="3624"/>
      <c r="C101" s="2583" t="str">
        <f>C4</f>
        <v>成本法</v>
      </c>
      <c r="D101" s="2584" t="str">
        <f>D4</f>
        <v>收益法(仓储)</v>
      </c>
      <c r="E101" s="3597" t="s">
        <v>1430</v>
      </c>
      <c r="F101" s="3598"/>
      <c r="G101" s="1827" t="s">
        <v>1431</v>
      </c>
      <c r="H101" s="2593">
        <f ca="1">H118</f>
        <v>1255</v>
      </c>
      <c r="I101" s="129"/>
    </row>
    <row r="102" spans="1:35" ht="18.75" customHeight="1">
      <c r="A102" s="3625" t="s">
        <v>1432</v>
      </c>
      <c r="B102" s="2582" t="s">
        <v>1431</v>
      </c>
      <c r="C102" s="2583">
        <f ca="1">IF(D32="楼面单价",ROUND(C19,0),C19)</f>
        <v>894</v>
      </c>
      <c r="D102" s="2584">
        <f ca="1">IF(D32="楼面单价",ROUND(D19,0),D19)</f>
        <v>1495</v>
      </c>
      <c r="E102" s="3597"/>
      <c r="F102" s="3598"/>
      <c r="G102" s="1827" t="s">
        <v>1433</v>
      </c>
      <c r="H102" s="2553">
        <f ca="1">I118</f>
        <v>10546</v>
      </c>
      <c r="I102" s="129"/>
    </row>
    <row r="103" spans="1:35" ht="42.75" customHeight="1">
      <c r="A103" s="3625"/>
      <c r="B103" s="2582" t="s">
        <v>1433</v>
      </c>
      <c r="C103" s="2585">
        <f ca="1">C20</f>
        <v>7513</v>
      </c>
      <c r="D103" s="2586">
        <f ca="1">D20</f>
        <v>12563</v>
      </c>
      <c r="E103" s="3590" t="s">
        <v>1434</v>
      </c>
      <c r="F103" s="3591"/>
      <c r="G103" s="1828" t="s">
        <v>1435</v>
      </c>
      <c r="H103" s="2593">
        <f>IF(D36="正常操作",H104+H105+H106,H105+H106)</f>
        <v>0</v>
      </c>
      <c r="I103" s="129"/>
    </row>
    <row r="104" spans="1:35" ht="18.75" customHeight="1">
      <c r="A104" s="3625" t="s">
        <v>1436</v>
      </c>
      <c r="B104" s="2587" t="s">
        <v>1431</v>
      </c>
      <c r="C104" s="2588">
        <f ca="1">H118</f>
        <v>1255</v>
      </c>
      <c r="D104" s="2589"/>
      <c r="E104" s="1674" t="s">
        <v>1437</v>
      </c>
      <c r="F104" s="1666"/>
      <c r="G104" s="1828" t="s">
        <v>1435</v>
      </c>
      <c r="H104" s="2594">
        <f>IF(D36="同一抵押权人同一抵押物续贷",C36&amp;"（续贷，未扣减，详见特别提示）",C36)</f>
        <v>0</v>
      </c>
      <c r="I104" s="129"/>
    </row>
    <row r="105" spans="1:35" ht="18.75" customHeight="1" thickBot="1">
      <c r="A105" s="3635"/>
      <c r="B105" s="2590" t="s">
        <v>1433</v>
      </c>
      <c r="C105" s="2591">
        <f ca="1">I118</f>
        <v>10546</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6" t="str">
        <f>IF(项目基本情况!E8="已注销","——","3.房地产抵押价值")</f>
        <v>3.房地产抵押价值</v>
      </c>
      <c r="F107" s="3598"/>
      <c r="G107" s="1827" t="s">
        <v>1431</v>
      </c>
      <c r="H107" s="2593">
        <f ca="1">IF(E107="——","——",H101-H103)</f>
        <v>1255</v>
      </c>
      <c r="I107" s="129"/>
    </row>
    <row r="108" spans="1:35" ht="18.75" customHeight="1">
      <c r="A108" s="129"/>
      <c r="B108" s="129"/>
      <c r="C108" s="129"/>
      <c r="D108" s="129"/>
      <c r="E108" s="3626"/>
      <c r="F108" s="3598"/>
      <c r="G108" s="1827" t="s">
        <v>1433</v>
      </c>
      <c r="H108" s="2553">
        <f ca="1">IF(H107=H101,H102,ROUND(H107*10000/'数据-汇总表'!E3,0))</f>
        <v>10546</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8"/>
      <c r="G109" s="1827" t="s">
        <v>1431</v>
      </c>
      <c r="H109" s="2596" t="str">
        <f>IF(E109="——","——",H101-H105-H106)</f>
        <v>——</v>
      </c>
      <c r="I109" s="129"/>
    </row>
    <row r="110" spans="1:35" ht="18.75" customHeight="1">
      <c r="A110" s="129"/>
      <c r="B110" s="129"/>
      <c r="C110" s="129"/>
      <c r="D110" s="129"/>
      <c r="E110" s="3626"/>
      <c r="F110" s="3598"/>
      <c r="G110" s="1827" t="s">
        <v>1433</v>
      </c>
      <c r="H110" s="2553"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613"/>
      <c r="G111" s="1827" t="s">
        <v>1431</v>
      </c>
      <c r="H111" s="2593">
        <f ca="1">IF(E111="——","——",N59)</f>
        <v>532</v>
      </c>
      <c r="I111" s="129"/>
    </row>
    <row r="112" spans="1:35" ht="18.75" customHeight="1" thickBot="1">
      <c r="A112" s="129"/>
      <c r="B112" s="129"/>
      <c r="C112" s="129"/>
      <c r="D112" s="129"/>
      <c r="E112" s="3628"/>
      <c r="F112" s="3629"/>
      <c r="G112" s="1830" t="s">
        <v>1433</v>
      </c>
      <c r="H112" s="2597">
        <f ca="1">IF(E111="——","——",N61)</f>
        <v>92</v>
      </c>
      <c r="I112" s="129"/>
    </row>
    <row r="113" spans="1:27" ht="18.75" customHeight="1">
      <c r="A113" s="129"/>
      <c r="B113" s="129"/>
      <c r="C113" s="129"/>
      <c r="D113" s="129"/>
      <c r="E113" s="3636" t="s">
        <v>1439</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3" t="s">
        <v>1441</v>
      </c>
      <c r="B115" s="3644"/>
      <c r="C115" s="3644"/>
      <c r="D115" s="3644"/>
      <c r="E115" s="3644"/>
      <c r="F115" s="3644"/>
      <c r="G115" s="3644"/>
      <c r="H115" s="3644"/>
      <c r="I115" s="3645"/>
    </row>
    <row r="116" spans="1:27" ht="27" customHeight="1">
      <c r="A116" s="3605" t="s">
        <v>1442</v>
      </c>
      <c r="B116" s="3585" t="s">
        <v>1443</v>
      </c>
      <c r="C116" s="3585" t="s">
        <v>1444</v>
      </c>
      <c r="D116" s="3587" t="s">
        <v>1445</v>
      </c>
      <c r="E116" s="3588"/>
      <c r="F116" s="3589" t="s">
        <v>1446</v>
      </c>
      <c r="G116" s="3589"/>
      <c r="H116" s="3605" t="s">
        <v>1447</v>
      </c>
      <c r="I116" s="3605"/>
    </row>
    <row r="117" spans="1:27" ht="18.75" customHeight="1">
      <c r="A117" s="3605"/>
      <c r="B117" s="3586"/>
      <c r="C117" s="3586"/>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1189.98</v>
      </c>
      <c r="C118" s="3462">
        <f>M19</f>
        <v>305.42</v>
      </c>
      <c r="D118" s="3462">
        <f ca="1">ROUND(IF(D32="总价",C34,E118*B118/10000),0)</f>
        <v>594</v>
      </c>
      <c r="E118" s="3462">
        <f ca="1">ROUND(IF(C33="自定义",IF(D32="楼面单价",C34,D118*10000/B118),I118-G118),0)</f>
        <v>4991</v>
      </c>
      <c r="F118" s="3462">
        <f ca="1">ROUND(IF(D32="总价",C35,G118*B118/10000),0)</f>
        <v>661</v>
      </c>
      <c r="G118" s="3462">
        <f ca="1">ROUND(IF(D32="楼面单价",C35,F118*10000/B118),0)</f>
        <v>5555</v>
      </c>
      <c r="H118" s="3462">
        <f ca="1">ROUND(IF(D32="总价",C32,I118*B118/10000),0)</f>
        <v>1255</v>
      </c>
      <c r="I118" s="3462">
        <f ca="1">ROUND(IF(D32="楼面单价",C32,H118*10000/B118),0)</f>
        <v>10546</v>
      </c>
    </row>
    <row r="119" spans="1:27" ht="18.75" customHeight="1">
      <c r="A119" s="3605" t="s">
        <v>1451</v>
      </c>
      <c r="B119" s="3605"/>
      <c r="C119" s="3605"/>
      <c r="D119" s="3609" t="str">
        <f ca="1">NUMBERSTRING(INT(D118*10000),2)&amp;"元整"</f>
        <v>伍佰玖拾肆万元整</v>
      </c>
      <c r="E119" s="3610"/>
      <c r="F119" s="3609" t="str">
        <f ca="1">NUMBERSTRING(INT(F118*10000),2)&amp;"元整"</f>
        <v>陆佰陆拾壹万元整</v>
      </c>
      <c r="G119" s="3610"/>
      <c r="H119" s="3609" t="str">
        <f ca="1">NUMBERSTRING(INT(H118*10000),2)&amp;"元整"</f>
        <v>壹仟贰佰伍拾伍万元整</v>
      </c>
      <c r="I119" s="3610"/>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1451</v>
      </c>
      <c r="B121" s="3611"/>
      <c r="C121" s="3610"/>
      <c r="D121" s="3609" t="str">
        <f>IF(D120=0,"零元整",NUMBERSTRING(INT(D120*10000),2)&amp;"元整")</f>
        <v>零元整</v>
      </c>
      <c r="E121" s="3611"/>
      <c r="F121" s="3611"/>
      <c r="G121" s="3611"/>
      <c r="H121" s="3611"/>
      <c r="I121" s="3610"/>
      <c r="AA121" s="725"/>
    </row>
    <row r="122" spans="1:27" ht="18.75" customHeight="1">
      <c r="A122" s="3613" t="str">
        <f>IF(项目基本情况!B9="房地产市场价值","",MID(E107,3,LEN(E107)-2))</f>
        <v>房地产抵押价值</v>
      </c>
      <c r="B122" s="3613"/>
      <c r="C122" s="3613"/>
      <c r="D122" s="3606">
        <f ca="1">H107</f>
        <v>1255</v>
      </c>
      <c r="E122" s="3607"/>
      <c r="F122" s="3607"/>
      <c r="G122" s="3607"/>
      <c r="H122" s="3607"/>
      <c r="I122" s="3608"/>
      <c r="AA122" s="725"/>
    </row>
    <row r="123" spans="1:27" ht="18.75" customHeight="1">
      <c r="A123" s="3605" t="s">
        <v>1451</v>
      </c>
      <c r="B123" s="3605"/>
      <c r="C123" s="3605"/>
      <c r="D123" s="3609" t="str">
        <f ca="1">NUMBERSTRING(INT(D122*10000),2)&amp;"元整"</f>
        <v>壹仟贰佰伍拾伍万元整</v>
      </c>
      <c r="E123" s="3611"/>
      <c r="F123" s="3611"/>
      <c r="G123" s="3611"/>
      <c r="H123" s="3611"/>
      <c r="I123" s="3610"/>
      <c r="AA123" s="725"/>
    </row>
    <row r="124" spans="1:27" ht="18.75" customHeight="1">
      <c r="A124" s="3613" t="str">
        <f>IF(项目基本情况!B9="房地产市场价值","",MID(E109,3,LEN(E109)-2))</f>
        <v/>
      </c>
      <c r="B124" s="3613"/>
      <c r="C124" s="3613"/>
      <c r="D124" s="3606" t="str">
        <f>H109</f>
        <v>——</v>
      </c>
      <c r="E124" s="3607"/>
      <c r="F124" s="3607"/>
      <c r="G124" s="3607"/>
      <c r="H124" s="3607"/>
      <c r="I124" s="3608"/>
      <c r="AA124" s="725"/>
    </row>
    <row r="125" spans="1:27" ht="18.75" customHeight="1">
      <c r="A125" s="3605" t="s">
        <v>1451</v>
      </c>
      <c r="B125" s="3605"/>
      <c r="C125" s="3605"/>
      <c r="D125" s="3609" t="e">
        <f>NUMBERSTRING(INT(D124*10000),2)&amp;"元整"</f>
        <v>#VALUE!</v>
      </c>
      <c r="E125" s="3611"/>
      <c r="F125" s="3611"/>
      <c r="G125" s="3611"/>
      <c r="H125" s="3611"/>
      <c r="I125" s="3610"/>
      <c r="AA125" s="725"/>
    </row>
    <row r="126" spans="1:27" ht="18.75" customHeight="1">
      <c r="A126" s="3613" t="str">
        <f>IF(项目基本情况!B9="房地产市场价值","",MID(E111,3,LEN(E111)-2))</f>
        <v>抵押净值</v>
      </c>
      <c r="B126" s="3613"/>
      <c r="C126" s="3613"/>
      <c r="D126" s="3606">
        <f ca="1">H111</f>
        <v>532</v>
      </c>
      <c r="E126" s="3607"/>
      <c r="F126" s="3607"/>
      <c r="G126" s="3607"/>
      <c r="H126" s="3607"/>
      <c r="I126" s="3608"/>
      <c r="AA126" s="725"/>
    </row>
    <row r="127" spans="1:27" ht="18.75" customHeight="1">
      <c r="A127" s="3605" t="s">
        <v>1451</v>
      </c>
      <c r="B127" s="3605"/>
      <c r="C127" s="3605"/>
      <c r="D127" s="3609" t="str">
        <f ca="1">NUMBERSTRING(INT(D126*10000),2)&amp;"元整"</f>
        <v>伍佰叁拾贰万元整</v>
      </c>
      <c r="E127" s="3611"/>
      <c r="F127" s="3611"/>
      <c r="G127" s="3611"/>
      <c r="H127" s="3611"/>
      <c r="I127" s="3610"/>
      <c r="AA127" s="725"/>
    </row>
    <row r="128" spans="1:27" ht="21.75" customHeight="1">
      <c r="A128" s="3612" t="s">
        <v>1452</v>
      </c>
      <c r="B128" s="3612"/>
      <c r="C128" s="3612"/>
      <c r="D128" s="3612"/>
      <c r="E128" s="3612"/>
      <c r="F128" s="3612"/>
      <c r="G128" s="3612"/>
      <c r="H128" s="3612"/>
      <c r="I128" s="361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3342</v>
      </c>
      <c r="C1" s="198"/>
      <c r="D1" s="198"/>
      <c r="E1" s="198"/>
      <c r="F1" s="198"/>
      <c r="G1" s="1126">
        <f>MATCH(B1,'数据-取费表'!A6:A16,0)+5</f>
        <v>7</v>
      </c>
    </row>
    <row r="2" spans="1:9" s="200" customFormat="1" ht="18" customHeight="1">
      <c r="A2" s="201" t="s">
        <v>1461</v>
      </c>
      <c r="B2" s="202">
        <f ca="1">IF(D2="——",C52,C52-E2)</f>
        <v>894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7513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329</v>
      </c>
      <c r="D5" s="211" t="s">
        <v>1468</v>
      </c>
      <c r="E5" s="212" t="s">
        <v>1469</v>
      </c>
      <c r="F5" s="212" t="s">
        <v>1470</v>
      </c>
      <c r="G5" s="213"/>
    </row>
    <row r="6" spans="1:9" s="214" customFormat="1" ht="13.5" customHeight="1">
      <c r="A6" s="778" t="s">
        <v>1471</v>
      </c>
      <c r="B6" s="215" t="s">
        <v>1472</v>
      </c>
      <c r="C6" s="216">
        <f>基准地价修正!E33+基准地价修正!E41</f>
        <v>296</v>
      </c>
      <c r="D6" s="217"/>
      <c r="E6" s="218"/>
      <c r="F6" s="218"/>
      <c r="G6" s="219"/>
    </row>
    <row r="7" spans="1:9" s="214" customFormat="1" ht="13.5" customHeight="1">
      <c r="A7" s="778" t="s">
        <v>1473</v>
      </c>
      <c r="B7" s="215" t="s">
        <v>1474</v>
      </c>
      <c r="C7" s="220">
        <f>ROUND(C6*F7,0)</f>
        <v>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24</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24</v>
      </c>
      <c r="D10" s="845">
        <f ca="1">IF(B1="",'数据-汇总表'!E6,IF(INDIRECT("'数据-取费表'!c"&amp;$G$1)="住宅",INDIRECT("'数据-取费表'!s"&amp;$G$1),INDIRECT("'数据-取费表'!k"&amp;$G$1)+INDIRECT("'数据-取费表'!s"&amp;$G$1)))</f>
        <v>1189.98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1189.98</v>
      </c>
      <c r="E19" s="211">
        <f>'数据-取费表'!B31</f>
        <v>200</v>
      </c>
      <c r="F19" s="231"/>
      <c r="G19" s="1856" t="s">
        <v>3424</v>
      </c>
    </row>
    <row r="20" spans="1:7" s="214" customFormat="1" ht="13.5" customHeight="1">
      <c r="A20" s="255" t="s">
        <v>1492</v>
      </c>
      <c r="B20" s="210" t="s">
        <v>1493</v>
      </c>
      <c r="C20" s="232">
        <f ca="1">ROUND((C5+C19)*F20,0)</f>
        <v>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27</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27</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400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357</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24</v>
      </c>
      <c r="D37" s="217">
        <f ca="1">D19</f>
        <v>1189.98</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v>
      </c>
      <c r="D42" s="238"/>
      <c r="E42" s="238"/>
      <c r="F42" s="239"/>
      <c r="G42" s="3742" t="s">
        <v>1543</v>
      </c>
    </row>
    <row r="43" spans="1:7" ht="13.5" customHeight="1">
      <c r="A43" s="780" t="s">
        <v>347</v>
      </c>
      <c r="B43" s="215" t="s">
        <v>1544</v>
      </c>
      <c r="C43" s="238">
        <f ca="1">ROUND(IF('数据-取费表'!B22&lt;=1,C39*F22*'数据-取费表'!B21/2,C39*(POWER((1+F22),'数据-取费表'!B21/2)-1)),0)</f>
        <v>0</v>
      </c>
      <c r="D43" s="238"/>
      <c r="E43" s="238"/>
      <c r="F43" s="239"/>
      <c r="G43" s="3743"/>
    </row>
    <row r="44" spans="1:7" ht="13.5" customHeight="1">
      <c r="A44" s="780" t="s">
        <v>348</v>
      </c>
      <c r="B44" s="215" t="s">
        <v>1545</v>
      </c>
      <c r="C44" s="238">
        <f ca="1">ROUND(IF('数据-取费表'!B22&lt;=1,C40*F22*'数据-取费表'!B21/2,C40*(POWER((1+F22),'数据-取费表'!B21/2)-1)),4)</f>
        <v>8.0000000000000004E-4</v>
      </c>
      <c r="D44" s="238"/>
      <c r="E44" s="238"/>
      <c r="F44" s="239"/>
      <c r="G44" s="3744"/>
    </row>
    <row r="45" spans="1:7" s="214" customFormat="1" ht="13.5" customHeight="1">
      <c r="A45" s="255" t="s">
        <v>1546</v>
      </c>
      <c r="B45" s="244" t="s">
        <v>1512</v>
      </c>
      <c r="C45" s="245">
        <f ca="1">C46</f>
        <v>33</v>
      </c>
      <c r="D45" s="235">
        <f ca="1">C47</f>
        <v>1.6000000000000001E-3</v>
      </c>
      <c r="E45" s="236" t="s">
        <v>1538</v>
      </c>
      <c r="F45" s="246">
        <f ca="1">F27</f>
        <v>0.08</v>
      </c>
      <c r="G45" s="247" t="s">
        <v>1547</v>
      </c>
    </row>
    <row r="46" spans="1:7" s="214" customFormat="1" ht="13.5" customHeight="1">
      <c r="A46" s="780" t="s">
        <v>346</v>
      </c>
      <c r="B46" s="248" t="s">
        <v>1548</v>
      </c>
      <c r="C46" s="249">
        <f ca="1">ROUND((C33+C39)*F27,0)</f>
        <v>33</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496</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471</v>
      </c>
      <c r="D51" s="232"/>
      <c r="E51" s="232"/>
      <c r="F51" s="264"/>
      <c r="G51" s="234" t="s">
        <v>1559</v>
      </c>
    </row>
    <row r="52" spans="1:7" s="208" customFormat="1" ht="16.5" thickBot="1">
      <c r="A52" s="265" t="s">
        <v>1560</v>
      </c>
      <c r="B52" s="266"/>
      <c r="C52" s="267">
        <f ca="1">C31+C51</f>
        <v>894</v>
      </c>
      <c r="D52" s="266"/>
      <c r="E52" s="266"/>
      <c r="F52" s="266"/>
      <c r="G52" s="268"/>
    </row>
    <row r="55" spans="1:7" ht="15">
      <c r="B55" s="270" t="s">
        <v>1561</v>
      </c>
      <c r="C55" s="271"/>
    </row>
    <row r="56" spans="1:7">
      <c r="B56" s="273" t="s">
        <v>802</v>
      </c>
      <c r="C56" s="275">
        <f ca="1">1-C57</f>
        <v>0.47299999999999998</v>
      </c>
    </row>
    <row r="57" spans="1:7">
      <c r="B57" s="273" t="s">
        <v>803</v>
      </c>
      <c r="C57" s="274">
        <f ca="1">ROUND(C51/C52,3)</f>
        <v>0.52700000000000002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9</v>
      </c>
      <c r="H1" s="1061" t="str">
        <f>IF(ISERROR(FIND("住宅",B1)),"非住宅","住宅")</f>
        <v>非住宅</v>
      </c>
    </row>
    <row r="2" spans="1:8" s="200" customFormat="1" ht="18" customHeight="1">
      <c r="A2" s="201" t="s">
        <v>1461</v>
      </c>
      <c r="B2" s="3423">
        <f ca="1">ROUND(IF(D2="——",C52/10000,C52/10000-E2),4)</f>
        <v>26456.592100000002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4584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11542262</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11542262</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11542262</v>
      </c>
      <c r="D10" s="845">
        <f ca="1">IF(B1="",'数据-汇总表'!E6,IF(INDIRECT("'数据-取费表'!c"&amp;$G$1)="住宅",INDIRECT("'数据-取费表'!s"&amp;$G$1),INDIRECT("'数据-取费表'!k"&amp;$G$1)+INDIRECT("'数据-取费表'!s"&amp;$G$1)))</f>
        <v>57711.310000000005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11542262</v>
      </c>
      <c r="D19" s="849">
        <f ca="1">D9+D10</f>
        <v>57711.310000000005</v>
      </c>
      <c r="E19" s="211">
        <f>'数据-取费表'!B31</f>
        <v>200</v>
      </c>
      <c r="F19" s="231"/>
      <c r="G19" s="1856"/>
    </row>
    <row r="20" spans="1:7" s="214" customFormat="1" ht="13.5" customHeight="1">
      <c r="A20" s="255" t="s">
        <v>1573</v>
      </c>
      <c r="B20" s="210" t="s">
        <v>1574</v>
      </c>
      <c r="C20" s="232">
        <f ca="1">ROUND((C5+C19)*F20,0)</f>
        <v>461690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1974932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977886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977886</v>
      </c>
      <c r="D24" s="238"/>
      <c r="E24" s="238"/>
      <c r="F24" s="239"/>
      <c r="G24" s="240" t="s">
        <v>1585</v>
      </c>
    </row>
    <row r="25" spans="1:7" s="214" customFormat="1" ht="24">
      <c r="A25" s="780" t="s">
        <v>1475</v>
      </c>
      <c r="B25" s="215" t="s">
        <v>1586</v>
      </c>
      <c r="C25" s="1128">
        <f ca="1">ROUND(IF('数据-取费表'!B22&lt;=1,C20*F22*'数据-取费表'!B22/2,C20*(POWER((1+F22),'数据-取费表'!B22/2)-1)),0)</f>
        <v>19160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3061008</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3061008</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30956519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190005899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169159845</v>
      </c>
      <c r="D34" s="217"/>
      <c r="E34" s="220"/>
      <c r="F34" s="257"/>
      <c r="G34" s="219"/>
    </row>
    <row r="35" spans="1:7" ht="13.5" customHeight="1">
      <c r="A35" s="780" t="s">
        <v>351</v>
      </c>
      <c r="B35" s="215" t="s">
        <v>1526</v>
      </c>
      <c r="C35" s="220">
        <f ca="1">ROUND(C34*F35,0)</f>
        <v>6766394</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11542262</v>
      </c>
      <c r="D37" s="217">
        <f ca="1">D19</f>
        <v>57711.310000000005</v>
      </c>
      <c r="E37" s="249">
        <f>'数据-取费表'!B35</f>
        <v>200</v>
      </c>
      <c r="F37" s="259"/>
      <c r="G37" s="261"/>
    </row>
    <row r="38" spans="1:7" ht="13.5" customHeight="1">
      <c r="A38" s="780" t="s">
        <v>354</v>
      </c>
      <c r="B38" s="215" t="s">
        <v>1532</v>
      </c>
      <c r="C38" s="220">
        <f ca="1">ROUND(C34*F38,0)</f>
        <v>2537398</v>
      </c>
      <c r="D38" s="220"/>
      <c r="E38" s="220"/>
      <c r="F38" s="259">
        <f>'数据-取费表'!B36</f>
        <v>1.4999999999999999E-2</v>
      </c>
      <c r="G38" s="219" t="s">
        <v>1527</v>
      </c>
    </row>
    <row r="39" spans="1:7" s="214" customFormat="1" ht="13.5" customHeight="1">
      <c r="A39" s="255" t="s">
        <v>1533</v>
      </c>
      <c r="B39" s="210" t="s">
        <v>1534</v>
      </c>
      <c r="C39" s="232">
        <f ca="1">ROUND(C33*F20,0)</f>
        <v>3800118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8042950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7885245</v>
      </c>
      <c r="D42" s="238"/>
      <c r="E42" s="238"/>
      <c r="F42" s="239"/>
      <c r="G42" s="3742" t="s">
        <v>1590</v>
      </c>
    </row>
    <row r="43" spans="1:7" ht="13.5" customHeight="1">
      <c r="A43" s="780" t="s">
        <v>347</v>
      </c>
      <c r="B43" s="215" t="s">
        <v>1544</v>
      </c>
      <c r="C43" s="238">
        <f ca="1">ROUND(IF('数据-取费表'!B22&lt;=1,C39*F22*'数据-取费表'!B20/2,C39*(POWER((1+F22),'数据-取费表'!B20/2)-1)),0)</f>
        <v>157705</v>
      </c>
      <c r="D43" s="238"/>
      <c r="E43" s="238"/>
      <c r="F43" s="239"/>
      <c r="G43" s="3743"/>
    </row>
    <row r="44" spans="1:7" ht="13.5" customHeight="1">
      <c r="A44" s="780" t="s">
        <v>348</v>
      </c>
      <c r="B44" s="215" t="s">
        <v>1545</v>
      </c>
      <c r="C44" s="238">
        <f ca="1">ROUND(IF('数据-取费表'!B22&lt;=1,C40*F22*'数据-取费表'!B20/2,C40*(POWER((1+F22),'数据-取费表'!B20/2)-1)),4)</f>
        <v>8.0000000000000004E-4</v>
      </c>
      <c r="D44" s="238"/>
      <c r="E44" s="238"/>
      <c r="F44" s="239"/>
      <c r="G44" s="3744"/>
    </row>
    <row r="45" spans="1:7" s="214" customFormat="1" ht="13.5" customHeight="1">
      <c r="A45" s="255" t="s">
        <v>1546</v>
      </c>
      <c r="B45" s="244" t="s">
        <v>1512</v>
      </c>
      <c r="C45" s="245">
        <f ca="1">C46</f>
        <v>25194782</v>
      </c>
      <c r="D45" s="235">
        <f ca="1">C47</f>
        <v>2.5999999999999999E-3</v>
      </c>
      <c r="E45" s="236" t="s">
        <v>1538</v>
      </c>
      <c r="F45" s="246">
        <f ca="1">F27</f>
        <v>0.13</v>
      </c>
      <c r="G45" s="247" t="s">
        <v>1547</v>
      </c>
    </row>
    <row r="46" spans="1:7" s="214" customFormat="1" ht="13.5" customHeight="1">
      <c r="A46" s="780" t="s">
        <v>346</v>
      </c>
      <c r="B46" s="248" t="s">
        <v>1548</v>
      </c>
      <c r="C46" s="249">
        <f ca="1">ROUND((C33+C39)*F27,0)</f>
        <v>25194782</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245904634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233609402</v>
      </c>
      <c r="D51" s="232"/>
      <c r="E51" s="232"/>
      <c r="F51" s="264"/>
      <c r="G51" s="234" t="s">
        <v>1559</v>
      </c>
    </row>
    <row r="52" spans="1:7" s="208" customFormat="1" ht="16.5" thickBot="1">
      <c r="A52" s="265" t="s">
        <v>1560</v>
      </c>
      <c r="B52" s="266"/>
      <c r="C52" s="267">
        <f ca="1">C31+C51</f>
        <v>264565921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9</v>
      </c>
    </row>
    <row r="2" spans="1:33" ht="18" customHeight="1">
      <c r="A2" s="201" t="s">
        <v>1461</v>
      </c>
      <c r="B2" s="204">
        <f ca="1">C32</f>
        <v>-1266</v>
      </c>
      <c r="C2" s="276" t="s">
        <v>1594</v>
      </c>
      <c r="D2" s="276"/>
      <c r="E2" s="2804"/>
      <c r="F2" s="2804"/>
      <c r="G2" s="2804"/>
      <c r="H2" s="2804"/>
      <c r="I2" s="2804"/>
      <c r="J2" s="2804"/>
      <c r="K2" s="2804"/>
    </row>
    <row r="3" spans="1:33" ht="18" customHeight="1" thickBot="1">
      <c r="A3" s="203" t="s">
        <v>1463</v>
      </c>
      <c r="B3" s="204">
        <f ca="1">ROUND(B2*10000/IF(C1="",'数据-汇总表'!E3,INDIRECT("'数据-取费表'!K"&amp;$K$1)),0)</f>
        <v>-219</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57711.310000000005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57711.310000000005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1130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1154</v>
      </c>
      <c r="D20" s="846">
        <f ca="1">IF(C1="",'数据-汇总表'!E6,IF(INDIRECT("'数据-取费表'!c"&amp;$K$1)="住宅",INDIRECT("'数据-取费表'!s"&amp;$K$1),INDIRECT("'数据-取费表'!k"&amp;$K$1)+INDIRECT("'数据-取费表'!s"&amp;$K$1)))</f>
        <v>57711.310000000005</v>
      </c>
      <c r="E20" s="21">
        <f>'数据-取费表'!B28</f>
        <v>200</v>
      </c>
      <c r="F20" s="804"/>
      <c r="G20" s="12"/>
      <c r="H20" s="809"/>
      <c r="I20" s="809"/>
      <c r="J20" s="809"/>
      <c r="K20" s="810"/>
    </row>
    <row r="21" spans="1:33" s="803" customFormat="1" ht="13.5" customHeight="1">
      <c r="A21" s="790" t="s">
        <v>357</v>
      </c>
      <c r="B21" s="813" t="s">
        <v>1627</v>
      </c>
      <c r="C21" s="814">
        <f ca="1">C16+C17+C18</f>
        <v>1130</v>
      </c>
      <c r="D21" s="815"/>
      <c r="E21" s="281"/>
      <c r="F21" s="281"/>
      <c r="G21" s="131" t="s">
        <v>1628</v>
      </c>
      <c r="H21" s="807"/>
      <c r="I21" s="807"/>
      <c r="J21" s="807"/>
      <c r="K21" s="808"/>
    </row>
    <row r="22" spans="1:33" s="803" customFormat="1" ht="13.5" customHeight="1">
      <c r="A22" s="790" t="s">
        <v>1600</v>
      </c>
      <c r="B22" s="813" t="s">
        <v>1629</v>
      </c>
      <c r="C22" s="814">
        <f ca="1">ROUND(C21*F22,0)</f>
        <v>23</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150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150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-1266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22" sqref="F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3342</v>
      </c>
      <c r="D1" s="1362" t="s">
        <v>43</v>
      </c>
      <c r="E1" s="1363" t="s">
        <v>678</v>
      </c>
      <c r="F1" s="1062">
        <f ca="1">J53</f>
        <v>42.89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1495</v>
      </c>
      <c r="C2" s="1387" t="s">
        <v>805</v>
      </c>
      <c r="D2" s="1387"/>
      <c r="E2" s="1388"/>
      <c r="F2" s="1389"/>
      <c r="G2" s="2704"/>
      <c r="H2" s="2693"/>
      <c r="I2" s="2693"/>
      <c r="J2" s="2693"/>
      <c r="K2" s="2694"/>
      <c r="L2" s="2693"/>
      <c r="M2" s="2693"/>
    </row>
    <row r="3" spans="1:37" ht="18" customHeight="1" thickBot="1">
      <c r="A3" s="1390" t="s">
        <v>806</v>
      </c>
      <c r="B3" s="1391">
        <f ca="1">IF(ISERROR(B2*10000/F43),0,ROUND(B2*10000/F43,0))</f>
        <v>12563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78</v>
      </c>
      <c r="D5" s="1364" t="s">
        <v>693</v>
      </c>
      <c r="E5" s="1071"/>
      <c r="F5" s="1072"/>
      <c r="G5" s="1384"/>
      <c r="H5" s="299">
        <v>1</v>
      </c>
      <c r="I5" s="300" t="s">
        <v>692</v>
      </c>
      <c r="J5" s="1070">
        <f ca="1">J6+J10+J12</f>
        <v>0</v>
      </c>
      <c r="K5" s="1364" t="s">
        <v>693</v>
      </c>
      <c r="L5" s="1071"/>
      <c r="M5" s="1072"/>
    </row>
    <row r="6" spans="1:37" ht="18" customHeight="1">
      <c r="A6" s="1069" t="s">
        <v>398</v>
      </c>
      <c r="B6" s="3733" t="s">
        <v>694</v>
      </c>
      <c r="C6" s="1074">
        <f ca="1">ROUND(F6*F8*F7*(1-F9)/10000,0)</f>
        <v>78</v>
      </c>
      <c r="D6" s="155" t="s">
        <v>2108</v>
      </c>
      <c r="E6" s="302" t="s">
        <v>696</v>
      </c>
      <c r="F6" s="303">
        <f ca="1">INDIRECT("'数据-取费表'!u"&amp;$G$1)</f>
        <v>2</v>
      </c>
      <c r="G6" s="1384"/>
      <c r="H6" s="1069" t="s">
        <v>398</v>
      </c>
      <c r="I6" s="3733" t="s">
        <v>694</v>
      </c>
      <c r="J6" s="301">
        <f ca="1">ROUND(M6*M8*M7*(1-M9)/10000,0)</f>
        <v>0</v>
      </c>
      <c r="K6" s="155" t="s">
        <v>2107</v>
      </c>
      <c r="L6" s="302" t="s">
        <v>696</v>
      </c>
      <c r="M6" s="303">
        <f ca="1">INDIRECT("'数据-取费表'!z"&amp;$G$1)</f>
        <v>0</v>
      </c>
    </row>
    <row r="7" spans="1:37" ht="18" customHeight="1">
      <c r="A7" s="1073"/>
      <c r="B7" s="3734"/>
      <c r="C7" s="1075"/>
      <c r="D7" s="307"/>
      <c r="E7" s="3454" t="s">
        <v>697</v>
      </c>
      <c r="F7" s="303">
        <f ca="1">IF(INDIRECT("'数据-取费表'!ah"&amp;$G$1)="",INDIRECT("'数据-取费表'!k"&amp;$G$1),INDIRECT("'数据-取费表'!ah"&amp;$G$1))</f>
        <v>1189.98</v>
      </c>
      <c r="G7" s="1384"/>
      <c r="H7" s="304"/>
      <c r="I7" s="3734"/>
      <c r="J7" s="306"/>
      <c r="K7" s="307"/>
      <c r="L7" s="302" t="s">
        <v>697</v>
      </c>
      <c r="M7" s="303">
        <f ca="1">F7</f>
        <v>1189.98</v>
      </c>
    </row>
    <row r="8" spans="1:37" ht="18" customHeight="1">
      <c r="A8" s="304"/>
      <c r="B8" s="3734"/>
      <c r="C8" s="306"/>
      <c r="D8" s="307"/>
      <c r="E8" s="302" t="s">
        <v>698</v>
      </c>
      <c r="F8" s="303">
        <f ca="1">INDIRECT("'数据-取费表'!ai"&amp;$G$1)</f>
        <v>365</v>
      </c>
      <c r="G8" s="1384"/>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471</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357</v>
      </c>
      <c r="D14" s="3450" t="s">
        <v>708</v>
      </c>
      <c r="E14" s="3448"/>
      <c r="F14" s="319"/>
      <c r="G14" s="1384"/>
      <c r="H14" s="982" t="s">
        <v>398</v>
      </c>
      <c r="I14" s="302" t="s">
        <v>709</v>
      </c>
      <c r="J14" s="21">
        <f ca="1">C29</f>
        <v>496</v>
      </c>
      <c r="K14" s="3453"/>
      <c r="L14" s="807"/>
      <c r="M14" s="808"/>
    </row>
    <row r="15" spans="1:37" s="1397" customFormat="1" ht="18" customHeight="1" thickBot="1">
      <c r="A15" s="982" t="s">
        <v>399</v>
      </c>
      <c r="B15" s="302" t="s">
        <v>710</v>
      </c>
      <c r="C15" s="21">
        <f ca="1">ROUND(C14*F15,0)</f>
        <v>14</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3451"/>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0.05</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400</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8</v>
      </c>
      <c r="D20" s="2426" t="s">
        <v>729</v>
      </c>
      <c r="E20" s="302" t="s">
        <v>712</v>
      </c>
      <c r="F20" s="322">
        <f>'数据-取费表'!B37</f>
        <v>0.02</v>
      </c>
      <c r="G20" s="1396"/>
      <c r="H20" s="982" t="s">
        <v>680</v>
      </c>
      <c r="I20" s="155" t="s">
        <v>730</v>
      </c>
      <c r="J20" s="22">
        <f ca="1">ROUND(M20*M21/10000,2)</f>
        <v>0.05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305.42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4.96</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-5</v>
      </c>
      <c r="K25" s="1095" t="s">
        <v>753</v>
      </c>
      <c r="L25" s="1096"/>
      <c r="M25" s="1097"/>
    </row>
    <row r="26" spans="1:37">
      <c r="A26" s="982" t="s">
        <v>397</v>
      </c>
      <c r="B26" s="302" t="s">
        <v>754</v>
      </c>
      <c r="C26" s="21">
        <f ca="1">ROUND((C19+C20)*F26,0)</f>
        <v>33</v>
      </c>
      <c r="D26" s="2426"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496</v>
      </c>
      <c r="D29" s="1092"/>
      <c r="E29" s="1090"/>
      <c r="F29" s="1093"/>
      <c r="G29" s="1396"/>
      <c r="H29" s="334" t="s">
        <v>396</v>
      </c>
      <c r="I29" s="335" t="s">
        <v>768</v>
      </c>
      <c r="J29" s="336">
        <f ca="1">ROUND(J26/(1+F40)^F41,0)</f>
        <v>0</v>
      </c>
      <c r="K29" s="337" t="s">
        <v>769</v>
      </c>
      <c r="L29" s="338"/>
      <c r="M29" s="339">
        <f ca="1">INDIRECT("'数据-取费表'!k"&amp;$G$1)</f>
        <v>1189.98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13.12</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4.16</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8.91</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0.05</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305.42</v>
      </c>
      <c r="G35" s="1384"/>
      <c r="H35" s="2695"/>
      <c r="I35" s="1398"/>
      <c r="J35" s="1399"/>
      <c r="K35" s="2699"/>
      <c r="L35" s="2698"/>
      <c r="M35" s="2698"/>
    </row>
    <row r="36" spans="1:18" ht="18" customHeight="1">
      <c r="A36" s="1102" t="s">
        <v>402</v>
      </c>
      <c r="B36" s="302" t="s">
        <v>738</v>
      </c>
      <c r="C36" s="21">
        <f ca="1">ROUND(C29*F36,2)</f>
        <v>4.96</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0.71</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0.78</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58</v>
      </c>
      <c r="D39" s="1095" t="s">
        <v>753</v>
      </c>
      <c r="E39" s="1096"/>
      <c r="F39" s="1097"/>
      <c r="G39" s="1384"/>
      <c r="H39" s="2698"/>
      <c r="I39" s="1398"/>
      <c r="J39" s="1399"/>
      <c r="K39" s="2702"/>
      <c r="L39" s="2698"/>
      <c r="M39" s="2698"/>
    </row>
    <row r="40" spans="1:18" ht="18" customHeight="1">
      <c r="A40" s="299" t="s">
        <v>395</v>
      </c>
      <c r="B40" s="300" t="s">
        <v>774</v>
      </c>
      <c r="C40" s="301">
        <f ca="1">ROUND(C39*(1-((1+F42)/(1+F40))^F41)/(F40-F42),0)</f>
        <v>1495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12563</v>
      </c>
      <c r="D43" s="337" t="s">
        <v>777</v>
      </c>
      <c r="E43" s="338" t="s">
        <v>778</v>
      </c>
      <c r="F43" s="339">
        <f ca="1">INDIRECT("'数据-取费表'!k"&amp;$G$1)</f>
        <v>1189.98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-1600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1495</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496</v>
      </c>
      <c r="R49" s="1420" t="s">
        <v>818</v>
      </c>
    </row>
    <row r="50" spans="1:18" s="1384" customFormat="1" ht="13.5" thickBot="1">
      <c r="A50" s="976"/>
      <c r="B50" s="979"/>
      <c r="C50" s="1118"/>
      <c r="D50" s="953"/>
      <c r="E50" s="1056" t="s">
        <v>697</v>
      </c>
      <c r="F50" s="1057">
        <f ca="1">F7</f>
        <v>1189.98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31" t="s">
        <v>837</v>
      </c>
      <c r="L53" s="3732"/>
      <c r="O53" s="1418" t="s">
        <v>409</v>
      </c>
      <c r="P53" s="1419" t="s">
        <v>838</v>
      </c>
      <c r="Q53" s="1420">
        <f ca="1">Q47+Q48</f>
        <v>1495</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471</v>
      </c>
      <c r="D56" s="1447"/>
      <c r="E56" s="1448"/>
      <c r="F56" s="1440"/>
      <c r="I56" s="1449" t="s">
        <v>842</v>
      </c>
      <c r="J56" s="1450" t="s">
        <v>3396</v>
      </c>
      <c r="K56" s="1421" t="s">
        <v>843</v>
      </c>
      <c r="L56" s="1424" t="str">
        <f ca="1">IF(L48&lt;J51,"——",L48-J53)</f>
        <v>——</v>
      </c>
      <c r="O56" s="1418" t="s">
        <v>403</v>
      </c>
      <c r="P56" s="1419" t="s">
        <v>817</v>
      </c>
      <c r="Q56" s="1420">
        <f ca="1">C40+J29</f>
        <v>1495</v>
      </c>
      <c r="R56" s="1420" t="s">
        <v>818</v>
      </c>
    </row>
    <row r="57" spans="1:18" s="1384" customFormat="1" ht="24.75" thickBot="1">
      <c r="A57" s="1451"/>
      <c r="B57" s="950" t="s">
        <v>767</v>
      </c>
      <c r="C57" s="238">
        <f ca="1">C29</f>
        <v>496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0.05</v>
      </c>
      <c r="D62" s="965" t="s">
        <v>731</v>
      </c>
      <c r="E62" s="950" t="s">
        <v>732</v>
      </c>
      <c r="F62" s="325">
        <f t="shared" si="0"/>
        <v>1.5</v>
      </c>
      <c r="I62" s="1462" t="s">
        <v>858</v>
      </c>
      <c r="J62" s="1463" t="s">
        <v>859</v>
      </c>
      <c r="K62" s="1463" t="s">
        <v>860</v>
      </c>
      <c r="L62" s="1463" t="s">
        <v>861</v>
      </c>
      <c r="M62" s="1464" t="s">
        <v>862</v>
      </c>
      <c r="O62" s="1418" t="s">
        <v>409</v>
      </c>
      <c r="P62" s="1419" t="s">
        <v>838</v>
      </c>
      <c r="Q62" s="1420">
        <f ca="1">Q56+Q57</f>
        <v>1495</v>
      </c>
      <c r="R62" s="1420" t="s">
        <v>410</v>
      </c>
    </row>
    <row r="63" spans="1:18" s="1384" customFormat="1" ht="13.5" thickBot="1">
      <c r="A63" s="326"/>
      <c r="B63" s="956"/>
      <c r="C63" s="26"/>
      <c r="D63" s="966"/>
      <c r="E63" s="950" t="s">
        <v>736</v>
      </c>
      <c r="F63" s="303">
        <f t="shared" ca="1" si="0"/>
        <v>305.42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4.96</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0.71</v>
      </c>
      <c r="D65" s="964" t="s">
        <v>743</v>
      </c>
      <c r="E65" s="950" t="s">
        <v>712</v>
      </c>
      <c r="F65" s="330">
        <f t="shared" ca="1" si="0"/>
        <v>1.5E-3</v>
      </c>
      <c r="I65" s="1462" t="s">
        <v>867</v>
      </c>
      <c r="J65" s="1463">
        <v>40</v>
      </c>
      <c r="K65" s="1463">
        <v>30</v>
      </c>
      <c r="L65" s="1463">
        <v>50</v>
      </c>
      <c r="M65" s="1465">
        <v>0.02</v>
      </c>
      <c r="O65" s="1418" t="s">
        <v>403</v>
      </c>
      <c r="P65" s="1419" t="s">
        <v>817</v>
      </c>
      <c r="Q65" s="1420">
        <f ca="1">C40+J29</f>
        <v>1495</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463</v>
      </c>
      <c r="R67" s="1420" t="s">
        <v>870</v>
      </c>
    </row>
    <row r="68" spans="1:18" s="1384" customFormat="1" ht="16.5" thickBot="1">
      <c r="A68" s="947" t="s">
        <v>395</v>
      </c>
      <c r="B68" s="948" t="s">
        <v>774</v>
      </c>
      <c r="C68" s="301">
        <f ca="1">ROUND(C67*(1-((1+F70)/(1+F68))^F69)/(F68-F70),0)</f>
        <v>-105</v>
      </c>
      <c r="D68" s="965" t="s">
        <v>758</v>
      </c>
      <c r="E68" s="950" t="s">
        <v>759</v>
      </c>
      <c r="F68" s="312">
        <f ca="1">F40</f>
        <v>0.05</v>
      </c>
      <c r="O68" s="1428" t="s">
        <v>406</v>
      </c>
      <c r="P68" s="1467" t="s">
        <v>871</v>
      </c>
      <c r="Q68" s="1420">
        <f ca="1">ROUND(Q69-Q70*Q71,0)</f>
        <v>23</v>
      </c>
      <c r="R68" s="1420" t="s">
        <v>414</v>
      </c>
    </row>
    <row r="69" spans="1:18" s="1384" customFormat="1" ht="13.5" thickBot="1">
      <c r="A69" s="951"/>
      <c r="B69" s="952"/>
      <c r="C69" s="306"/>
      <c r="D69" s="970" t="s">
        <v>762</v>
      </c>
      <c r="E69" s="950" t="s">
        <v>763</v>
      </c>
      <c r="F69" s="333">
        <f ca="1">F41</f>
        <v>42.89</v>
      </c>
      <c r="O69" s="1428" t="s">
        <v>411</v>
      </c>
      <c r="P69" s="1467" t="s">
        <v>872</v>
      </c>
      <c r="Q69" s="1420">
        <f ca="1">C39</f>
        <v>58</v>
      </c>
      <c r="R69" s="1420" t="s">
        <v>818</v>
      </c>
    </row>
    <row r="70" spans="1:18" s="1384" customFormat="1" ht="13.5" thickBot="1">
      <c r="A70" s="954"/>
      <c r="B70" s="955"/>
      <c r="C70" s="310"/>
      <c r="D70" s="966"/>
      <c r="E70" s="950" t="s">
        <v>766</v>
      </c>
      <c r="F70" s="1054"/>
      <c r="O70" s="1428" t="s">
        <v>412</v>
      </c>
      <c r="P70" s="1467" t="s">
        <v>873</v>
      </c>
      <c r="Q70" s="1420">
        <f ca="1">C13</f>
        <v>471</v>
      </c>
      <c r="R70" s="1420" t="s">
        <v>818</v>
      </c>
    </row>
    <row r="71" spans="1:18" s="1384" customFormat="1" ht="13.5" thickBot="1">
      <c r="A71" s="971" t="s">
        <v>396</v>
      </c>
      <c r="B71" s="972" t="s">
        <v>776</v>
      </c>
      <c r="C71" s="336">
        <f ca="1">ROUND(C68*10000/F71,0)</f>
        <v>-882</v>
      </c>
      <c r="D71" s="973" t="s">
        <v>777</v>
      </c>
      <c r="E71" s="974" t="s">
        <v>778</v>
      </c>
      <c r="F71" s="339">
        <f ca="1">F43</f>
        <v>1189.98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v>
      </c>
      <c r="D75" s="1384"/>
      <c r="E75" s="1384"/>
      <c r="F75" s="1384"/>
      <c r="K75" s="1402"/>
      <c r="L75" s="1384"/>
      <c r="O75" s="1418" t="s">
        <v>409</v>
      </c>
      <c r="P75" s="1419" t="s">
        <v>838</v>
      </c>
      <c r="Q75" s="1420">
        <f ca="1">Q65+Q66</f>
        <v>1495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0.39700000000000002</v>
      </c>
    </row>
    <row r="80" spans="1:18">
      <c r="B80" s="340" t="s">
        <v>800</v>
      </c>
      <c r="C80" s="274">
        <f ca="1">ROUND(C75/C39,3)</f>
        <v>0.60299999999999998</v>
      </c>
    </row>
    <row r="81" spans="2:3">
      <c r="B81" s="270" t="s">
        <v>801</v>
      </c>
      <c r="C81" s="238"/>
    </row>
    <row r="82" spans="2:3">
      <c r="B82" s="273" t="s">
        <v>802</v>
      </c>
      <c r="C82" s="275">
        <f ca="1">1-C83</f>
        <v>0.68500000000000005</v>
      </c>
    </row>
    <row r="83" spans="2:3">
      <c r="B83" s="273" t="s">
        <v>803</v>
      </c>
      <c r="C83" s="274">
        <f ca="1">ROUND(C13/C40,3)</f>
        <v>0.315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3" t="s">
        <v>694</v>
      </c>
      <c r="C6" s="1074">
        <f ca="1">ROUND(F6*F8*F7*(1-F9),0)</f>
        <v>0</v>
      </c>
      <c r="D6" s="155" t="s">
        <v>2105</v>
      </c>
      <c r="E6" s="302" t="s">
        <v>696</v>
      </c>
      <c r="F6" s="303">
        <f ca="1">INDIRECT("'数据-取费表'!u"&amp;$G$1)</f>
        <v>0</v>
      </c>
      <c r="G6" s="1384"/>
      <c r="H6" s="1069" t="s">
        <v>398</v>
      </c>
      <c r="I6" s="3733" t="s">
        <v>694</v>
      </c>
      <c r="J6" s="301">
        <f ca="1">ROUND(M6*M8*M7*(1-M9),0)</f>
        <v>0</v>
      </c>
      <c r="K6" s="1376" t="s">
        <v>2106</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4"/>
      <c r="H7" s="304"/>
      <c r="I7" s="3734"/>
      <c r="J7" s="306"/>
      <c r="K7" s="307"/>
      <c r="L7" s="302" t="s">
        <v>697</v>
      </c>
      <c r="M7" s="303">
        <f ca="1">F7</f>
        <v>0</v>
      </c>
    </row>
    <row r="8" spans="1:37" ht="18" customHeight="1">
      <c r="A8" s="304"/>
      <c r="B8" s="3734"/>
      <c r="C8" s="306"/>
      <c r="D8" s="307"/>
      <c r="E8" s="302" t="s">
        <v>698</v>
      </c>
      <c r="F8" s="303">
        <f ca="1">INDIRECT("'数据-取费表'!ai"&amp;$G$1)</f>
        <v>0</v>
      </c>
      <c r="G8" s="1384"/>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30" t="s">
        <v>3360</v>
      </c>
      <c r="B45" s="1400"/>
      <c r="C45" s="1472" t="e">
        <f ca="1">ROUND((C68-C40)/10000,4)</f>
        <v>#DIV/0!</v>
      </c>
      <c r="D45" s="3431"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31" t="s">
        <v>837</v>
      </c>
      <c r="L53" s="373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3401</v>
      </c>
      <c r="D1" s="1747"/>
      <c r="E1" s="1747"/>
      <c r="F1" s="1749" t="s">
        <v>1262</v>
      </c>
      <c r="G1" s="1561"/>
      <c r="H1" s="1750" t="str">
        <f>IF(G1="现房","——","估价对象范围")</f>
        <v>估价对象范围</v>
      </c>
      <c r="I1" s="1751"/>
    </row>
    <row r="2" spans="1:12" ht="21.75" customHeight="1" thickBot="1">
      <c r="A2" s="3652" t="str">
        <f>项目基本情况!S2</f>
        <v>北京市海淀区忍冬路5号院房地产</v>
      </c>
      <c r="B2" s="3653"/>
      <c r="C2" s="3653"/>
      <c r="D2" s="3653"/>
      <c r="E2" s="3653"/>
      <c r="F2" s="3653"/>
      <c r="G2" s="3653"/>
      <c r="H2" s="3653"/>
      <c r="I2" s="3654"/>
    </row>
    <row r="3" spans="1:12" ht="12.75">
      <c r="A3" s="3656" t="s">
        <v>1263</v>
      </c>
      <c r="B3" s="3657"/>
      <c r="C3" s="3657"/>
      <c r="D3" s="3657"/>
      <c r="E3" s="3657"/>
      <c r="F3" s="3657"/>
      <c r="G3" s="3657"/>
      <c r="H3" s="3657"/>
      <c r="I3" s="3657"/>
    </row>
    <row r="4" spans="1:12" ht="14.25">
      <c r="A4" s="1754" t="s">
        <v>1264</v>
      </c>
      <c r="B4" s="1755" t="s">
        <v>1265</v>
      </c>
      <c r="C4" s="1756" t="s">
        <v>3459</v>
      </c>
      <c r="D4" s="1756" t="s">
        <v>3412</v>
      </c>
      <c r="E4" s="3661" t="s">
        <v>1266</v>
      </c>
      <c r="F4" s="3662"/>
      <c r="G4" s="3662"/>
      <c r="H4" s="3662"/>
      <c r="I4" s="3663"/>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5" t="s">
        <v>1267</v>
      </c>
      <c r="B5" s="3655">
        <v>25</v>
      </c>
      <c r="C5" s="3658"/>
      <c r="D5" s="3646"/>
      <c r="E5" s="131" t="s">
        <v>1268</v>
      </c>
      <c r="F5" s="1757"/>
      <c r="G5" s="1757"/>
      <c r="H5" s="1757"/>
      <c r="I5" s="1373"/>
    </row>
    <row r="6" spans="1:12" ht="12.75">
      <c r="A6" s="3605"/>
      <c r="B6" s="3655"/>
      <c r="C6" s="3660"/>
      <c r="D6" s="3646"/>
      <c r="E6" s="131" t="s">
        <v>1269</v>
      </c>
      <c r="F6" s="1757"/>
      <c r="G6" s="1757"/>
      <c r="H6" s="1757"/>
      <c r="I6" s="1373"/>
    </row>
    <row r="7" spans="1:12" ht="12.75">
      <c r="A7" s="3605"/>
      <c r="B7" s="3655"/>
      <c r="C7" s="3659"/>
      <c r="D7" s="3646"/>
      <c r="E7" s="131" t="s">
        <v>1270</v>
      </c>
      <c r="F7" s="1757"/>
      <c r="G7" s="1757"/>
      <c r="H7" s="1757"/>
      <c r="I7" s="1373"/>
    </row>
    <row r="8" spans="1:12" ht="12.75">
      <c r="A8" s="3605" t="s">
        <v>1271</v>
      </c>
      <c r="B8" s="3655">
        <v>15</v>
      </c>
      <c r="C8" s="3658"/>
      <c r="D8" s="3646"/>
      <c r="E8" s="131" t="s">
        <v>1272</v>
      </c>
      <c r="F8" s="1757"/>
      <c r="G8" s="1757"/>
      <c r="H8" s="1757"/>
      <c r="I8" s="1373"/>
    </row>
    <row r="9" spans="1:12" ht="12.75">
      <c r="A9" s="3605"/>
      <c r="B9" s="3655"/>
      <c r="C9" s="3659"/>
      <c r="D9" s="3646"/>
      <c r="E9" s="131" t="s">
        <v>1273</v>
      </c>
      <c r="F9" s="1757"/>
      <c r="G9" s="1757"/>
      <c r="H9" s="1757"/>
      <c r="I9" s="1373"/>
    </row>
    <row r="10" spans="1:12" ht="12.75">
      <c r="A10" s="3605" t="s">
        <v>1274</v>
      </c>
      <c r="B10" s="3655">
        <v>15</v>
      </c>
      <c r="C10" s="3658"/>
      <c r="D10" s="3646"/>
      <c r="E10" s="131" t="s">
        <v>1275</v>
      </c>
      <c r="F10" s="1757"/>
      <c r="G10" s="1757"/>
      <c r="H10" s="1757"/>
      <c r="I10" s="1373"/>
    </row>
    <row r="11" spans="1:12" ht="12.75">
      <c r="A11" s="3605"/>
      <c r="B11" s="3655"/>
      <c r="C11" s="3659"/>
      <c r="D11" s="3646"/>
      <c r="E11" s="131" t="s">
        <v>1276</v>
      </c>
      <c r="F11" s="1757"/>
      <c r="G11" s="1757"/>
      <c r="H11" s="1757"/>
      <c r="I11" s="1373"/>
    </row>
    <row r="12" spans="1:12" ht="12.75">
      <c r="A12" s="3605" t="s">
        <v>1277</v>
      </c>
      <c r="B12" s="3655">
        <v>15</v>
      </c>
      <c r="C12" s="3658"/>
      <c r="D12" s="3646"/>
      <c r="E12" s="131" t="s">
        <v>1278</v>
      </c>
      <c r="F12" s="1757"/>
      <c r="G12" s="1757"/>
      <c r="H12" s="1757"/>
      <c r="I12" s="1373"/>
    </row>
    <row r="13" spans="1:12" ht="12.75">
      <c r="A13" s="3605"/>
      <c r="B13" s="3655"/>
      <c r="C13" s="3659"/>
      <c r="D13" s="3646"/>
      <c r="E13" s="131" t="s">
        <v>1279</v>
      </c>
      <c r="F13" s="1757"/>
      <c r="G13" s="1757"/>
      <c r="H13" s="1757"/>
      <c r="I13" s="1373"/>
    </row>
    <row r="14" spans="1:12" ht="12.75">
      <c r="A14" s="3605" t="s">
        <v>1280</v>
      </c>
      <c r="B14" s="3655">
        <v>30</v>
      </c>
      <c r="C14" s="3658">
        <v>4</v>
      </c>
      <c r="D14" s="3646">
        <v>6</v>
      </c>
      <c r="E14" s="131" t="s">
        <v>1281</v>
      </c>
      <c r="F14" s="1757"/>
      <c r="G14" s="1757"/>
      <c r="H14" s="1757"/>
      <c r="I14" s="1373"/>
    </row>
    <row r="15" spans="1:12" ht="12.75">
      <c r="A15" s="3605"/>
      <c r="B15" s="3655"/>
      <c r="C15" s="3660"/>
      <c r="D15" s="3646"/>
      <c r="E15" s="131" t="s">
        <v>1282</v>
      </c>
      <c r="F15" s="1757"/>
      <c r="G15" s="1757"/>
      <c r="H15" s="1757"/>
      <c r="I15" s="1373"/>
    </row>
    <row r="16" spans="1:12" ht="12.75">
      <c r="A16" s="3605"/>
      <c r="B16" s="3655"/>
      <c r="C16" s="3659"/>
      <c r="D16" s="364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77" t="s">
        <v>2130</v>
      </c>
      <c r="F18" s="3678"/>
      <c r="G18" s="3678"/>
      <c r="H18" s="3678"/>
      <c r="I18" s="3678"/>
      <c r="K18" s="302" t="s">
        <v>1288</v>
      </c>
      <c r="L18" s="302">
        <f>IF(C1="",'数据-汇总表'!E3,SUMIF(项目类型,C1,'数据-汇总表'!E17:E26)+SUMIF(项目类型,C1,'数据-汇总表'!I17:I26))</f>
        <v>7948.170000000001</v>
      </c>
      <c r="M18" s="302">
        <f>IF(C1="",'数据-汇总表'!E3,SUMIF(项目类型,C1,'数据-汇总表'!E17:E26))</f>
        <v>7948.170000000001</v>
      </c>
    </row>
    <row r="19" spans="1:36" ht="15">
      <c r="A19" s="1761" t="s">
        <v>1289</v>
      </c>
      <c r="B19" s="1762" t="s">
        <v>1290</v>
      </c>
      <c r="C19" s="134">
        <f ca="1">SUMIF(INDIRECT("'"&amp;C4&amp;"'"&amp;"!A:A"),'结果表(车库)'!B19,INDIRECT("'"&amp;C4&amp;"'"&amp;"!B:B"))</f>
        <v>4287</v>
      </c>
      <c r="D19" s="135">
        <f ca="1">SUMIF(INDIRECT("'"&amp;D4&amp;"'"&amp;"!A:A"),'结果表(车库)'!B19,INDIRECT("'"&amp;D4&amp;"'"&amp;"!B:B"))</f>
        <v>2268</v>
      </c>
      <c r="E19" s="1761" t="s">
        <v>1291</v>
      </c>
      <c r="F19" s="1762" t="s">
        <v>1290</v>
      </c>
      <c r="G19" s="136">
        <f ca="1">ROUND(C19*$C$18+D19*$D$18,0)</f>
        <v>3076</v>
      </c>
      <c r="H19" s="1763" t="s">
        <v>1292</v>
      </c>
      <c r="I19" s="129"/>
      <c r="K19" s="302" t="s">
        <v>1293</v>
      </c>
      <c r="L19" s="302">
        <f>IF(C1="",'数据-汇总表'!D3,SUMIF(项目类型,C1,'数据-汇总表'!D17:D26)+SUMIF(项目类型,C1,'数据-汇总表'!H17:H27))</f>
        <v>2039.97</v>
      </c>
      <c r="M19" s="302">
        <f>IF(C1="",'数据-汇总表'!D3,SUMIF(项目类型,C1,'数据-汇总表'!D17:D26))</f>
        <v>2039.97</v>
      </c>
    </row>
    <row r="20" spans="1:36" ht="15">
      <c r="A20" s="1764"/>
      <c r="B20" s="1026" t="s">
        <v>1294</v>
      </c>
      <c r="C20" s="137">
        <f ca="1">SUMIF(INDIRECT("'"&amp;C4&amp;"'"&amp;"!A:A"),'结果表(车库)'!B20,INDIRECT("'"&amp;C4&amp;"'"&amp;"!B:B"))</f>
        <v>5394</v>
      </c>
      <c r="D20" s="138">
        <f ca="1">SUMIF(INDIRECT("'"&amp;D4&amp;"'"&amp;"!A:A"),'结果表(车库)'!B20,INDIRECT("'"&amp;D4&amp;"'"&amp;"!B:B"))</f>
        <v>2853</v>
      </c>
      <c r="E20" s="1764"/>
      <c r="F20" s="1026" t="s">
        <v>1294</v>
      </c>
      <c r="G20" s="139">
        <f ca="1">ROUND(C20*$C$18+D20*$D$18,0)</f>
        <v>3869</v>
      </c>
      <c r="H20" s="808" t="s">
        <v>1295</v>
      </c>
      <c r="I20" s="129"/>
    </row>
    <row r="21" spans="1:36" ht="15" customHeight="1" thickBot="1">
      <c r="A21" s="828"/>
      <c r="B21" s="1765" t="s">
        <v>1296</v>
      </c>
      <c r="C21" s="719">
        <f ca="1">ROUND(C19*10000/L19,0)</f>
        <v>21015</v>
      </c>
      <c r="D21" s="720">
        <f ca="1">ROUND(D19*10000/L19,0)</f>
        <v>11118</v>
      </c>
      <c r="E21" s="828"/>
      <c r="F21" s="1765" t="s">
        <v>1296</v>
      </c>
      <c r="G21" s="140">
        <f ca="1">ROUND(G19*10000/L19,0)</f>
        <v>15079</v>
      </c>
      <c r="H21" s="1766" t="s">
        <v>1295</v>
      </c>
      <c r="I21" s="129"/>
    </row>
    <row r="22" spans="1:36" ht="15" thickBot="1">
      <c r="A22" s="1688" t="s">
        <v>1297</v>
      </c>
      <c r="B22" s="1767"/>
      <c r="C22" s="1768"/>
      <c r="D22" s="721">
        <f ca="1">IF(C19&lt;D19,D19/C19-1,C19/D19-1)</f>
        <v>0.89021164021164023</v>
      </c>
      <c r="E22" s="129"/>
      <c r="F22" s="129"/>
      <c r="G22" s="129"/>
      <c r="H22" s="129"/>
      <c r="I22" s="129"/>
    </row>
    <row r="23" spans="1:36" ht="13.5" thickBot="1">
      <c r="A23" s="1747"/>
      <c r="B23" s="1747"/>
      <c r="C23" s="1747"/>
      <c r="D23" s="1747"/>
      <c r="E23" s="129"/>
      <c r="F23" s="129"/>
      <c r="G23" s="129"/>
      <c r="H23" s="129"/>
      <c r="I23" s="129"/>
    </row>
    <row r="24" spans="1:36" ht="14.25">
      <c r="A24" s="3670" t="s">
        <v>1298</v>
      </c>
      <c r="B24" s="1762" t="s">
        <v>1290</v>
      </c>
      <c r="C24" s="136">
        <f>IF(B30=0,0,D30)</f>
        <v>0</v>
      </c>
      <c r="D24" s="1769"/>
      <c r="E24" s="129"/>
      <c r="F24" s="129"/>
      <c r="G24" s="129"/>
      <c r="H24" s="129"/>
      <c r="I24" s="129"/>
    </row>
    <row r="25" spans="1:36" ht="14.25">
      <c r="A25" s="367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3076</v>
      </c>
      <c r="D32" s="1775" t="s">
        <v>3457</v>
      </c>
      <c r="E32" s="129"/>
      <c r="F32" s="129"/>
      <c r="G32" s="129"/>
      <c r="H32" s="129"/>
      <c r="I32" s="129"/>
    </row>
    <row r="33" spans="1:15" ht="15">
      <c r="A33" s="786" t="s">
        <v>1305</v>
      </c>
      <c r="B33" s="1776"/>
      <c r="C33" s="1777" t="s">
        <v>3458</v>
      </c>
      <c r="D33" s="1778" t="s">
        <v>3459</v>
      </c>
      <c r="E33" s="1779" t="s">
        <v>1306</v>
      </c>
      <c r="F33" s="1780" t="str">
        <f>IF(D32="楼面单价","取值（单价）","取值（总价）")</f>
        <v>取值（总价）</v>
      </c>
      <c r="G33" s="129"/>
      <c r="H33" s="129"/>
      <c r="I33" s="129"/>
    </row>
    <row r="34" spans="1:15" ht="15">
      <c r="A34" s="1781"/>
      <c r="B34" s="1782" t="s">
        <v>1307</v>
      </c>
      <c r="C34" s="148">
        <f ca="1">IF(C33="自定义",F34,C32-C35)</f>
        <v>1224</v>
      </c>
      <c r="D34" s="861">
        <f ca="1">IF(C33="自定义",ROUND(C34/C32,3),IF(C33="收益比率",SUMIF(INDIRECT("'"&amp;D33&amp;"'"&amp;"!b:b"),"土地收益比率",INDIRECT("'"&amp;D33&amp;"'"&amp;"!c:c")),SUMIF(INDIRECT("'"&amp;D33&amp;"'"&amp;"!b:b"),"土地成本比率",INDIRECT("'"&amp;D33&amp;"'"&amp;"!c:c"))))</f>
        <v>0.39800000000000002</v>
      </c>
      <c r="E34" s="1783" t="s">
        <v>1308</v>
      </c>
      <c r="F34" s="1330"/>
      <c r="G34" s="129"/>
      <c r="H34" s="129"/>
      <c r="I34" s="129"/>
    </row>
    <row r="35" spans="1:15" ht="15.75" thickBot="1">
      <c r="A35" s="1784"/>
      <c r="B35" s="1785" t="s">
        <v>1309</v>
      </c>
      <c r="C35" s="1170">
        <f ca="1">IF(C33="自定义",F35,ROUND(C32*D35,0))</f>
        <v>1852</v>
      </c>
      <c r="D35" s="1171">
        <f ca="1">IF(C33="自定义",ROUND(C35/C32,3),IF(C33="收益比率",SUMIF(INDIRECT("'"&amp;D33&amp;"'"&amp;"!b:b"),"建筑物收益比率",INDIRECT("'"&amp;D33&amp;"'"&amp;"!c:c")),SUMIF(INDIRECT("'"&amp;D33&amp;"'"&amp;"!b:b"),"建筑物成本比率",INDIRECT("'"&amp;D33&amp;"'"&amp;"!c:c"))))</f>
        <v>0.60199999999999998</v>
      </c>
      <c r="E35" s="1786" t="s">
        <v>1310</v>
      </c>
      <c r="F35" s="154"/>
      <c r="G35" s="129"/>
      <c r="H35" s="129"/>
      <c r="I35" s="129"/>
    </row>
    <row r="36" spans="1:15" ht="15.75" thickBot="1">
      <c r="A36" s="3647" t="s">
        <v>1311</v>
      </c>
      <c r="B36" s="1787" t="s">
        <v>1312</v>
      </c>
      <c r="C36" s="145"/>
      <c r="D36" s="1788"/>
      <c r="E36" s="1789"/>
      <c r="F36" s="1790"/>
      <c r="G36" s="129"/>
      <c r="H36" s="129"/>
      <c r="I36" s="129"/>
    </row>
    <row r="37" spans="1:15" ht="15.75" thickBot="1">
      <c r="A37" s="3648"/>
      <c r="B37" s="1674" t="s">
        <v>1313</v>
      </c>
      <c r="C37" s="147"/>
      <c r="D37" s="1139"/>
      <c r="E37" s="1139"/>
      <c r="F37" s="1790"/>
      <c r="G37" s="129"/>
      <c r="H37" s="129"/>
      <c r="I37" s="129"/>
    </row>
    <row r="38" spans="1:15" ht="15.75" thickBot="1">
      <c r="A38" s="3649"/>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67" t="s">
        <v>1325</v>
      </c>
      <c r="B45" s="3668"/>
      <c r="C45" s="3669"/>
      <c r="D45" s="155">
        <f ca="1">ROUND(H101*F45,0)</f>
        <v>3076</v>
      </c>
      <c r="E45" s="156" t="s">
        <v>1326</v>
      </c>
      <c r="F45" s="157">
        <v>1</v>
      </c>
      <c r="G45" s="158" t="s">
        <v>1327</v>
      </c>
      <c r="H45" s="129"/>
      <c r="I45" s="129"/>
      <c r="J45" s="3592" t="s">
        <v>1328</v>
      </c>
      <c r="K45" s="3592"/>
      <c r="L45" s="3592"/>
      <c r="M45" s="3592"/>
      <c r="N45" s="3592"/>
      <c r="O45" s="3592"/>
    </row>
    <row r="46" spans="1:15" ht="14.25" customHeight="1">
      <c r="A46" s="3664" t="s">
        <v>1329</v>
      </c>
      <c r="B46" s="3665"/>
      <c r="C46" s="3665"/>
      <c r="D46" s="3665"/>
      <c r="E46" s="3665"/>
      <c r="F46" s="3665"/>
      <c r="G46" s="3666"/>
      <c r="H46" s="1806"/>
      <c r="I46" s="159"/>
      <c r="J46" s="3463">
        <v>1</v>
      </c>
      <c r="K46" s="3593" t="s">
        <v>1330</v>
      </c>
      <c r="L46" s="3593"/>
      <c r="M46" s="3594"/>
      <c r="N46" s="3594"/>
      <c r="O46" s="3594"/>
    </row>
    <row r="47" spans="1:15" ht="12" customHeight="1">
      <c r="A47" s="160" t="s">
        <v>1331</v>
      </c>
      <c r="B47" s="161"/>
      <c r="C47" s="162"/>
      <c r="D47" s="1087" t="s">
        <v>1332</v>
      </c>
      <c r="E47" s="302" t="s">
        <v>1333</v>
      </c>
      <c r="F47" s="163" t="s">
        <v>1334</v>
      </c>
      <c r="G47" s="2544" t="s">
        <v>1335</v>
      </c>
      <c r="H47" s="2545"/>
      <c r="I47" s="159"/>
      <c r="J47" s="3463">
        <v>2</v>
      </c>
      <c r="K47" s="3593" t="s">
        <v>1336</v>
      </c>
      <c r="L47" s="3593"/>
      <c r="M47" s="3595">
        <f>'数据-取费表'!B2</f>
        <v>44930</v>
      </c>
      <c r="N47" s="3595"/>
      <c r="O47" s="3595"/>
    </row>
    <row r="48" spans="1:15" ht="25.5">
      <c r="A48" s="3650" t="s">
        <v>1337</v>
      </c>
      <c r="B48" s="3651"/>
      <c r="C48" s="3651"/>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593" t="s">
        <v>1339</v>
      </c>
      <c r="L48" s="3593"/>
      <c r="M48" s="3596">
        <f ca="1">H101</f>
        <v>3076</v>
      </c>
      <c r="N48" s="3596"/>
      <c r="O48" s="3596"/>
    </row>
    <row r="49" spans="1:35" ht="25.5" customHeight="1">
      <c r="A49" s="3472" t="s">
        <v>1340</v>
      </c>
      <c r="B49" s="3637" t="s">
        <v>1341</v>
      </c>
      <c r="C49" s="3637"/>
      <c r="D49" s="1590">
        <v>0</v>
      </c>
      <c r="E49" s="324" t="s">
        <v>1342</v>
      </c>
      <c r="F49" s="3458" t="s">
        <v>28</v>
      </c>
      <c r="G49" s="3620"/>
      <c r="H49" s="2310" t="s">
        <v>2133</v>
      </c>
      <c r="I49" s="2311"/>
      <c r="J49" s="3463">
        <v>4</v>
      </c>
      <c r="K49" s="3593" t="str">
        <f>IF(项目基本情况!E8="房地产抵押价值","房地产抵押价值","抵押担保权已注销时的房地产抵押价值")</f>
        <v>房地产抵押价值</v>
      </c>
      <c r="L49" s="3593"/>
      <c r="M49" s="3596">
        <f ca="1">IF(项目基本情况!E8="房地产抵押价值",H107,H109)</f>
        <v>3076</v>
      </c>
      <c r="N49" s="3596"/>
      <c r="O49" s="3596"/>
    </row>
    <row r="50" spans="1:35" ht="25.5" customHeight="1">
      <c r="A50" s="2549"/>
      <c r="B50" s="3637" t="s">
        <v>1343</v>
      </c>
      <c r="C50" s="3637"/>
      <c r="D50" s="2550"/>
      <c r="E50" s="332"/>
      <c r="F50" s="3458"/>
      <c r="G50" s="3621"/>
      <c r="H50" s="2312" t="s">
        <v>2134</v>
      </c>
      <c r="I50" s="2311"/>
      <c r="J50" s="3592" t="s">
        <v>1344</v>
      </c>
      <c r="K50" s="3592"/>
      <c r="L50" s="3592"/>
      <c r="M50" s="3592"/>
      <c r="N50" s="3592"/>
      <c r="O50" s="3592"/>
    </row>
    <row r="51" spans="1:35" ht="20.45" customHeight="1">
      <c r="A51" s="2551"/>
      <c r="B51" s="3637" t="s">
        <v>1345</v>
      </c>
      <c r="C51" s="3637"/>
      <c r="D51" s="1087"/>
      <c r="E51" s="327"/>
      <c r="F51" s="3458"/>
      <c r="G51" s="3622"/>
      <c r="H51" s="2312" t="s">
        <v>2135</v>
      </c>
      <c r="I51" s="2311"/>
      <c r="J51" s="3459" t="s">
        <v>1346</v>
      </c>
      <c r="K51" s="3593" t="s">
        <v>1347</v>
      </c>
      <c r="L51" s="3593"/>
      <c r="M51" s="3459" t="s">
        <v>1348</v>
      </c>
      <c r="N51" s="3459" t="s">
        <v>1349</v>
      </c>
      <c r="O51" s="3459" t="s">
        <v>1350</v>
      </c>
    </row>
    <row r="52" spans="1:35" ht="24" customHeight="1">
      <c r="A52" s="3474" t="s">
        <v>1351</v>
      </c>
      <c r="B52" s="3637" t="s">
        <v>1352</v>
      </c>
      <c r="C52" s="3637"/>
      <c r="D52" s="1087">
        <f ca="1">ROUND(D45*'数据-取费表'!B41/(1+'数据-取费表'!C42),0)</f>
        <v>164</v>
      </c>
      <c r="E52" s="3473" t="s">
        <v>1353</v>
      </c>
      <c r="F52" s="2552">
        <f>'数据-取费表'!B41</f>
        <v>5.6000000000000001E-2</v>
      </c>
      <c r="G52" s="2553"/>
      <c r="H52" s="2542"/>
      <c r="I52" s="1807"/>
      <c r="J52" s="3463">
        <v>1</v>
      </c>
      <c r="K52" s="3614" t="s">
        <v>1354</v>
      </c>
      <c r="L52" s="3614"/>
      <c r="M52" s="2523" t="b">
        <f>D48</f>
        <v>0</v>
      </c>
      <c r="N52" s="3463" t="str">
        <f>E48</f>
        <v>销售额×税（费）率</v>
      </c>
      <c r="O52" s="2524">
        <f>F48</f>
        <v>5.6000000000000001E-2</v>
      </c>
    </row>
    <row r="53" spans="1:35" ht="12" customHeight="1">
      <c r="A53" s="3474" t="s">
        <v>1355</v>
      </c>
      <c r="B53" s="3638" t="s">
        <v>2290</v>
      </c>
      <c r="C53" s="3639"/>
      <c r="D53" s="1087">
        <f ca="1">ROUND(D45*'数据-取费表'!B41/(1+'数据-取费表'!C42),0)</f>
        <v>164</v>
      </c>
      <c r="E53" s="3473" t="s">
        <v>1353</v>
      </c>
      <c r="F53" s="2552">
        <f>'数据-取费表'!B41</f>
        <v>5.6000000000000001E-2</v>
      </c>
      <c r="G53" s="2553"/>
      <c r="H53" s="2542"/>
      <c r="I53" s="1807"/>
      <c r="J53" s="3463">
        <v>2</v>
      </c>
      <c r="K53" s="3614" t="s">
        <v>1356</v>
      </c>
      <c r="L53" s="3614"/>
      <c r="M53" s="2523">
        <f t="shared" ref="M53:O54" ca="1" si="0">D55</f>
        <v>2</v>
      </c>
      <c r="N53" s="3463" t="str">
        <f t="shared" si="0"/>
        <v>销售额×税（费）率</v>
      </c>
      <c r="O53" s="2524" t="str">
        <f t="shared" si="0"/>
        <v>免征</v>
      </c>
    </row>
    <row r="54" spans="1:35" ht="12" customHeight="1">
      <c r="A54" s="3474" t="s">
        <v>1357</v>
      </c>
      <c r="B54" s="3638" t="s">
        <v>2291</v>
      </c>
      <c r="C54" s="3639"/>
      <c r="D54" s="1087">
        <f ca="1">C68</f>
        <v>164</v>
      </c>
      <c r="E54" s="327" t="s">
        <v>1358</v>
      </c>
      <c r="F54" s="2552">
        <f>'数据-取费表'!B41</f>
        <v>5.6000000000000001E-2</v>
      </c>
      <c r="G54" s="2553"/>
      <c r="H54" s="2554"/>
      <c r="I54" s="1807"/>
      <c r="J54" s="3463">
        <v>3</v>
      </c>
      <c r="K54" s="3614" t="s">
        <v>1359</v>
      </c>
      <c r="L54" s="3614"/>
      <c r="M54" s="2523">
        <f t="shared" ca="1" si="0"/>
        <v>1741</v>
      </c>
      <c r="N54" s="3463" t="str">
        <f t="shared" si="0"/>
        <v>增值额×税（费）率</v>
      </c>
      <c r="O54" s="2525" t="str">
        <f t="shared" si="0"/>
        <v>免征</v>
      </c>
    </row>
    <row r="55" spans="1:35" ht="24" customHeight="1">
      <c r="A55" s="3673" t="s">
        <v>1360</v>
      </c>
      <c r="B55" s="3651"/>
      <c r="C55" s="3651"/>
      <c r="D55" s="3460">
        <f ca="1">IF(H55="个人住宅",0,ROUND(D45*I55,0))</f>
        <v>2</v>
      </c>
      <c r="E55" s="3473" t="s">
        <v>1361</v>
      </c>
      <c r="F55" s="2552" t="str">
        <f>IF(H55="正常",I55,"免征")</f>
        <v>免征</v>
      </c>
      <c r="G55" s="2553"/>
      <c r="H55" s="2548"/>
      <c r="I55" s="165">
        <f>'数据-取费表'!B49</f>
        <v>5.0000000000000001E-4</v>
      </c>
      <c r="J55" s="3463">
        <f>IF(H59="非个人房产","",4)</f>
        <v>4</v>
      </c>
      <c r="K55" s="3614" t="str">
        <f>IF(H59="非个人房产","——","个人所得税")</f>
        <v>个人所得税</v>
      </c>
      <c r="L55" s="3614"/>
      <c r="M55" s="2526">
        <f ca="1">D59</f>
        <v>29</v>
      </c>
      <c r="N55" s="3464" t="str">
        <f>E59</f>
        <v>差额计税</v>
      </c>
      <c r="O55" s="2527">
        <f>F59</f>
        <v>0.01</v>
      </c>
    </row>
    <row r="56" spans="1:35" ht="24.75">
      <c r="A56" s="3673" t="s">
        <v>1362</v>
      </c>
      <c r="B56" s="3651"/>
      <c r="C56" s="3651"/>
      <c r="D56" s="3460">
        <f ca="1">IF(H56="个人住宅",D57,D58)</f>
        <v>1741</v>
      </c>
      <c r="E56" s="3473" t="s">
        <v>1363</v>
      </c>
      <c r="F56" s="2552" t="str">
        <f>IF(H56="正常",F58,"免征")</f>
        <v>免征</v>
      </c>
      <c r="G56" s="2555" t="s">
        <v>1364</v>
      </c>
      <c r="H56" s="2556"/>
      <c r="I56" s="1808"/>
      <c r="J56" s="3463"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2.75">
      <c r="A57" s="3474" t="s">
        <v>1340</v>
      </c>
      <c r="B57" s="3638" t="s">
        <v>1365</v>
      </c>
      <c r="C57" s="3639"/>
      <c r="D57" s="1590">
        <v>0</v>
      </c>
      <c r="E57" s="324" t="s">
        <v>1342</v>
      </c>
      <c r="F57" s="302"/>
      <c r="G57" s="2553"/>
      <c r="H57" s="2557"/>
      <c r="I57" s="1808"/>
      <c r="J57" s="3614">
        <f>IF(AND(J55="",J56=""),4,IF(项目基本情况!K6="上海银行",'结果表(车库)'!J56+1,'结果表(车库)'!J55+1))</f>
        <v>5</v>
      </c>
      <c r="K57" s="3614" t="s">
        <v>1366</v>
      </c>
      <c r="L57" s="2528" t="s">
        <v>1367</v>
      </c>
      <c r="M57" s="2529"/>
      <c r="N57" s="2530">
        <f ca="1">SUMIF(M52:M56,"&lt;9e307")</f>
        <v>1772</v>
      </c>
      <c r="O57" s="2531"/>
      <c r="P57" s="2688">
        <f ca="1">N57/M49</f>
        <v>0.57607282184655395</v>
      </c>
    </row>
    <row r="58" spans="1:35" ht="24.75">
      <c r="A58" s="3474" t="s">
        <v>1351</v>
      </c>
      <c r="B58" s="3638" t="s">
        <v>1368</v>
      </c>
      <c r="C58" s="3637"/>
      <c r="D58" s="3460">
        <f ca="1">IF(H58="转让取得",C81,C97)</f>
        <v>1741</v>
      </c>
      <c r="E58" s="3473" t="s">
        <v>1363</v>
      </c>
      <c r="F58" s="302" t="s">
        <v>28</v>
      </c>
      <c r="G58" s="2553"/>
      <c r="H58" s="2556"/>
      <c r="I58" s="1808"/>
      <c r="J58" s="3614"/>
      <c r="K58" s="3614"/>
      <c r="L58" s="2528" t="s">
        <v>1369</v>
      </c>
      <c r="M58" s="2532"/>
      <c r="N58" s="2533" t="str">
        <f ca="1">NUMBERSTRING(INT(N57*10000),2)&amp;"元整"</f>
        <v>壹仟柒佰柒拾贰万元整</v>
      </c>
      <c r="O58" s="2534"/>
    </row>
    <row r="59" spans="1:35" ht="24.75" thickBot="1">
      <c r="A59" s="3618" t="s">
        <v>1370</v>
      </c>
      <c r="B59" s="3619"/>
      <c r="C59" s="3619"/>
      <c r="D59" s="2558">
        <f ca="1">IF(H59="非个人房产","——",IF(H59="个人住宅（满五唯一有凭证）",0,IF(H59="个人其他（无凭证）",ROUND(D45*F59,0),ROUND(C67*F59,0))))</f>
        <v>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16">
        <f>J57+1</f>
        <v>6</v>
      </c>
      <c r="K59" s="3614" t="s">
        <v>1371</v>
      </c>
      <c r="L59" s="3463" t="s">
        <v>1367</v>
      </c>
      <c r="M59" s="2535"/>
      <c r="N59" s="2536">
        <f ca="1">M49-N57</f>
        <v>1304</v>
      </c>
      <c r="O59" s="2537"/>
    </row>
    <row r="60" spans="1:35" ht="12" customHeight="1">
      <c r="A60" s="1809"/>
      <c r="B60" s="1747"/>
      <c r="C60" s="1747"/>
      <c r="D60" s="1747"/>
      <c r="E60" s="1578"/>
      <c r="F60" s="1808"/>
      <c r="G60" s="1808"/>
      <c r="H60" s="1810"/>
      <c r="I60" s="129"/>
      <c r="J60" s="3617"/>
      <c r="K60" s="3614"/>
      <c r="L60" s="2528" t="s">
        <v>1369</v>
      </c>
      <c r="M60" s="2532"/>
      <c r="N60" s="2533" t="str">
        <f ca="1">NUMBERSTRING(INT(N59*10000),2)&amp;"元整"</f>
        <v>壹仟叁佰零肆万元整</v>
      </c>
      <c r="O60" s="2534"/>
    </row>
    <row r="61" spans="1:35" ht="13.5" thickBot="1">
      <c r="A61" s="3672" t="s">
        <v>1372</v>
      </c>
      <c r="B61" s="3672"/>
      <c r="C61" s="3672"/>
      <c r="D61" s="3672"/>
      <c r="E61" s="3672"/>
      <c r="F61" s="1808"/>
      <c r="G61" s="1808"/>
      <c r="H61" s="1810"/>
      <c r="I61" s="129"/>
      <c r="J61" s="3463">
        <f>J59+1</f>
        <v>7</v>
      </c>
      <c r="K61" s="3614" t="s">
        <v>1373</v>
      </c>
      <c r="L61" s="3614"/>
      <c r="M61" s="2538"/>
      <c r="N61" s="2539">
        <f ca="1">ROUND(N59*10000/'数据-汇总表'!E3,0)</f>
        <v>226</v>
      </c>
      <c r="O61" s="2540"/>
    </row>
    <row r="62" spans="1:35" ht="12.75">
      <c r="A62" s="3633" t="s">
        <v>1374</v>
      </c>
      <c r="B62" s="3634"/>
      <c r="C62" s="3468"/>
      <c r="D62" s="3468" t="s">
        <v>1375</v>
      </c>
      <c r="E62" s="166" t="s">
        <v>1376</v>
      </c>
      <c r="F62" s="1808"/>
      <c r="G62" s="1808"/>
      <c r="H62" s="1810"/>
      <c r="I62" s="129"/>
    </row>
    <row r="63" spans="1:35" ht="12.75">
      <c r="A63" s="173" t="s">
        <v>330</v>
      </c>
      <c r="B63" s="167" t="s">
        <v>1377</v>
      </c>
      <c r="C63" s="2562">
        <f ca="1">ROUND((C64+C65)/(1+'数据-取费表'!C42),0)</f>
        <v>2930</v>
      </c>
      <c r="D63" s="167"/>
      <c r="E63" s="168"/>
      <c r="F63" s="1808"/>
      <c r="G63" s="1808"/>
      <c r="H63" s="1810"/>
      <c r="I63" s="129"/>
      <c r="J63" s="3601" t="s">
        <v>1378</v>
      </c>
      <c r="K63" s="3461" t="s">
        <v>1379</v>
      </c>
      <c r="L63" s="3461">
        <f ca="1">IF(M49&gt;10000,M49*0.5%,IF(AND(M49&gt;1000,M49&lt;=10000),M49*1%,IF(AND(M49&gt;100,M49&lt;=1000),M49*3%,IF(AND(M49&gt;10,M49&lt;=100),M49*5%,M49*8%))))</f>
        <v>30.76</v>
      </c>
      <c r="M63" s="302">
        <f ca="1">ROUND(L63,1)</f>
        <v>30.8</v>
      </c>
      <c r="N63" s="2541"/>
      <c r="Z63" s="1752"/>
      <c r="AI63" s="1753"/>
    </row>
    <row r="64" spans="1:35" ht="14.25" customHeight="1">
      <c r="A64" s="169" t="s">
        <v>325</v>
      </c>
      <c r="B64" s="170" t="s">
        <v>1380</v>
      </c>
      <c r="C64" s="2563">
        <f ca="1">D45</f>
        <v>3076</v>
      </c>
      <c r="D64" s="170" t="s">
        <v>26</v>
      </c>
      <c r="E64" s="172"/>
      <c r="F64" s="1808"/>
      <c r="G64" s="1808"/>
      <c r="H64" s="1810"/>
      <c r="I64" s="129"/>
      <c r="J64" s="3601"/>
      <c r="K64" s="3461" t="s">
        <v>1381</v>
      </c>
      <c r="L64" s="3461">
        <f ca="1">IF(M49&gt;2000,M49*0.5%,IF(AND(M49&gt;1000,M49&lt;=2000),M49*0.6%,IF(AND(M49&gt;500,M49&lt;=1000),M49*0.7%,IF(AND(M49&gt;200,M49&lt;=500),M49*0.8%,IF(AND(M49&gt;100,M49&lt;=200),M49*0.9%,IF(AND(M49&gt;50,M49&lt;=100),M49*1%,IF(AND(M49&gt;20,M49&lt;=50),M49*1.5%,IF(AND(M49&gt;10,M49&lt;=20),M49*2%,IF(AND(M49&gt;1,M49&lt;=10),M49*2.5%)))))))))</f>
        <v>15.38</v>
      </c>
      <c r="M64" s="302">
        <f t="shared" ref="M64:M65" ca="1" si="1">ROUND(L64,1)</f>
        <v>15.4</v>
      </c>
      <c r="N64" s="2542" t="s">
        <v>1382</v>
      </c>
      <c r="Z64" s="1752"/>
      <c r="AI64" s="1753"/>
    </row>
    <row r="65" spans="1:35" ht="14.25" customHeight="1">
      <c r="A65" s="169" t="s">
        <v>326</v>
      </c>
      <c r="B65" s="170" t="s">
        <v>1383</v>
      </c>
      <c r="C65" s="2564"/>
      <c r="D65" s="170"/>
      <c r="E65" s="172"/>
      <c r="F65" s="1808"/>
      <c r="G65" s="1808"/>
      <c r="H65" s="1810"/>
      <c r="I65" s="129"/>
      <c r="J65" s="3601"/>
      <c r="K65" s="3461" t="s">
        <v>1384</v>
      </c>
      <c r="L65" s="3461">
        <f ca="1">IF(M49&gt;1000,M49*0.1%,IF(AND(M49&gt;500,M49&lt;=1000),M49*0.5%,IF(AND(M49&gt;50,M49&lt;=500),M49*1%,IF(AND(M49&gt;1,M49&lt;=50),M49*1.5%))))</f>
        <v>3.0760000000000001</v>
      </c>
      <c r="M65" s="302">
        <f t="shared" ca="1" si="1"/>
        <v>3.1</v>
      </c>
      <c r="N65" s="2542" t="s">
        <v>1382</v>
      </c>
      <c r="Z65" s="1752"/>
      <c r="AI65" s="1753"/>
    </row>
    <row r="66" spans="1:35" ht="14.25" customHeight="1">
      <c r="A66" s="173" t="s">
        <v>327</v>
      </c>
      <c r="B66" s="174" t="s">
        <v>1385</v>
      </c>
      <c r="C66" s="2565"/>
      <c r="D66" s="174" t="s">
        <v>26</v>
      </c>
      <c r="E66" s="1338" t="s">
        <v>671</v>
      </c>
      <c r="F66" s="1808"/>
      <c r="G66" s="1808"/>
      <c r="H66" s="1810"/>
      <c r="I66" s="129"/>
      <c r="J66" s="3601"/>
      <c r="K66" s="3461" t="s">
        <v>1386</v>
      </c>
      <c r="L66" s="3461">
        <f ca="1">M49*0.5%</f>
        <v>15.38</v>
      </c>
      <c r="M66" s="302">
        <f ca="1">IF(L66&gt;0.5,0.5,ROUND(L66,0))</f>
        <v>0.5</v>
      </c>
      <c r="N66" s="2542" t="s">
        <v>1387</v>
      </c>
      <c r="Z66" s="1752"/>
      <c r="AI66" s="1753"/>
    </row>
    <row r="67" spans="1:35" ht="14.25" customHeight="1">
      <c r="A67" s="173" t="s">
        <v>328</v>
      </c>
      <c r="B67" s="174" t="s">
        <v>1388</v>
      </c>
      <c r="C67" s="2566">
        <f ca="1">C63-C66</f>
        <v>2930</v>
      </c>
      <c r="D67" s="170" t="s">
        <v>26</v>
      </c>
      <c r="E67" s="172"/>
      <c r="F67" s="1808"/>
      <c r="G67" s="1808"/>
      <c r="H67" s="1810"/>
      <c r="I67" s="129"/>
      <c r="J67" s="3601"/>
      <c r="K67" s="3461" t="s">
        <v>1389</v>
      </c>
      <c r="L67" s="346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164</v>
      </c>
      <c r="D68" s="2568">
        <f>'数据-取费表'!B41</f>
        <v>5.6000000000000001E-2</v>
      </c>
      <c r="E68" s="178"/>
      <c r="F68" s="1808"/>
      <c r="G68" s="1808"/>
      <c r="H68" s="1810"/>
      <c r="I68" s="129"/>
      <c r="J68" s="3601"/>
      <c r="K68" s="3461" t="s">
        <v>1391</v>
      </c>
      <c r="L68" s="3461">
        <f ca="1">IF(M49&gt;10000,M49*0.5%,IF(AND(M49&gt;5000,M49&lt;=10000),M49*1%,IF(AND(M49&gt;1000,M49&lt;=5000),M49*2%,IF(AND(M49&gt;200,M49&lt;=1000),M49*3%,M49*5%))))</f>
        <v>61.52</v>
      </c>
      <c r="M68" s="302">
        <f ca="1">ROUND(L68,1)</f>
        <v>61.5</v>
      </c>
      <c r="N68" s="2541"/>
      <c r="Z68" s="1752"/>
      <c r="AI68" s="1753"/>
    </row>
    <row r="69" spans="1:35" s="1772" customFormat="1" ht="16.5" customHeight="1">
      <c r="A69" s="1811"/>
      <c r="B69" s="1812"/>
      <c r="C69" s="1813"/>
      <c r="D69" s="1814"/>
      <c r="E69" s="1815"/>
      <c r="F69" s="1578"/>
      <c r="G69" s="1578"/>
      <c r="H69" s="1577"/>
      <c r="I69" s="1747"/>
      <c r="J69" s="3601"/>
      <c r="K69" s="3461" t="s">
        <v>1392</v>
      </c>
      <c r="L69" s="3461"/>
      <c r="M69" s="302">
        <f ca="1">ROUND(SUM(M63:M68),0)</f>
        <v>114</v>
      </c>
      <c r="N69" s="2543">
        <f ca="1">M69/M49</f>
        <v>3.7061118335500652E-2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1" t="s">
        <v>1393</v>
      </c>
      <c r="B70" s="3642"/>
      <c r="C70" s="3642"/>
      <c r="D70" s="3642"/>
      <c r="E70" s="3642"/>
      <c r="F70" s="3642"/>
      <c r="G70" s="3642"/>
      <c r="H70" s="364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3" t="s">
        <v>1374</v>
      </c>
      <c r="B71" s="3634"/>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2930</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18</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38" t="s">
        <v>1401</v>
      </c>
      <c r="F76" s="3637"/>
      <c r="G76" s="3637"/>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18</v>
      </c>
      <c r="D78" s="2575">
        <f>'数据-取费表'!B43</f>
        <v>6.000000000000001E-3</v>
      </c>
      <c r="E78" s="3630" t="s">
        <v>1405</v>
      </c>
      <c r="F78" s="3631"/>
      <c r="G78" s="3631"/>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2912</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161.77777777777777</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1741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1" t="s">
        <v>1409</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3" t="s">
        <v>1374</v>
      </c>
      <c r="B84" s="3634"/>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2930</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18</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03" t="s">
        <v>2128</v>
      </c>
      <c r="H90" s="360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30" t="s">
        <v>1418</v>
      </c>
      <c r="F91" s="3631"/>
      <c r="G91" s="363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30" t="s">
        <v>1421</v>
      </c>
      <c r="F92" s="3631"/>
      <c r="G92" s="3631"/>
      <c r="H92" s="3632"/>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18</v>
      </c>
      <c r="D93" s="2575">
        <f>'数据-取费表'!B43</f>
        <v>6.000000000000001E-3</v>
      </c>
      <c r="E93" s="3630" t="s">
        <v>1405</v>
      </c>
      <c r="F93" s="3631"/>
      <c r="G93" s="3631"/>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74" t="s">
        <v>1425</v>
      </c>
      <c r="F94" s="3675"/>
      <c r="G94" s="3675"/>
      <c r="H94" s="36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2912</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161.77777777777777</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1741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6" t="s">
        <v>1427</v>
      </c>
      <c r="B100" s="3577"/>
      <c r="C100" s="3577"/>
      <c r="D100" s="3615"/>
      <c r="E100" s="3577" t="s">
        <v>1428</v>
      </c>
      <c r="F100" s="3577"/>
      <c r="G100" s="3577"/>
      <c r="H100" s="3615"/>
      <c r="I100" s="129"/>
    </row>
    <row r="101" spans="1:35" ht="18.75" customHeight="1">
      <c r="A101" s="3623" t="s">
        <v>1429</v>
      </c>
      <c r="B101" s="3624"/>
      <c r="C101" s="2583" t="str">
        <f>C4</f>
        <v>成本法(车库)</v>
      </c>
      <c r="D101" s="2584" t="str">
        <f>D4</f>
        <v>收益法(车库)</v>
      </c>
      <c r="E101" s="3597" t="s">
        <v>1430</v>
      </c>
      <c r="F101" s="3598"/>
      <c r="G101" s="1827" t="s">
        <v>1431</v>
      </c>
      <c r="H101" s="2593">
        <f ca="1">H118</f>
        <v>3076</v>
      </c>
      <c r="I101" s="129"/>
    </row>
    <row r="102" spans="1:35" ht="18.75" customHeight="1">
      <c r="A102" s="3625" t="s">
        <v>1432</v>
      </c>
      <c r="B102" s="2582" t="s">
        <v>1431</v>
      </c>
      <c r="C102" s="2583">
        <f ca="1">IF(D32="楼面单价",ROUND(C19,0),C19)</f>
        <v>4287</v>
      </c>
      <c r="D102" s="2584">
        <f ca="1">IF(D32="楼面单价",ROUND(D19,0),D19)</f>
        <v>2268</v>
      </c>
      <c r="E102" s="3597"/>
      <c r="F102" s="3598"/>
      <c r="G102" s="1827" t="s">
        <v>1433</v>
      </c>
      <c r="H102" s="2553">
        <f ca="1">I118</f>
        <v>3870</v>
      </c>
      <c r="I102" s="129"/>
    </row>
    <row r="103" spans="1:35" ht="42.75" customHeight="1">
      <c r="A103" s="3625"/>
      <c r="B103" s="2582" t="s">
        <v>1433</v>
      </c>
      <c r="C103" s="2585">
        <f ca="1">C20</f>
        <v>5394</v>
      </c>
      <c r="D103" s="2586">
        <f ca="1">D20</f>
        <v>2853</v>
      </c>
      <c r="E103" s="3590" t="s">
        <v>1434</v>
      </c>
      <c r="F103" s="3591"/>
      <c r="G103" s="1828" t="s">
        <v>1435</v>
      </c>
      <c r="H103" s="2593">
        <f>IF(D36="正常操作",H104+H105+H106,H105+H106)</f>
        <v>0</v>
      </c>
      <c r="I103" s="129"/>
    </row>
    <row r="104" spans="1:35" ht="18.75" customHeight="1">
      <c r="A104" s="3625" t="s">
        <v>1436</v>
      </c>
      <c r="B104" s="2587" t="s">
        <v>1431</v>
      </c>
      <c r="C104" s="2588">
        <f ca="1">H118</f>
        <v>3076</v>
      </c>
      <c r="D104" s="2589"/>
      <c r="E104" s="1674" t="s">
        <v>1437</v>
      </c>
      <c r="F104" s="1666"/>
      <c r="G104" s="1828" t="s">
        <v>1435</v>
      </c>
      <c r="H104" s="2594">
        <f>IF(D36="同一抵押权人同一抵押物续贷",C36&amp;"（续贷，未扣减，详见特别提示）",C36)</f>
        <v>0</v>
      </c>
      <c r="I104" s="129"/>
    </row>
    <row r="105" spans="1:35" ht="18.75" customHeight="1" thickBot="1">
      <c r="A105" s="3635"/>
      <c r="B105" s="2590" t="s">
        <v>1433</v>
      </c>
      <c r="C105" s="2591">
        <f ca="1">I118</f>
        <v>3870</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6" t="str">
        <f>IF(项目基本情况!E8="已注销","——","3.房地产抵押价值")</f>
        <v>3.房地产抵押价值</v>
      </c>
      <c r="F107" s="3598"/>
      <c r="G107" s="1827" t="s">
        <v>1431</v>
      </c>
      <c r="H107" s="2593">
        <f ca="1">IF(E107="——","——",H101-H103)</f>
        <v>3076</v>
      </c>
      <c r="I107" s="129"/>
    </row>
    <row r="108" spans="1:35" ht="18.75" customHeight="1">
      <c r="A108" s="129"/>
      <c r="B108" s="129"/>
      <c r="C108" s="129"/>
      <c r="D108" s="129"/>
      <c r="E108" s="3626"/>
      <c r="F108" s="3598"/>
      <c r="G108" s="1827" t="s">
        <v>1433</v>
      </c>
      <c r="H108" s="2553">
        <f ca="1">IF(H107=H101,H102,ROUND(H107*10000/'数据-汇总表'!E3,0))</f>
        <v>3870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8"/>
      <c r="G109" s="1827" t="s">
        <v>1431</v>
      </c>
      <c r="H109" s="2596" t="str">
        <f>IF(E109="——","——",H101-H105-H106)</f>
        <v>——</v>
      </c>
      <c r="I109" s="129"/>
    </row>
    <row r="110" spans="1:35" ht="18.75" customHeight="1">
      <c r="A110" s="129"/>
      <c r="B110" s="129"/>
      <c r="C110" s="129"/>
      <c r="D110" s="129"/>
      <c r="E110" s="3626"/>
      <c r="F110" s="3598"/>
      <c r="G110" s="1827" t="s">
        <v>1433</v>
      </c>
      <c r="H110" s="2553"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613"/>
      <c r="G111" s="1827" t="s">
        <v>1431</v>
      </c>
      <c r="H111" s="2593">
        <f ca="1">IF(E111="——","——",N59)</f>
        <v>1304</v>
      </c>
      <c r="I111" s="129"/>
    </row>
    <row r="112" spans="1:35" ht="18.75" customHeight="1" thickBot="1">
      <c r="A112" s="129"/>
      <c r="B112" s="129"/>
      <c r="C112" s="129"/>
      <c r="D112" s="129"/>
      <c r="E112" s="3628"/>
      <c r="F112" s="3629"/>
      <c r="G112" s="1830" t="s">
        <v>1433</v>
      </c>
      <c r="H112" s="2597">
        <f ca="1">IF(E111="——","——",N61)</f>
        <v>226</v>
      </c>
      <c r="I112" s="129"/>
    </row>
    <row r="113" spans="1:27" ht="18.75" customHeight="1">
      <c r="A113" s="129"/>
      <c r="B113" s="129"/>
      <c r="C113" s="129"/>
      <c r="D113" s="129"/>
      <c r="E113" s="3636" t="s">
        <v>1439</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3" t="s">
        <v>1441</v>
      </c>
      <c r="B115" s="3644"/>
      <c r="C115" s="3644"/>
      <c r="D115" s="3644"/>
      <c r="E115" s="3644"/>
      <c r="F115" s="3644"/>
      <c r="G115" s="3644"/>
      <c r="H115" s="3644"/>
      <c r="I115" s="3645"/>
    </row>
    <row r="116" spans="1:27" ht="27" customHeight="1">
      <c r="A116" s="3605" t="s">
        <v>1442</v>
      </c>
      <c r="B116" s="3585" t="s">
        <v>1443</v>
      </c>
      <c r="C116" s="3585" t="s">
        <v>1444</v>
      </c>
      <c r="D116" s="3587" t="s">
        <v>1445</v>
      </c>
      <c r="E116" s="3588"/>
      <c r="F116" s="3589" t="s">
        <v>1446</v>
      </c>
      <c r="G116" s="3589"/>
      <c r="H116" s="3605" t="s">
        <v>1447</v>
      </c>
      <c r="I116" s="3605"/>
    </row>
    <row r="117" spans="1:27" ht="18.75" customHeight="1">
      <c r="A117" s="3605"/>
      <c r="B117" s="3586"/>
      <c r="C117" s="3586"/>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7948.170000000001</v>
      </c>
      <c r="C118" s="3462">
        <f>M19</f>
        <v>2039.97</v>
      </c>
      <c r="D118" s="3462">
        <f ca="1">ROUND(IF(D32="总价",C34,E118*B118/10000),0)</f>
        <v>1224</v>
      </c>
      <c r="E118" s="3462">
        <f ca="1">ROUND(IF(C33="自定义",IF(D32="楼面单价",C34,D118*10000/B118),I118-G118),0)</f>
        <v>1540</v>
      </c>
      <c r="F118" s="3462">
        <f ca="1">ROUND(IF(D32="总价",C35,G118*B118/10000),0)</f>
        <v>1852</v>
      </c>
      <c r="G118" s="3462">
        <f ca="1">ROUND(IF(D32="楼面单价",C35,F118*10000/B118),0)</f>
        <v>2330</v>
      </c>
      <c r="H118" s="3462">
        <f ca="1">ROUND(IF(D32="总价",C32,I118*B118/10000),0)</f>
        <v>3076</v>
      </c>
      <c r="I118" s="3462">
        <f ca="1">ROUND(IF(D32="楼面单价",C32,H118*10000/B118),0)</f>
        <v>3870</v>
      </c>
    </row>
    <row r="119" spans="1:27" ht="18.75" customHeight="1">
      <c r="A119" s="3605" t="s">
        <v>1451</v>
      </c>
      <c r="B119" s="3605"/>
      <c r="C119" s="3605"/>
      <c r="D119" s="3609" t="str">
        <f ca="1">NUMBERSTRING(INT(D118*10000),2)&amp;"元整"</f>
        <v>壹仟贰佰贰拾肆万元整</v>
      </c>
      <c r="E119" s="3610"/>
      <c r="F119" s="3609" t="str">
        <f ca="1">NUMBERSTRING(INT(F118*10000),2)&amp;"元整"</f>
        <v>壹仟捌佰伍拾贰万元整</v>
      </c>
      <c r="G119" s="3610"/>
      <c r="H119" s="3609" t="str">
        <f ca="1">NUMBERSTRING(INT(H118*10000),2)&amp;"元整"</f>
        <v>叁仟零柒拾陆万元整</v>
      </c>
      <c r="I119" s="3610"/>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1451</v>
      </c>
      <c r="B121" s="3611"/>
      <c r="C121" s="3610"/>
      <c r="D121" s="3609" t="str">
        <f>IF(D120=0,"零元整",NUMBERSTRING(INT(D120*10000),2)&amp;"元整")</f>
        <v>零元整</v>
      </c>
      <c r="E121" s="3611"/>
      <c r="F121" s="3611"/>
      <c r="G121" s="3611"/>
      <c r="H121" s="3611"/>
      <c r="I121" s="3610"/>
      <c r="AA121" s="725"/>
    </row>
    <row r="122" spans="1:27" ht="18.75" customHeight="1">
      <c r="A122" s="3613" t="str">
        <f>IF(项目基本情况!B9="房地产市场价值","",MID(E107,3,LEN(E107)-2))</f>
        <v>房地产抵押价值</v>
      </c>
      <c r="B122" s="3613"/>
      <c r="C122" s="3613"/>
      <c r="D122" s="3606">
        <f ca="1">H107</f>
        <v>3076</v>
      </c>
      <c r="E122" s="3607"/>
      <c r="F122" s="3607"/>
      <c r="G122" s="3607"/>
      <c r="H122" s="3607"/>
      <c r="I122" s="3608"/>
      <c r="AA122" s="725"/>
    </row>
    <row r="123" spans="1:27" ht="18.75" customHeight="1">
      <c r="A123" s="3605" t="s">
        <v>1451</v>
      </c>
      <c r="B123" s="3605"/>
      <c r="C123" s="3605"/>
      <c r="D123" s="3609" t="str">
        <f ca="1">NUMBERSTRING(INT(D122*10000),2)&amp;"元整"</f>
        <v>叁仟零柒拾陆万元整</v>
      </c>
      <c r="E123" s="3611"/>
      <c r="F123" s="3611"/>
      <c r="G123" s="3611"/>
      <c r="H123" s="3611"/>
      <c r="I123" s="3610"/>
      <c r="AA123" s="725"/>
    </row>
    <row r="124" spans="1:27" ht="18.75" customHeight="1">
      <c r="A124" s="3613" t="str">
        <f>IF(项目基本情况!B9="房地产市场价值","",MID(E109,3,LEN(E109)-2))</f>
        <v/>
      </c>
      <c r="B124" s="3613"/>
      <c r="C124" s="3613"/>
      <c r="D124" s="3606" t="str">
        <f>H109</f>
        <v>——</v>
      </c>
      <c r="E124" s="3607"/>
      <c r="F124" s="3607"/>
      <c r="G124" s="3607"/>
      <c r="H124" s="3607"/>
      <c r="I124" s="3608"/>
      <c r="AA124" s="725"/>
    </row>
    <row r="125" spans="1:27" ht="18.75" customHeight="1">
      <c r="A125" s="3605" t="s">
        <v>1451</v>
      </c>
      <c r="B125" s="3605"/>
      <c r="C125" s="3605"/>
      <c r="D125" s="3609" t="e">
        <f>NUMBERSTRING(INT(D124*10000),2)&amp;"元整"</f>
        <v>#VALUE!</v>
      </c>
      <c r="E125" s="3611"/>
      <c r="F125" s="3611"/>
      <c r="G125" s="3611"/>
      <c r="H125" s="3611"/>
      <c r="I125" s="3610"/>
      <c r="AA125" s="725"/>
    </row>
    <row r="126" spans="1:27" ht="18.75" customHeight="1">
      <c r="A126" s="3613" t="str">
        <f>IF(项目基本情况!B9="房地产市场价值","",MID(E111,3,LEN(E111)-2))</f>
        <v>抵押净值</v>
      </c>
      <c r="B126" s="3613"/>
      <c r="C126" s="3613"/>
      <c r="D126" s="3606">
        <f ca="1">H111</f>
        <v>1304</v>
      </c>
      <c r="E126" s="3607"/>
      <c r="F126" s="3607"/>
      <c r="G126" s="3607"/>
      <c r="H126" s="3607"/>
      <c r="I126" s="3608"/>
      <c r="AA126" s="725"/>
    </row>
    <row r="127" spans="1:27" ht="18.75" customHeight="1">
      <c r="A127" s="3605" t="s">
        <v>1451</v>
      </c>
      <c r="B127" s="3605"/>
      <c r="C127" s="3605"/>
      <c r="D127" s="3609" t="str">
        <f ca="1">NUMBERSTRING(INT(D126*10000),2)&amp;"元整"</f>
        <v>壹仟叁佰零肆万元整</v>
      </c>
      <c r="E127" s="3611"/>
      <c r="F127" s="3611"/>
      <c r="G127" s="3611"/>
      <c r="H127" s="3611"/>
      <c r="I127" s="3610"/>
      <c r="AA127" s="725"/>
    </row>
    <row r="128" spans="1:27" ht="21.75" customHeight="1">
      <c r="A128" s="3612" t="s">
        <v>1452</v>
      </c>
      <c r="B128" s="3612"/>
      <c r="C128" s="3612"/>
      <c r="D128" s="3612"/>
      <c r="E128" s="3612"/>
      <c r="F128" s="3612"/>
      <c r="G128" s="3612"/>
      <c r="H128" s="3612"/>
      <c r="I128" s="361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受贵公司委托，我公司对北京市海淀区忍冬路5号院房地产抵押价值进行了预评估。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估价对象为北京市海淀区忍冬路5号院房地产，为北京万毓房地产开发有限公司所有。根据《国有土地使用证》[]，估价对象（分摊）出让国有建设用地使用权面积为14812.1平方米，建筑面积为57711.31平方米。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忍冬路5号院房地产,属北京万毓房地产开发有限公司开发建设的，该项目尚在开发建设中。根据《国有土地使用证》[]，估价对象（分摊）出让国有建设用地使用权面积为14812.1平方米，规划建筑面积为57711.31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为估价委托人在向光大银行办理贷款手续过程中，确定房地产抵押贷款额度提供参考依据而评估房地产抵押价值。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G36" sqref="G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3401</v>
      </c>
      <c r="C1" s="198"/>
      <c r="D1" s="198"/>
      <c r="E1" s="198"/>
      <c r="F1" s="198"/>
      <c r="G1" s="1126">
        <f>MATCH(B1,'数据-取费表'!A6:A16,0)+5</f>
        <v>8</v>
      </c>
    </row>
    <row r="2" spans="1:9" s="200" customFormat="1" ht="18" customHeight="1">
      <c r="A2" s="201" t="s">
        <v>1461</v>
      </c>
      <c r="B2" s="202">
        <f ca="1">IF(D2="——",C52,C52-E2)</f>
        <v>4287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5394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1366</v>
      </c>
      <c r="D5" s="211" t="s">
        <v>1468</v>
      </c>
      <c r="E5" s="212" t="s">
        <v>1469</v>
      </c>
      <c r="F5" s="212" t="s">
        <v>1470</v>
      </c>
      <c r="G5" s="213"/>
    </row>
    <row r="6" spans="1:9" s="214" customFormat="1" ht="13.5" customHeight="1">
      <c r="A6" s="778" t="s">
        <v>1471</v>
      </c>
      <c r="B6" s="215" t="s">
        <v>1472</v>
      </c>
      <c r="C6" s="216">
        <f>基准地价修正!E42</f>
        <v>1171</v>
      </c>
      <c r="D6" s="217"/>
      <c r="E6" s="218"/>
      <c r="F6" s="218"/>
      <c r="G6" s="219"/>
    </row>
    <row r="7" spans="1:9" s="214" customFormat="1" ht="13.5" customHeight="1">
      <c r="A7" s="778" t="s">
        <v>1473</v>
      </c>
      <c r="B7" s="215" t="s">
        <v>1474</v>
      </c>
      <c r="C7" s="220">
        <f>ROUND(C6*F7,0)</f>
        <v>36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159</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159</v>
      </c>
      <c r="D10" s="845">
        <f ca="1">IF(B1="",'数据-汇总表'!E6,IF(INDIRECT("'数据-取费表'!c"&amp;$G$1)="住宅",INDIRECT("'数据-取费表'!s"&amp;$G$1),INDIRECT("'数据-取费表'!k"&amp;$G$1)+INDIRECT("'数据-取费表'!s"&amp;$G$1)))</f>
        <v>7948.170000000001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1476</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1476</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7948.170000000001</v>
      </c>
      <c r="E19" s="211">
        <f>'数据-取费表'!B31</f>
        <v>200</v>
      </c>
      <c r="F19" s="231"/>
      <c r="G19" s="1856" t="s">
        <v>3424</v>
      </c>
    </row>
    <row r="20" spans="1:7" s="214" customFormat="1" ht="13.5" customHeight="1">
      <c r="A20" s="255" t="s">
        <v>1492</v>
      </c>
      <c r="B20" s="210" t="s">
        <v>1493</v>
      </c>
      <c r="C20" s="232">
        <f ca="1">ROUND((C5+C19)*F20,0)</f>
        <v>27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117</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1471</v>
      </c>
      <c r="B23" s="215" t="s">
        <v>1502</v>
      </c>
      <c r="C23" s="1105">
        <f ca="1">ROUND(IF('数据-取费表'!B22&lt;=1,C5*F22*'数据-取费表'!B23,C5*(POWER((1+F22),'数据-取费表'!B23)-1)),0)</f>
        <v>116</v>
      </c>
      <c r="D23" s="238"/>
      <c r="E23" s="238"/>
      <c r="F23" s="239"/>
      <c r="G23" s="240" t="s">
        <v>1503</v>
      </c>
    </row>
    <row r="24" spans="1:7" s="214" customFormat="1" ht="13.5" customHeight="1">
      <c r="A24" s="780" t="s">
        <v>1473</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1475</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70</v>
      </c>
      <c r="D27" s="235">
        <f ca="1">C29</f>
        <v>1E-3</v>
      </c>
      <c r="E27" s="236" t="s">
        <v>1497</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70</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5.33E-2</v>
      </c>
      <c r="D30" s="236" t="s">
        <v>1497</v>
      </c>
      <c r="E30" s="241"/>
      <c r="F30" s="237">
        <f>'数据-取费表'!B41</f>
        <v>5.6000000000000001E-2</v>
      </c>
      <c r="G30" s="234" t="s">
        <v>1519</v>
      </c>
    </row>
    <row r="31" spans="1:7" ht="16.5" customHeight="1">
      <c r="A31" s="209">
        <v>1</v>
      </c>
      <c r="B31" s="210" t="s">
        <v>1520</v>
      </c>
      <c r="C31" s="211">
        <f ca="1">ROUND((C5+C19+C20+C22+C27)/(1-C21-D22-D27-C30),0)</f>
        <v>1708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2255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1987</v>
      </c>
      <c r="D34" s="217"/>
      <c r="E34" s="220"/>
      <c r="F34" s="257">
        <f ca="1">IF('数据-取费表'!B24=0,1,IF(B1="",'数据-取费表'!N16,INDIRECT("'数据-取费表'!n"&amp;$G$1)))</f>
        <v>1</v>
      </c>
      <c r="G34" s="219" t="s">
        <v>1525</v>
      </c>
    </row>
    <row r="35" spans="1:7" ht="13.5" customHeight="1">
      <c r="A35" s="780" t="s">
        <v>351</v>
      </c>
      <c r="B35" s="215" t="s">
        <v>1526</v>
      </c>
      <c r="C35" s="220">
        <f ca="1">ROUND(C34*F35,0)</f>
        <v>79</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159</v>
      </c>
      <c r="D37" s="217">
        <f ca="1">D19</f>
        <v>7948.170000000001</v>
      </c>
      <c r="E37" s="249">
        <f>'数据-取费表'!B35</f>
        <v>200</v>
      </c>
      <c r="F37" s="259"/>
      <c r="G37" s="261" t="s">
        <v>1531</v>
      </c>
    </row>
    <row r="38" spans="1:7" ht="13.5" customHeight="1">
      <c r="A38" s="780" t="s">
        <v>354</v>
      </c>
      <c r="B38" s="215" t="s">
        <v>1532</v>
      </c>
      <c r="C38" s="220">
        <f ca="1">ROUND(C34*F38,0)</f>
        <v>30</v>
      </c>
      <c r="D38" s="220"/>
      <c r="E38" s="220"/>
      <c r="F38" s="259">
        <f>'数据-取费表'!B36</f>
        <v>1.4999999999999999E-2</v>
      </c>
      <c r="G38" s="219" t="s">
        <v>1527</v>
      </c>
    </row>
    <row r="39" spans="1:7" s="214" customFormat="1" ht="13.5" customHeight="1">
      <c r="A39" s="255" t="s">
        <v>1490</v>
      </c>
      <c r="B39" s="210" t="s">
        <v>1493</v>
      </c>
      <c r="C39" s="232">
        <f ca="1">ROUND(C33*F20,0)</f>
        <v>45</v>
      </c>
      <c r="D39" s="232"/>
      <c r="E39" s="232"/>
      <c r="F39" s="233">
        <f>F20</f>
        <v>0.02</v>
      </c>
      <c r="G39" s="234" t="s">
        <v>1535</v>
      </c>
    </row>
    <row r="40" spans="1:7" s="214" customFormat="1" ht="13.5" customHeight="1">
      <c r="A40" s="255" t="s">
        <v>1492</v>
      </c>
      <c r="B40" s="210" t="s">
        <v>1496</v>
      </c>
      <c r="C40" s="1327">
        <f>F21</f>
        <v>0.02</v>
      </c>
      <c r="D40" s="236" t="s">
        <v>1538</v>
      </c>
      <c r="E40" s="232"/>
      <c r="F40" s="233">
        <f>F21</f>
        <v>0.02</v>
      </c>
      <c r="G40" s="234" t="s">
        <v>1539</v>
      </c>
    </row>
    <row r="41" spans="1:7" s="214" customFormat="1" ht="13.5" customHeight="1">
      <c r="A41" s="255" t="s">
        <v>1495</v>
      </c>
      <c r="B41" s="210" t="s">
        <v>1500</v>
      </c>
      <c r="C41" s="232">
        <f ca="1">ROUND(SUM(C42:C43),0)</f>
        <v>96</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1502</v>
      </c>
      <c r="C42" s="238">
        <f ca="1">ROUND(IF('数据-取费表'!B22&lt;=1,C33*F22*'数据-取费表'!B21/2,C33*(POWER((1+F22),'数据-取费表'!B21/2)-1)),0)</f>
        <v>94</v>
      </c>
      <c r="D42" s="238"/>
      <c r="E42" s="238"/>
      <c r="F42" s="239"/>
      <c r="G42" s="3742" t="s">
        <v>1543</v>
      </c>
    </row>
    <row r="43" spans="1:7" ht="13.5" customHeight="1">
      <c r="A43" s="780" t="s">
        <v>347</v>
      </c>
      <c r="B43" s="215" t="s">
        <v>1505</v>
      </c>
      <c r="C43" s="238">
        <f ca="1">ROUND(IF('数据-取费表'!B22&lt;=1,C39*F22*'数据-取费表'!B21/2,C39*(POWER((1+F22),'数据-取费表'!B21/2)-1)),0)</f>
        <v>2</v>
      </c>
      <c r="D43" s="238"/>
      <c r="E43" s="238"/>
      <c r="F43" s="239"/>
      <c r="G43" s="3743"/>
    </row>
    <row r="44" spans="1:7" ht="13.5" customHeight="1">
      <c r="A44" s="780" t="s">
        <v>348</v>
      </c>
      <c r="B44" s="215" t="s">
        <v>1508</v>
      </c>
      <c r="C44" s="238">
        <f ca="1">ROUND(IF('数据-取费表'!B22&lt;=1,C40*F22*'数据-取费表'!B21/2,C40*(POWER((1+F22),'数据-取费表'!B21/2)-1)),4)</f>
        <v>8.0000000000000004E-4</v>
      </c>
      <c r="D44" s="238"/>
      <c r="E44" s="238"/>
      <c r="F44" s="239"/>
      <c r="G44" s="3744"/>
    </row>
    <row r="45" spans="1:7" s="214" customFormat="1" ht="13.5" customHeight="1">
      <c r="A45" s="255" t="s">
        <v>1499</v>
      </c>
      <c r="B45" s="244" t="s">
        <v>1512</v>
      </c>
      <c r="C45" s="245">
        <f ca="1">C46</f>
        <v>115</v>
      </c>
      <c r="D45" s="235">
        <f ca="1">C47</f>
        <v>1E-3</v>
      </c>
      <c r="E45" s="236" t="s">
        <v>1538</v>
      </c>
      <c r="F45" s="246">
        <f ca="1">F27</f>
        <v>0.05</v>
      </c>
      <c r="G45" s="247" t="s">
        <v>1547</v>
      </c>
    </row>
    <row r="46" spans="1:7" s="214" customFormat="1" ht="13.5" customHeight="1">
      <c r="A46" s="780" t="s">
        <v>346</v>
      </c>
      <c r="B46" s="248" t="s">
        <v>1548</v>
      </c>
      <c r="C46" s="249">
        <f ca="1">ROUND((C33+C39)*F27,0)</f>
        <v>115</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2715</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2579</v>
      </c>
      <c r="D51" s="232"/>
      <c r="E51" s="232"/>
      <c r="F51" s="264"/>
      <c r="G51" s="234" t="s">
        <v>1559</v>
      </c>
    </row>
    <row r="52" spans="1:7" s="208" customFormat="1" ht="16.5" thickBot="1">
      <c r="A52" s="265" t="s">
        <v>1560</v>
      </c>
      <c r="B52" s="266"/>
      <c r="C52" s="267">
        <f ca="1">C31+C51</f>
        <v>4287</v>
      </c>
      <c r="D52" s="266"/>
      <c r="E52" s="266"/>
      <c r="F52" s="266"/>
      <c r="G52" s="268"/>
    </row>
    <row r="55" spans="1:7" ht="15">
      <c r="B55" s="270" t="s">
        <v>1561</v>
      </c>
      <c r="C55" s="271"/>
    </row>
    <row r="56" spans="1:7">
      <c r="B56" s="273" t="s">
        <v>802</v>
      </c>
      <c r="C56" s="275">
        <f ca="1">1-C57</f>
        <v>0.39800000000000002</v>
      </c>
    </row>
    <row r="57" spans="1:7">
      <c r="B57" s="273" t="s">
        <v>803</v>
      </c>
      <c r="C57" s="274">
        <f ca="1">ROUND(C51/C52,3)</f>
        <v>0.60199999999999998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22" sqref="G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42.89</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2268</v>
      </c>
      <c r="C2" s="1387" t="s">
        <v>805</v>
      </c>
      <c r="D2" s="1387"/>
      <c r="E2" s="1388"/>
      <c r="F2" s="1389"/>
      <c r="G2" s="2704"/>
      <c r="H2" s="2693"/>
      <c r="I2" s="2693"/>
      <c r="J2" s="2693"/>
      <c r="K2" s="2694"/>
      <c r="L2" s="2693"/>
      <c r="M2" s="2693"/>
    </row>
    <row r="3" spans="1:37" ht="18" customHeight="1" thickBot="1">
      <c r="A3" s="1390" t="s">
        <v>806</v>
      </c>
      <c r="B3" s="1391">
        <f ca="1">IF(ISERROR(B2*10000/F43),0,ROUND(B2*10000/F43,0))</f>
        <v>2853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145</v>
      </c>
      <c r="D5" s="1364" t="s">
        <v>693</v>
      </c>
      <c r="E5" s="1071"/>
      <c r="F5" s="1072"/>
      <c r="G5" s="1384"/>
      <c r="H5" s="299">
        <v>1</v>
      </c>
      <c r="I5" s="300" t="s">
        <v>692</v>
      </c>
      <c r="J5" s="1070">
        <f ca="1">J6+J10+J12</f>
        <v>0</v>
      </c>
      <c r="K5" s="1364" t="s">
        <v>693</v>
      </c>
      <c r="L5" s="1071"/>
      <c r="M5" s="1072"/>
    </row>
    <row r="6" spans="1:37" ht="18" customHeight="1">
      <c r="A6" s="1069" t="s">
        <v>398</v>
      </c>
      <c r="B6" s="3733" t="s">
        <v>694</v>
      </c>
      <c r="C6" s="1074">
        <f ca="1">ROUND(F6*F8*F7*(1-F9)/10000,0)</f>
        <v>145</v>
      </c>
      <c r="D6" s="155" t="s">
        <v>2108</v>
      </c>
      <c r="E6" s="302" t="s">
        <v>696</v>
      </c>
      <c r="F6" s="303">
        <f ca="1">INDIRECT("'数据-取费表'!u"&amp;$G$1)</f>
        <v>600</v>
      </c>
      <c r="G6" s="1384"/>
      <c r="H6" s="1069" t="s">
        <v>398</v>
      </c>
      <c r="I6" s="3733" t="s">
        <v>694</v>
      </c>
      <c r="J6" s="301">
        <f ca="1">ROUND(M6*M8*M7*(1-M9)/10000,0)</f>
        <v>0</v>
      </c>
      <c r="K6" s="155" t="s">
        <v>2107</v>
      </c>
      <c r="L6" s="302" t="s">
        <v>696</v>
      </c>
      <c r="M6" s="303">
        <f ca="1">INDIRECT("'数据-取费表'!z"&amp;$G$1)</f>
        <v>0</v>
      </c>
    </row>
    <row r="7" spans="1:37" ht="18" customHeight="1">
      <c r="A7" s="1073"/>
      <c r="B7" s="3734"/>
      <c r="C7" s="1075"/>
      <c r="D7" s="307"/>
      <c r="E7" s="3454" t="s">
        <v>697</v>
      </c>
      <c r="F7" s="303">
        <f ca="1">IF(INDIRECT("'数据-取费表'!ah"&amp;$G$1)="",INDIRECT("'数据-取费表'!k"&amp;$G$1),INDIRECT("'数据-取费表'!ah"&amp;$G$1))</f>
        <v>224</v>
      </c>
      <c r="G7" s="1384"/>
      <c r="H7" s="304"/>
      <c r="I7" s="3734"/>
      <c r="J7" s="306"/>
      <c r="K7" s="307"/>
      <c r="L7" s="302" t="s">
        <v>697</v>
      </c>
      <c r="M7" s="303">
        <f ca="1">F7</f>
        <v>224</v>
      </c>
    </row>
    <row r="8" spans="1:37" ht="18" customHeight="1">
      <c r="A8" s="304"/>
      <c r="B8" s="3734"/>
      <c r="C8" s="306"/>
      <c r="D8" s="307"/>
      <c r="E8" s="302" t="s">
        <v>698</v>
      </c>
      <c r="F8" s="303">
        <f ca="1">INDIRECT("'数据-取费表'!ai"&amp;$G$1)</f>
        <v>12</v>
      </c>
      <c r="G8" s="1384"/>
      <c r="H8" s="304"/>
      <c r="I8" s="3734"/>
      <c r="J8" s="306"/>
      <c r="K8" s="307"/>
      <c r="L8" s="302" t="s">
        <v>698</v>
      </c>
      <c r="M8" s="303">
        <f ca="1">INDIRECT("'数据-取费表'!ai"&amp;$G$1)</f>
        <v>12</v>
      </c>
    </row>
    <row r="9" spans="1:37" ht="18" customHeight="1">
      <c r="A9" s="304"/>
      <c r="B9" s="3735"/>
      <c r="C9" s="306"/>
      <c r="D9" s="307"/>
      <c r="E9" s="302" t="s">
        <v>699</v>
      </c>
      <c r="F9" s="312">
        <f ca="1">INDIRECT("'数据-取费表'!w"&amp;$G$1)</f>
        <v>0.1</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2579</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1987</v>
      </c>
      <c r="D14" s="3450" t="s">
        <v>708</v>
      </c>
      <c r="E14" s="3448"/>
      <c r="F14" s="319"/>
      <c r="G14" s="1384"/>
      <c r="H14" s="982" t="s">
        <v>398</v>
      </c>
      <c r="I14" s="302" t="s">
        <v>709</v>
      </c>
      <c r="J14" s="21">
        <f ca="1">C29</f>
        <v>2715</v>
      </c>
      <c r="K14" s="3453"/>
      <c r="L14" s="807"/>
      <c r="M14" s="808"/>
    </row>
    <row r="15" spans="1:37" s="1397" customFormat="1" ht="18" customHeight="1" thickBot="1">
      <c r="A15" s="982" t="s">
        <v>399</v>
      </c>
      <c r="B15" s="302" t="s">
        <v>710</v>
      </c>
      <c r="C15" s="21">
        <f ca="1">ROUND(C14*F15,0)</f>
        <v>79</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3451"/>
      <c r="M16" s="1072"/>
    </row>
    <row r="17" spans="1:37" s="1397" customFormat="1" ht="18" customHeight="1">
      <c r="A17" s="982" t="s">
        <v>681</v>
      </c>
      <c r="B17" s="302" t="s">
        <v>716</v>
      </c>
      <c r="C17" s="21">
        <f ca="1">ROUND(F17*(F43+INDIRECT("'数据-取费表'!S"&amp;$G$1))/10000,0)</f>
        <v>159</v>
      </c>
      <c r="D17" s="302" t="s">
        <v>717</v>
      </c>
      <c r="E17" s="302" t="s">
        <v>718</v>
      </c>
      <c r="F17" s="23">
        <f>'数据-取费表'!B35</f>
        <v>200</v>
      </c>
      <c r="G17" s="1396"/>
      <c r="H17" s="982" t="s">
        <v>398</v>
      </c>
      <c r="I17" s="302" t="s">
        <v>719</v>
      </c>
      <c r="J17" s="2316">
        <f ca="1">ROUND(IF(AND(项目基本情况!B11="自然人",项目基本情况!B10="北京市"),J6*M17/(1+'数据-取费表'!C42),J18+J19+J20),2)</f>
        <v>0.31</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2255</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45</v>
      </c>
      <c r="D20" s="2426" t="s">
        <v>729</v>
      </c>
      <c r="E20" s="302" t="s">
        <v>712</v>
      </c>
      <c r="F20" s="322">
        <f>'数据-取费表'!B37</f>
        <v>0.02</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2039.97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27.15</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-27</v>
      </c>
      <c r="K25" s="1095" t="s">
        <v>753</v>
      </c>
      <c r="L25" s="1096"/>
      <c r="M25" s="1097"/>
    </row>
    <row r="26" spans="1:37">
      <c r="A26" s="982" t="s">
        <v>397</v>
      </c>
      <c r="B26" s="302" t="s">
        <v>754</v>
      </c>
      <c r="C26" s="21">
        <f ca="1">ROUND((C19+C20)*F26,0)</f>
        <v>115</v>
      </c>
      <c r="D26" s="2426"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2715</v>
      </c>
      <c r="D29" s="1092"/>
      <c r="E29" s="1090"/>
      <c r="F29" s="1093"/>
      <c r="G29" s="1396"/>
      <c r="H29" s="334" t="s">
        <v>396</v>
      </c>
      <c r="I29" s="335" t="s">
        <v>768</v>
      </c>
      <c r="J29" s="336">
        <f ca="1">ROUND(J26/(1+F40)^F41,0)</f>
        <v>0</v>
      </c>
      <c r="K29" s="337" t="s">
        <v>769</v>
      </c>
      <c r="L29" s="338"/>
      <c r="M29" s="339">
        <f ca="1">INDIRECT("'数据-取费表'!k"&amp;$G$1)</f>
        <v>7948.170000000001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24.61</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7.73</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16.57</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2039.97</v>
      </c>
      <c r="G35" s="1384"/>
      <c r="H35" s="2695"/>
      <c r="I35" s="1398"/>
      <c r="J35" s="1399"/>
      <c r="K35" s="2699"/>
      <c r="L35" s="2698"/>
      <c r="M35" s="2698"/>
    </row>
    <row r="36" spans="1:18" ht="18" customHeight="1">
      <c r="A36" s="1102" t="s">
        <v>402</v>
      </c>
      <c r="B36" s="302" t="s">
        <v>738</v>
      </c>
      <c r="C36" s="21">
        <f ca="1">ROUND(C29*F36,2)</f>
        <v>27.15</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3.87</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1.45</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88</v>
      </c>
      <c r="D39" s="1095" t="s">
        <v>753</v>
      </c>
      <c r="E39" s="1096"/>
      <c r="F39" s="1097"/>
      <c r="G39" s="1384"/>
      <c r="H39" s="2698"/>
      <c r="I39" s="1398"/>
      <c r="J39" s="1399"/>
      <c r="K39" s="2702"/>
      <c r="L39" s="2698"/>
      <c r="M39" s="2698"/>
    </row>
    <row r="40" spans="1:18" ht="18" customHeight="1">
      <c r="A40" s="299" t="s">
        <v>395</v>
      </c>
      <c r="B40" s="300" t="s">
        <v>774</v>
      </c>
      <c r="C40" s="301">
        <f ca="1">ROUND(C39*(1-((1+F42)/(1+F40))^F41)/(F40-F42),0)</f>
        <v>2268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2853</v>
      </c>
      <c r="D43" s="337" t="s">
        <v>777</v>
      </c>
      <c r="E43" s="338" t="s">
        <v>778</v>
      </c>
      <c r="F43" s="339">
        <f ca="1">INDIRECT("'数据-取费表'!k"&amp;$G$1)</f>
        <v>7948.170000000001</v>
      </c>
      <c r="G43" s="1384"/>
      <c r="H43" s="1191"/>
      <c r="I43" s="1191"/>
      <c r="J43" s="1191"/>
      <c r="K43" s="2542"/>
      <c r="L43" s="1191"/>
      <c r="M43" s="1191"/>
    </row>
    <row r="44" spans="1:18" s="1384" customFormat="1" ht="18" customHeight="1">
      <c r="A44" s="1400"/>
      <c r="B44" s="1400"/>
      <c r="C44" s="1401">
        <f ca="1">C40/'数据-取费表'!AH8</f>
        <v>10.125</v>
      </c>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-2812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2268</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2715</v>
      </c>
      <c r="R49" s="1420" t="s">
        <v>818</v>
      </c>
    </row>
    <row r="50" spans="1:18" s="1384" customFormat="1" ht="13.5" thickBot="1">
      <c r="A50" s="976"/>
      <c r="B50" s="979"/>
      <c r="C50" s="1118"/>
      <c r="D50" s="953"/>
      <c r="E50" s="1056" t="s">
        <v>697</v>
      </c>
      <c r="F50" s="1057">
        <f ca="1">F7</f>
        <v>224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-2152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31" t="s">
        <v>837</v>
      </c>
      <c r="L53" s="3732"/>
      <c r="O53" s="1418" t="s">
        <v>409</v>
      </c>
      <c r="P53" s="1419" t="s">
        <v>838</v>
      </c>
      <c r="Q53" s="1420">
        <f ca="1">Q47+Q48</f>
        <v>2268</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2579</v>
      </c>
      <c r="D56" s="1447"/>
      <c r="E56" s="1448"/>
      <c r="F56" s="1440"/>
      <c r="I56" s="1449" t="s">
        <v>842</v>
      </c>
      <c r="J56" s="1450" t="s">
        <v>3396</v>
      </c>
      <c r="K56" s="1421" t="s">
        <v>843</v>
      </c>
      <c r="L56" s="1424" t="str">
        <f ca="1">IF(L48&lt;J51,"——",L48-J53)</f>
        <v>——</v>
      </c>
      <c r="O56" s="1418" t="s">
        <v>403</v>
      </c>
      <c r="P56" s="1419" t="s">
        <v>817</v>
      </c>
      <c r="Q56" s="1420">
        <f ca="1">C40+J29</f>
        <v>2268</v>
      </c>
      <c r="R56" s="1420" t="s">
        <v>818</v>
      </c>
    </row>
    <row r="57" spans="1:18" s="1384" customFormat="1" ht="24.75" thickBot="1">
      <c r="A57" s="1451"/>
      <c r="B57" s="950" t="s">
        <v>767</v>
      </c>
      <c r="C57" s="238">
        <f ca="1">C29</f>
        <v>2715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0.31</v>
      </c>
      <c r="D62" s="965" t="s">
        <v>731</v>
      </c>
      <c r="E62" s="950" t="s">
        <v>732</v>
      </c>
      <c r="F62" s="325">
        <f t="shared" si="0"/>
        <v>1.5</v>
      </c>
      <c r="I62" s="1462" t="s">
        <v>858</v>
      </c>
      <c r="J62" s="1463" t="s">
        <v>859</v>
      </c>
      <c r="K62" s="1463" t="s">
        <v>860</v>
      </c>
      <c r="L62" s="1463" t="s">
        <v>861</v>
      </c>
      <c r="M62" s="1464" t="s">
        <v>862</v>
      </c>
      <c r="O62" s="1418" t="s">
        <v>409</v>
      </c>
      <c r="P62" s="1419" t="s">
        <v>838</v>
      </c>
      <c r="Q62" s="1420">
        <f ca="1">Q56+Q57</f>
        <v>2268</v>
      </c>
      <c r="R62" s="1420" t="s">
        <v>410</v>
      </c>
    </row>
    <row r="63" spans="1:18" s="1384" customFormat="1" ht="13.5" thickBot="1">
      <c r="A63" s="326"/>
      <c r="B63" s="956"/>
      <c r="C63" s="26"/>
      <c r="D63" s="966"/>
      <c r="E63" s="950" t="s">
        <v>736</v>
      </c>
      <c r="F63" s="303">
        <f t="shared" ca="1" si="0"/>
        <v>2039.97</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27.15</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3.87</v>
      </c>
      <c r="D65" s="964" t="s">
        <v>743</v>
      </c>
      <c r="E65" s="950" t="s">
        <v>712</v>
      </c>
      <c r="F65" s="330">
        <f t="shared" ca="1" si="0"/>
        <v>1.5E-3</v>
      </c>
      <c r="I65" s="1462" t="s">
        <v>867</v>
      </c>
      <c r="J65" s="1463">
        <v>40</v>
      </c>
      <c r="K65" s="1463">
        <v>30</v>
      </c>
      <c r="L65" s="1463">
        <v>50</v>
      </c>
      <c r="M65" s="1465">
        <v>0.02</v>
      </c>
      <c r="O65" s="1418" t="s">
        <v>403</v>
      </c>
      <c r="P65" s="1419" t="s">
        <v>817</v>
      </c>
      <c r="Q65" s="1420">
        <f ca="1">C40+J29</f>
        <v>2268</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v>
      </c>
      <c r="D67" s="963" t="s">
        <v>753</v>
      </c>
      <c r="E67" s="968"/>
      <c r="F67" s="969"/>
      <c r="O67" s="1428" t="s">
        <v>405</v>
      </c>
      <c r="P67" s="1419" t="s">
        <v>850</v>
      </c>
      <c r="Q67" s="1466">
        <f ca="1">L51</f>
        <v>-2152</v>
      </c>
      <c r="R67" s="1420" t="s">
        <v>870</v>
      </c>
    </row>
    <row r="68" spans="1:18" s="1384" customFormat="1" ht="16.5" thickBot="1">
      <c r="A68" s="947" t="s">
        <v>395</v>
      </c>
      <c r="B68" s="948" t="s">
        <v>774</v>
      </c>
      <c r="C68" s="301">
        <f ca="1">ROUND(C67*(1-((1+F70)/(1+F68))^F69)/(F68-F70),0)</f>
        <v>-544</v>
      </c>
      <c r="D68" s="965" t="s">
        <v>758</v>
      </c>
      <c r="E68" s="950" t="s">
        <v>759</v>
      </c>
      <c r="F68" s="312">
        <f ca="1">F40</f>
        <v>0.05</v>
      </c>
      <c r="O68" s="1428" t="s">
        <v>406</v>
      </c>
      <c r="P68" s="1467" t="s">
        <v>871</v>
      </c>
      <c r="Q68" s="1420">
        <f ca="1">ROUND(Q69-Q70*Q71,0)</f>
        <v>-105</v>
      </c>
      <c r="R68" s="1420" t="s">
        <v>414</v>
      </c>
    </row>
    <row r="69" spans="1:18" s="1384" customFormat="1" ht="13.5" thickBot="1">
      <c r="A69" s="951"/>
      <c r="B69" s="952"/>
      <c r="C69" s="306"/>
      <c r="D69" s="970" t="s">
        <v>762</v>
      </c>
      <c r="E69" s="950" t="s">
        <v>763</v>
      </c>
      <c r="F69" s="333">
        <f ca="1">F41</f>
        <v>42.89</v>
      </c>
      <c r="O69" s="1428" t="s">
        <v>411</v>
      </c>
      <c r="P69" s="1467" t="s">
        <v>872</v>
      </c>
      <c r="Q69" s="1420">
        <f ca="1">C39</f>
        <v>88</v>
      </c>
      <c r="R69" s="1420" t="s">
        <v>818</v>
      </c>
    </row>
    <row r="70" spans="1:18" s="1384" customFormat="1" ht="13.5" thickBot="1">
      <c r="A70" s="954"/>
      <c r="B70" s="955"/>
      <c r="C70" s="310"/>
      <c r="D70" s="966"/>
      <c r="E70" s="950" t="s">
        <v>766</v>
      </c>
      <c r="F70" s="1054"/>
      <c r="O70" s="1428" t="s">
        <v>412</v>
      </c>
      <c r="P70" s="1467" t="s">
        <v>873</v>
      </c>
      <c r="Q70" s="1420">
        <f ca="1">C13</f>
        <v>2579</v>
      </c>
      <c r="R70" s="1420" t="s">
        <v>818</v>
      </c>
    </row>
    <row r="71" spans="1:18" s="1384" customFormat="1" ht="13.5" thickBot="1">
      <c r="A71" s="971" t="s">
        <v>396</v>
      </c>
      <c r="B71" s="972" t="s">
        <v>776</v>
      </c>
      <c r="C71" s="336">
        <f ca="1">ROUND(C68*10000/F71,0)</f>
        <v>-684</v>
      </c>
      <c r="D71" s="973" t="s">
        <v>777</v>
      </c>
      <c r="E71" s="974" t="s">
        <v>778</v>
      </c>
      <c r="F71" s="339">
        <f ca="1">F43</f>
        <v>7948.170000000001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v>
      </c>
      <c r="D75" s="1384"/>
      <c r="E75" s="1384"/>
      <c r="F75" s="1384"/>
      <c r="K75" s="1402"/>
      <c r="L75" s="1384"/>
      <c r="O75" s="1418" t="s">
        <v>409</v>
      </c>
      <c r="P75" s="1419" t="s">
        <v>838</v>
      </c>
      <c r="Q75" s="1420">
        <f ca="1">Q65+Q66</f>
        <v>2268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-1.1930000000000001</v>
      </c>
    </row>
    <row r="80" spans="1:18">
      <c r="B80" s="340" t="s">
        <v>800</v>
      </c>
      <c r="C80" s="274">
        <f ca="1">ROUND(C75/C39,3)</f>
        <v>2.1930000000000001</v>
      </c>
    </row>
    <row r="81" spans="2:3">
      <c r="B81" s="270" t="s">
        <v>801</v>
      </c>
      <c r="C81" s="238"/>
    </row>
    <row r="82" spans="2:3">
      <c r="B82" s="273" t="s">
        <v>802</v>
      </c>
      <c r="C82" s="275">
        <f ca="1">1-C83</f>
        <v>-0.13700000000000001</v>
      </c>
    </row>
    <row r="83" spans="2:3">
      <c r="B83" s="273" t="s">
        <v>803</v>
      </c>
      <c r="C83" s="274">
        <f ca="1">ROUND(C13/C40,3)</f>
        <v>1.137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2" t="s">
        <v>3369</v>
      </c>
      <c r="E2" s="3443"/>
      <c r="F2" s="2844"/>
      <c r="G2" s="2845"/>
      <c r="H2" s="2846"/>
      <c r="I2" s="2847"/>
      <c r="J2" s="3745" t="s">
        <v>2319</v>
      </c>
      <c r="K2" s="3746"/>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47" t="s">
        <v>2329</v>
      </c>
      <c r="K3" s="3748"/>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47" t="s">
        <v>2331</v>
      </c>
      <c r="K4" s="3748"/>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49" t="s">
        <v>2335</v>
      </c>
      <c r="B6" s="3750"/>
      <c r="C6" s="3751"/>
      <c r="D6" s="2868"/>
      <c r="E6" s="2869"/>
      <c r="F6" s="2870"/>
      <c r="G6" s="2871"/>
      <c r="H6" s="2846"/>
      <c r="I6" s="2847"/>
      <c r="J6" s="3752">
        <v>1</v>
      </c>
      <c r="K6" s="3753"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52"/>
      <c r="K7" s="3754"/>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56" t="s">
        <v>2349</v>
      </c>
      <c r="C8" s="3757"/>
      <c r="D8" s="2887" t="s">
        <v>2350</v>
      </c>
      <c r="E8" s="2888" t="s">
        <v>2351</v>
      </c>
      <c r="F8" s="2889" t="s">
        <v>2352</v>
      </c>
      <c r="G8" s="2890"/>
      <c r="H8" s="2846"/>
      <c r="I8" s="2847"/>
      <c r="J8" s="3752"/>
      <c r="K8" s="3754"/>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56" t="s">
        <v>2355</v>
      </c>
      <c r="C9" s="3757"/>
      <c r="D9" s="2887">
        <f>ROUND(D6*E9,0)</f>
        <v>0</v>
      </c>
      <c r="E9" s="2891"/>
      <c r="F9" s="2892" t="s">
        <v>2356</v>
      </c>
      <c r="G9" s="2871"/>
      <c r="H9" s="2846"/>
      <c r="I9" s="2847"/>
      <c r="J9" s="3752"/>
      <c r="K9" s="3754"/>
      <c r="L9" s="2881" t="s">
        <v>2357</v>
      </c>
      <c r="M9" s="2882"/>
      <c r="N9" s="2858"/>
      <c r="O9" s="2883"/>
      <c r="P9" s="2883"/>
      <c r="Q9" s="2884">
        <v>365</v>
      </c>
      <c r="R9" s="2885">
        <f t="shared" si="0"/>
        <v>0</v>
      </c>
      <c r="S9" s="2839"/>
      <c r="T9" s="2839"/>
      <c r="U9" s="2839"/>
      <c r="V9" s="2847"/>
    </row>
    <row r="10" spans="1:22" s="2851" customFormat="1" ht="13.15" customHeight="1">
      <c r="A10" s="2886">
        <v>2</v>
      </c>
      <c r="B10" s="3756" t="s">
        <v>2358</v>
      </c>
      <c r="C10" s="3757"/>
      <c r="D10" s="2887">
        <f>ROUND(D6*E10,0)</f>
        <v>0</v>
      </c>
      <c r="E10" s="2891"/>
      <c r="F10" s="2892" t="s">
        <v>2359</v>
      </c>
      <c r="G10" s="2871"/>
      <c r="H10" s="2846"/>
      <c r="I10" s="2847"/>
      <c r="J10" s="3752"/>
      <c r="K10" s="3754"/>
      <c r="L10" s="2881" t="s">
        <v>2360</v>
      </c>
      <c r="M10" s="2882"/>
      <c r="N10" s="2858"/>
      <c r="O10" s="2883"/>
      <c r="P10" s="2883"/>
      <c r="Q10" s="2884">
        <v>365</v>
      </c>
      <c r="R10" s="2885">
        <f t="shared" si="0"/>
        <v>0</v>
      </c>
      <c r="S10" s="2839"/>
      <c r="T10" s="2839"/>
      <c r="U10" s="2839"/>
      <c r="V10" s="2847"/>
    </row>
    <row r="11" spans="1:22" s="2851" customFormat="1" ht="13.15" customHeight="1">
      <c r="A11" s="2886">
        <v>3</v>
      </c>
      <c r="B11" s="3756" t="s">
        <v>2361</v>
      </c>
      <c r="C11" s="3757"/>
      <c r="D11" s="2887">
        <f>D12+D14+D15+D16</f>
        <v>0</v>
      </c>
      <c r="E11" s="2893" t="e">
        <f>D11/D6</f>
        <v>#DIV/0!</v>
      </c>
      <c r="F11" s="2889"/>
      <c r="G11" s="2890"/>
      <c r="H11" s="2846"/>
      <c r="I11" s="2847"/>
      <c r="J11" s="3752"/>
      <c r="K11" s="3754"/>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58" t="s">
        <v>2364</v>
      </c>
      <c r="C12" s="3759"/>
      <c r="D12" s="2895">
        <f>ROUND(D13*1.2%*(1-30%),0)</f>
        <v>0</v>
      </c>
      <c r="E12" s="2896">
        <v>1.2E-2</v>
      </c>
      <c r="F12" s="2889" t="s">
        <v>2365</v>
      </c>
      <c r="G12" s="2890"/>
      <c r="H12" s="2846"/>
      <c r="I12" s="2847"/>
      <c r="J12" s="3752"/>
      <c r="K12" s="3754"/>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52"/>
      <c r="K13" s="3754"/>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58" t="s">
        <v>2370</v>
      </c>
      <c r="C14" s="3759"/>
      <c r="D14" s="2895">
        <f>ROUND(E14*B5/10000,0)</f>
        <v>0</v>
      </c>
      <c r="E14" s="2884"/>
      <c r="F14" s="2889" t="s">
        <v>2371</v>
      </c>
      <c r="G14" s="2890"/>
      <c r="H14" s="2846"/>
      <c r="I14" s="2847"/>
      <c r="J14" s="3752"/>
      <c r="K14" s="3755"/>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58" t="s">
        <v>2374</v>
      </c>
      <c r="C15" s="3759"/>
      <c r="D15" s="2895">
        <f>ROUND(D6*E15,0)</f>
        <v>0</v>
      </c>
      <c r="E15" s="2896">
        <v>5.5E-2</v>
      </c>
      <c r="F15" s="2889" t="s">
        <v>2375</v>
      </c>
      <c r="G15" s="2871"/>
      <c r="H15" s="2846"/>
      <c r="I15" s="2847"/>
      <c r="J15" s="3752">
        <v>2</v>
      </c>
      <c r="K15" s="3753"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58" t="s">
        <v>2383</v>
      </c>
      <c r="C16" s="3759"/>
      <c r="D16" s="2906">
        <f>D6*E16</f>
        <v>0</v>
      </c>
      <c r="E16" s="2907"/>
      <c r="F16" s="2892" t="s">
        <v>2384</v>
      </c>
      <c r="G16" s="2871"/>
      <c r="H16" s="2846"/>
      <c r="I16" s="2847"/>
      <c r="J16" s="3752"/>
      <c r="K16" s="3754"/>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60" t="s">
        <v>2386</v>
      </c>
      <c r="C17" s="3761"/>
      <c r="D17" s="2909">
        <f>ROUND(D6*E17,0)</f>
        <v>0</v>
      </c>
      <c r="E17" s="2910"/>
      <c r="F17" s="2911" t="s">
        <v>2387</v>
      </c>
      <c r="G17" s="2871"/>
      <c r="H17" s="2846"/>
      <c r="I17" s="2847"/>
      <c r="J17" s="3752"/>
      <c r="K17" s="3754"/>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52"/>
      <c r="K18" s="3754"/>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52"/>
      <c r="K19" s="3755"/>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2">
        <v>3</v>
      </c>
      <c r="K20" s="3753"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52"/>
      <c r="K21" s="3754"/>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52"/>
      <c r="K22" s="3754"/>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52"/>
      <c r="K23" s="3754"/>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52"/>
      <c r="K24" s="3755"/>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62">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6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45" t="s">
        <v>2319</v>
      </c>
      <c r="K32" s="3746"/>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47" t="s">
        <v>2329</v>
      </c>
      <c r="K33" s="3748"/>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47" t="s">
        <v>2331</v>
      </c>
      <c r="K34" s="374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52">
        <v>1</v>
      </c>
      <c r="K36" s="3753"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52"/>
      <c r="K37" s="3754"/>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2"/>
      <c r="K38" s="3754"/>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52"/>
      <c r="K39" s="3754"/>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52"/>
      <c r="K40" s="3755"/>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2">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6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40" sqref="E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9138.1500000000015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1467</v>
      </c>
      <c r="C2" s="1999" t="s">
        <v>1934</v>
      </c>
      <c r="D2" s="2000" t="s">
        <v>1935</v>
      </c>
      <c r="E2" s="3421" t="s">
        <v>21</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Ⅶ-02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14752</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1605</v>
      </c>
      <c r="C3" s="1999" t="s">
        <v>1940</v>
      </c>
      <c r="D3" s="2000" t="s">
        <v>1941</v>
      </c>
      <c r="E3" s="3419" t="s">
        <v>3414</v>
      </c>
      <c r="F3" s="2004" t="s">
        <v>3415</v>
      </c>
      <c r="G3" s="752">
        <f>IF(F3="宗地容积率",'数据-汇总表'!I4,IF(F3="估价对象容积率",'数据-汇总表'!I6,'数据-汇总表'!I7))</f>
        <v>3</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11627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9827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9710</v>
      </c>
      <c r="D5" s="1339">
        <f>ROUND(C6*C17+C20,0)</f>
        <v>9710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8667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9710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8329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9710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3</v>
      </c>
      <c r="AA7" s="1216"/>
      <c r="AB7" s="1216"/>
      <c r="AC7" s="1217"/>
      <c r="AD7" s="1218"/>
      <c r="AE7" s="1218"/>
      <c r="AF7" s="1218"/>
      <c r="AG7" s="1218"/>
      <c r="AH7" s="1218"/>
      <c r="AI7" s="1218"/>
      <c r="AJ7" s="1219"/>
    </row>
    <row r="8" spans="1:36" ht="25.5">
      <c r="A8" s="3298"/>
      <c r="B8" s="170" t="s">
        <v>1956</v>
      </c>
      <c r="C8" s="2026" t="s">
        <v>3416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8" t="s">
        <v>1959</v>
      </c>
      <c r="X8" s="376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0"/>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7"/>
      <c r="AE11" s="2787"/>
      <c r="AF11" s="2787"/>
      <c r="AG11" s="2787"/>
      <c r="AH11" s="2787"/>
      <c r="AI11" s="2787"/>
      <c r="AJ11" s="2788"/>
    </row>
    <row r="12" spans="1:36" ht="25.5" thickBot="1">
      <c r="A12" s="3303" t="s">
        <v>3246</v>
      </c>
      <c r="B12" s="3304" t="s">
        <v>3247</v>
      </c>
      <c r="C12" s="3305">
        <v>1</v>
      </c>
      <c r="D12" s="3306" t="s">
        <v>3248</v>
      </c>
      <c r="E12" s="3307" t="s">
        <v>3249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7"/>
      <c r="AE12" s="2787"/>
      <c r="AF12" s="2787"/>
      <c r="AG12" s="2787"/>
      <c r="AH12" s="2787"/>
      <c r="AI12" s="2787"/>
      <c r="AJ12" s="2788"/>
    </row>
    <row r="13" spans="1:36" ht="15.75" thickBot="1">
      <c r="A13" s="3303" t="s">
        <v>3250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7"/>
      <c r="AE13" s="2787"/>
      <c r="AF13" s="2787"/>
      <c r="AG13" s="2787"/>
      <c r="AH13" s="2787"/>
      <c r="AI13" s="2787"/>
      <c r="AJ13" s="2788"/>
    </row>
    <row r="14" spans="1:36" ht="15">
      <c r="A14" s="3297"/>
      <c r="B14" s="2040" t="s">
        <v>1984</v>
      </c>
      <c r="C14" s="2041" t="s">
        <v>1985</v>
      </c>
      <c r="D14" s="1350" t="s">
        <v>1986</v>
      </c>
      <c r="E14" s="27" t="s">
        <v>1987</v>
      </c>
      <c r="F14" s="3311" t="s">
        <v>3251</v>
      </c>
      <c r="G14" s="3311" t="s">
        <v>3251</v>
      </c>
      <c r="H14" s="3311" t="s">
        <v>3251</v>
      </c>
      <c r="I14" s="3311" t="s">
        <v>3251</v>
      </c>
      <c r="J14" s="3311"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7"/>
      <c r="AE14" s="2787"/>
      <c r="AF14" s="2787"/>
      <c r="AG14" s="2787"/>
      <c r="AH14" s="2787"/>
      <c r="AI14" s="2787"/>
      <c r="AJ14" s="2788"/>
    </row>
    <row r="15" spans="1:36" ht="15">
      <c r="A15" s="3297"/>
      <c r="B15" s="2042"/>
      <c r="C15" s="2043"/>
      <c r="D15" s="2044"/>
      <c r="E15" s="2045"/>
      <c r="F15" s="3312" t="s">
        <v>3252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7"/>
      <c r="AE15" s="2787"/>
      <c r="AF15" s="2787"/>
      <c r="AG15" s="2787"/>
      <c r="AH15" s="2787"/>
      <c r="AI15" s="2787"/>
      <c r="AJ15" s="2788"/>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8"/>
      <c r="C18" s="3327"/>
      <c r="D18" s="3322" t="s">
        <v>3256</v>
      </c>
      <c r="E18" s="3328"/>
      <c r="F18" s="3323" t="s">
        <v>3259</v>
      </c>
      <c r="G18" s="3327">
        <f>ROUND(1-(1/(POWER(1+G24,E18))),4)</f>
        <v>0</v>
      </c>
      <c r="H18" s="3323" t="s">
        <v>3261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4"/>
      <c r="B19" s="3335"/>
      <c r="C19" s="3336"/>
      <c r="D19" s="3336" t="s">
        <v>3257</v>
      </c>
      <c r="E19" s="3337"/>
      <c r="F19" s="3338" t="s">
        <v>3260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5" t="s">
        <v>3262</v>
      </c>
      <c r="B20" s="167" t="s">
        <v>1993</v>
      </c>
      <c r="C20" s="3324">
        <f>ROUND(IF(F21="与级别开发程度一致",0,(G21-E21)/C21),0)</f>
        <v>0</v>
      </c>
      <c r="D20" s="3340" t="s">
        <v>1997</v>
      </c>
      <c r="E20" s="3341"/>
      <c r="F20" s="3781" t="s">
        <v>1994</v>
      </c>
      <c r="G20" s="3782"/>
      <c r="H20" s="3325" t="s">
        <v>3380</v>
      </c>
      <c r="I20" s="3325" t="s">
        <v>3381</v>
      </c>
      <c r="J20" s="3326" t="s">
        <v>3382</v>
      </c>
      <c r="K20" s="2047" t="s">
        <v>3383</v>
      </c>
      <c r="L20" s="2047" t="s">
        <v>3384</v>
      </c>
      <c r="M20" s="2047" t="s">
        <v>3385</v>
      </c>
      <c r="N20" s="2047" t="s">
        <v>3386</v>
      </c>
      <c r="O20" s="2048" t="s">
        <v>3417</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7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3418</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2001</v>
      </c>
      <c r="E23" s="761">
        <v>44197</v>
      </c>
      <c r="F23" s="2054" t="s">
        <v>2002</v>
      </c>
      <c r="G23" s="762">
        <f>'数据-取费表'!B2</f>
        <v>44930</v>
      </c>
      <c r="H23" s="3342" t="s">
        <v>3264</v>
      </c>
      <c r="I23" s="3343" t="str">
        <f>IF(H23="季度增幅（自定义）",SUMIF(N25:N28,E2,O25:O28),"")</f>
        <v/>
      </c>
      <c r="J23" s="3445" t="s">
        <v>3263</v>
      </c>
      <c r="K23" s="1125"/>
      <c r="L23" s="2055" t="s">
        <v>2003</v>
      </c>
      <c r="M23" s="1328">
        <f>ROUND(SUMIF(地价!B2:G2,E2,地价!B16:G16),0)</f>
        <v>350</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0.96579999999999999</v>
      </c>
      <c r="D24" s="2060" t="s">
        <v>2006</v>
      </c>
      <c r="E24" s="1335">
        <f>存贷款利率!E22/100</f>
        <v>4.3499999999999997E-2</v>
      </c>
      <c r="F24" s="2060" t="s">
        <v>1998</v>
      </c>
      <c r="G24" s="768">
        <f>SUMIF(M30:Q30,E2,M33:Q33)</f>
        <v>5.5E-2</v>
      </c>
      <c r="H24" s="2060" t="s">
        <v>2007</v>
      </c>
      <c r="I24" s="769">
        <f>SUMIF('数据-取费表'!C6:C15,E2,'数据-取费表'!F6:F15)/COUNTIF('数据-取费表'!C6:C15,E2)</f>
        <v>42.89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3343</v>
      </c>
      <c r="C25" s="771">
        <f>IF(B25="容积率修正",IF(G3&lt;10,D26,J26),C27)</f>
        <v>0.96309999999999996</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3265</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3266</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1.0335000000000001</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1467</v>
      </c>
      <c r="D30" s="2083"/>
      <c r="E30" s="2046"/>
      <c r="F30" s="2084"/>
      <c r="G30" s="2046"/>
      <c r="H30" s="2046"/>
      <c r="I30" s="2046"/>
      <c r="J30" s="2085"/>
      <c r="K30" s="1119"/>
      <c r="L30" s="3350" t="s">
        <v>1935</v>
      </c>
      <c r="M30" s="3351" t="s">
        <v>1989</v>
      </c>
      <c r="N30" s="3351" t="s">
        <v>1990</v>
      </c>
      <c r="O30" s="3351" t="s">
        <v>1991</v>
      </c>
      <c r="P30" s="3351" t="s">
        <v>1992</v>
      </c>
      <c r="Q30" s="3354"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365</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8">
        <f>ROUND($E$24*(1+M31),3)</f>
        <v>5.3999999999999999E-2</v>
      </c>
      <c r="N32" s="2568">
        <f>ROUND($E$24*(1+N31),3)</f>
        <v>5.1999999999999998E-2</v>
      </c>
      <c r="O32" s="2568">
        <f>ROUND($E$24*(1+O31),3)</f>
        <v>0.05</v>
      </c>
      <c r="P32" s="2568">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9460</v>
      </c>
      <c r="D33" s="2098">
        <f>'数据-汇总表'!F20</f>
        <v>5.38</v>
      </c>
      <c r="E33" s="773">
        <f>ROUND(C33*D33/10000,0)</f>
        <v>5</v>
      </c>
      <c r="F33" s="3345" t="s">
        <v>3268</v>
      </c>
      <c r="G33" s="2099"/>
      <c r="H33" s="2099"/>
      <c r="I33" s="2099"/>
      <c r="J33" s="2100"/>
      <c r="K33" s="1119"/>
      <c r="L33" s="3348" t="s">
        <v>3271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2365</v>
      </c>
      <c r="D34" s="2103"/>
      <c r="E34" s="773">
        <f>ROUND(IF(B25="楼层修正",SUM(V2:V16)*M40,C34*D34/10000),0)</f>
        <v>0</v>
      </c>
      <c r="F34" s="2104" t="s">
        <v>2031</v>
      </c>
      <c r="G34" s="2105"/>
      <c r="H34" s="2105"/>
      <c r="I34" s="2105"/>
      <c r="J34" s="2106"/>
      <c r="K34" s="1119"/>
      <c r="L34" s="3348" t="s">
        <v>3272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3273</v>
      </c>
      <c r="L36" s="3457">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2035</v>
      </c>
      <c r="C37" s="175">
        <f>ROUND(D5*C22*C23*C24*C28*F37,0)</f>
        <v>5893</v>
      </c>
      <c r="D37" s="2098"/>
      <c r="E37" s="171">
        <f>ROUND(C37*D37/10000,0)</f>
        <v>0</v>
      </c>
      <c r="F37" s="171">
        <f>SUMIF(修正!A57:A68,G2,修正!B57:B68)</f>
        <v>0.6</v>
      </c>
      <c r="G37" s="171">
        <f>ROUND(IF(E2="工业",C37*$M$42,C37*$M$41),0)</f>
        <v>1473</v>
      </c>
      <c r="H37" s="171">
        <f>D37</f>
        <v>0</v>
      </c>
      <c r="I37" s="171">
        <f>ROUND(G37*H37/10000,0)</f>
        <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2036</v>
      </c>
      <c r="C38" s="175">
        <f>ROUND(D5*C22*C23*C24*C28*F38,0)</f>
        <v>2947</v>
      </c>
      <c r="D38" s="2098"/>
      <c r="E38" s="171">
        <f t="shared" ref="E38:E42" si="4">ROUND(C38*D38/10000,0)</f>
        <v>0</v>
      </c>
      <c r="F38" s="171">
        <f>SUMIF(修正!A57:A68,G2,修正!C57:C68)</f>
        <v>0.3</v>
      </c>
      <c r="G38" s="171">
        <f>ROUND(IF(E2="工业",C38*$M$42,C38*$M$41),0)</f>
        <v>737</v>
      </c>
      <c r="H38" s="171">
        <f t="shared" ref="H38:H42" si="5">D38</f>
        <v>0</v>
      </c>
      <c r="I38" s="171">
        <f t="shared" ref="I38:I42" si="6">ROUND(G38*H38/10000,0)</f>
        <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0"/>
      <c r="B39" s="2041" t="s">
        <v>3267</v>
      </c>
      <c r="C39" s="175">
        <f>ROUND(D5*C22*C23*C24*C28*F39,0)</f>
        <v>2455</v>
      </c>
      <c r="D39" s="2098"/>
      <c r="E39" s="171">
        <f t="shared" si="4"/>
        <v>0</v>
      </c>
      <c r="F39" s="171">
        <f>SUMIF(修正!A57:A68,G2,修正!D57:D68)</f>
        <v>0.25</v>
      </c>
      <c r="G39" s="171">
        <f>ROUND(IF(E2="工业",C39*$M$42,C39*$M$41),0)</f>
        <v>614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2455</v>
      </c>
      <c r="D40" s="2098"/>
      <c r="E40" s="171">
        <f t="shared" si="4"/>
        <v>0</v>
      </c>
      <c r="F40" s="175">
        <f>SUMIF(修正!A57:A68,G2,修正!E57:E68)</f>
        <v>0.25</v>
      </c>
      <c r="G40" s="171">
        <f>ROUND(IF(E2="工业",C40*$M$42,C40*$M$41),0)</f>
        <v>614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2455</v>
      </c>
      <c r="D41" s="2098">
        <f>'数据-汇总表'!G20</f>
        <v>1184.5999999999999</v>
      </c>
      <c r="E41" s="171">
        <f t="shared" si="4"/>
        <v>291</v>
      </c>
      <c r="F41" s="175">
        <f>SUMIF(修正!A57:A68,G2,修正!F57:F68)</f>
        <v>0.25</v>
      </c>
      <c r="G41" s="171">
        <f>ROUND(IF(E2="工业",C41*$M$42,C41*$M$41),0)</f>
        <v>614</v>
      </c>
      <c r="H41" s="171">
        <f t="shared" si="5"/>
        <v>1184.5999999999999</v>
      </c>
      <c r="I41" s="171">
        <f t="shared" si="6"/>
        <v>73</v>
      </c>
      <c r="J41" s="2114"/>
      <c r="L41" s="3359" t="s">
        <v>3275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1473</v>
      </c>
      <c r="D42" s="2103">
        <f>'数据-汇总表'!G21</f>
        <v>7948.170000000001</v>
      </c>
      <c r="E42" s="187">
        <f t="shared" si="4"/>
        <v>1171</v>
      </c>
      <c r="F42" s="767">
        <f>SUMIF(修正!A57:A68,G2,修正!G57:G68)</f>
        <v>0.15</v>
      </c>
      <c r="G42" s="187">
        <f>ROUND(IF(E2="工业",C42*$M$42,C42*$M$41),0)</f>
        <v>368</v>
      </c>
      <c r="H42" s="187">
        <f t="shared" si="5"/>
        <v>7948.170000000001</v>
      </c>
      <c r="I42" s="187">
        <f t="shared" si="6"/>
        <v>292</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0.96579999999999999</v>
      </c>
      <c r="D44" s="171" t="s">
        <v>1998</v>
      </c>
      <c r="E44" s="2153">
        <f>G24</f>
        <v>5.5E-2</v>
      </c>
      <c r="F44" s="171" t="s">
        <v>2007</v>
      </c>
      <c r="G44" s="183">
        <f>项目基本情况!E15</f>
        <v>42.89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1.0335000000000001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3419</v>
      </c>
      <c r="D61" s="1065">
        <f t="shared" ref="D61:D69" si="12">SUMIF($J$60:$N$60,C61,J61:N61)</f>
        <v>0</v>
      </c>
      <c r="E61" s="744">
        <f>ROUND(SUM(D61:D69),4)</f>
        <v>3.3500000000000002E-2</v>
      </c>
      <c r="F61" s="1814">
        <f>IF(E2="办公",SUMIF(L1:L12,G2,N1:N12),"——")</f>
        <v>0.13</v>
      </c>
      <c r="G61" s="1063">
        <f>H61</f>
        <v>1.6199999999999999E-2</v>
      </c>
      <c r="H61" s="1066">
        <f t="shared" ref="H61:H69" si="13">IFERROR(ROUNDDOWN($F$61*I61/2,4),"——")</f>
        <v>1.6199999999999999E-2</v>
      </c>
      <c r="I61" s="3366">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3419</v>
      </c>
      <c r="D62" s="1065">
        <f t="shared" si="12"/>
        <v>0</v>
      </c>
      <c r="E62" s="745"/>
      <c r="F62" s="1814"/>
      <c r="G62" s="1063">
        <f t="shared" ref="G62:G69" si="17">H62</f>
        <v>1.6899999999999998E-2</v>
      </c>
      <c r="H62" s="1066">
        <f t="shared" si="13"/>
        <v>1.6899999999999998E-2</v>
      </c>
      <c r="I62" s="3366">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8" t="s">
        <v>3277</v>
      </c>
      <c r="B63" s="2134">
        <f>估价对象房地状况!C19</f>
        <v>0</v>
      </c>
      <c r="C63" s="2044" t="s">
        <v>3420</v>
      </c>
      <c r="D63" s="1065">
        <f t="shared" si="12"/>
        <v>7.1000000000000004E-3</v>
      </c>
      <c r="E63" s="745"/>
      <c r="F63" s="1814"/>
      <c r="G63" s="1063">
        <f t="shared" si="17"/>
        <v>7.1000000000000004E-3</v>
      </c>
      <c r="H63" s="1066">
        <f t="shared" si="13"/>
        <v>7.1000000000000004E-3</v>
      </c>
      <c r="I63" s="3366">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3420</v>
      </c>
      <c r="D64" s="1065">
        <f t="shared" si="12"/>
        <v>3.2000000000000002E-3</v>
      </c>
      <c r="E64" s="745"/>
      <c r="F64" s="1814"/>
      <c r="G64" s="1063">
        <f t="shared" si="17"/>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3420</v>
      </c>
      <c r="D65" s="1065">
        <f t="shared" si="12"/>
        <v>3.2000000000000002E-3</v>
      </c>
      <c r="E65" s="745"/>
      <c r="F65" s="1814"/>
      <c r="G65" s="1063">
        <f t="shared" si="17"/>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3420</v>
      </c>
      <c r="D66" s="1065">
        <f t="shared" si="12"/>
        <v>3.8999999999999998E-3</v>
      </c>
      <c r="E66" s="745"/>
      <c r="F66" s="1814"/>
      <c r="G66" s="1063">
        <f t="shared" si="17"/>
        <v>3.8999999999999998E-3</v>
      </c>
      <c r="H66" s="1066">
        <f t="shared" si="13"/>
        <v>3.8999999999999998E-3</v>
      </c>
      <c r="I66" s="3366">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3419</v>
      </c>
      <c r="D67" s="1065">
        <f t="shared" si="12"/>
        <v>0</v>
      </c>
      <c r="E67" s="745"/>
      <c r="F67" s="1814"/>
      <c r="G67" s="1063">
        <f t="shared" si="17"/>
        <v>3.8999999999999998E-3</v>
      </c>
      <c r="H67" s="1066">
        <f t="shared" si="13"/>
        <v>3.8999999999999998E-3</v>
      </c>
      <c r="I67" s="3366">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3421</v>
      </c>
      <c r="D68" s="1065">
        <f t="shared" si="12"/>
        <v>1.1599999999999999E-2</v>
      </c>
      <c r="E68" s="745"/>
      <c r="F68" s="1814"/>
      <c r="G68" s="1063">
        <f t="shared" si="17"/>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3420</v>
      </c>
      <c r="D69" s="1065">
        <f t="shared" si="12"/>
        <v>4.4999999999999997E-3</v>
      </c>
      <c r="E69" s="746"/>
      <c r="F69" s="1814"/>
      <c r="G69" s="1063">
        <f t="shared" si="17"/>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3277</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3278</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3281</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3277</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3282</v>
      </c>
      <c r="B96" s="3384" t="s">
        <v>3293</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3283</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3284</v>
      </c>
      <c r="B98" s="3385" t="s">
        <v>3294</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3285</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3286</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3287</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7" t="s">
        <v>3302</v>
      </c>
      <c r="B103" s="3777"/>
      <c r="C103" s="3777"/>
      <c r="D103" s="3777"/>
      <c r="E103" s="3777"/>
      <c r="F103" s="3777"/>
      <c r="G103" s="3777"/>
      <c r="H103" s="3777"/>
      <c r="I103" s="3777"/>
      <c r="J103" s="3777"/>
      <c r="K103" s="3389"/>
      <c r="L103" s="3389"/>
      <c r="M103" s="3389"/>
      <c r="N103" s="3389"/>
    </row>
    <row r="104" spans="1:14">
      <c r="A104" s="3778" t="s">
        <v>3303</v>
      </c>
      <c r="B104" s="3778" t="s">
        <v>3304</v>
      </c>
      <c r="C104" s="3390" t="s">
        <v>3305</v>
      </c>
      <c r="D104" s="3391"/>
      <c r="E104" s="3391"/>
      <c r="F104" s="3391"/>
      <c r="G104" s="3391"/>
      <c r="H104" s="3391"/>
      <c r="I104" s="3391"/>
      <c r="J104" s="3392"/>
      <c r="K104" s="3393"/>
      <c r="L104" s="3393"/>
      <c r="M104" s="3393"/>
      <c r="N104" s="3393"/>
    </row>
    <row r="105" spans="1:14">
      <c r="A105" s="3778"/>
      <c r="B105" s="3778"/>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64"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5"/>
      <c r="B111" s="3394" t="s">
        <v>3276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7" t="s">
        <v>3319</v>
      </c>
      <c r="B113" s="3767"/>
      <c r="C113" s="3767"/>
      <c r="D113" s="3767"/>
      <c r="E113" s="3767"/>
      <c r="F113" s="3767"/>
      <c r="G113" s="3767"/>
      <c r="H113" s="3767"/>
      <c r="I113" s="3767"/>
      <c r="J113" s="376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3</v>
      </c>
      <c r="C116" s="3399" t="s">
        <v>3321</v>
      </c>
      <c r="D116" s="3400">
        <f>SUMPRODUCT((A118:A122=F116)*(B117:M117=H116)*B118:M122)</f>
        <v>0.89890000000000003</v>
      </c>
      <c r="E116" s="2000" t="s">
        <v>3322</v>
      </c>
      <c r="F116" s="3401" t="str">
        <f>E2</f>
        <v>办公</v>
      </c>
      <c r="G116" s="2000" t="s">
        <v>3323</v>
      </c>
      <c r="H116" s="3401" t="str">
        <f>G2</f>
        <v>七级</v>
      </c>
      <c r="I116" s="2000"/>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3337</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3338</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3339</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2614</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5" sqref="H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122281</v>
      </c>
      <c r="C2" s="1872" t="s">
        <v>1650</v>
      </c>
      <c r="D2" s="1873" t="s">
        <v>1651</v>
      </c>
      <c r="E2" s="2605">
        <f>SUM(E6:E13)</f>
        <v>57711.31</v>
      </c>
      <c r="F2" s="2705"/>
      <c r="G2" s="1489"/>
      <c r="H2" s="1489"/>
      <c r="I2" s="1489"/>
      <c r="J2" s="1489"/>
      <c r="K2" s="1489"/>
      <c r="L2" s="1489"/>
      <c r="M2" s="1489"/>
      <c r="N2" s="1489"/>
      <c r="O2" s="1489"/>
      <c r="P2" s="1489"/>
      <c r="Q2" s="1489"/>
      <c r="R2" s="1489"/>
      <c r="S2" s="1489"/>
    </row>
    <row r="3" spans="1:22" ht="15.75">
      <c r="A3" s="1870" t="s">
        <v>686</v>
      </c>
      <c r="B3" s="2599">
        <f ca="1">ROUND(B2*10000/E2,0)</f>
        <v>21188</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783" t="s">
        <v>1653</v>
      </c>
      <c r="C5" s="3784"/>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118518</v>
      </c>
      <c r="C6" s="1872" t="s">
        <v>1650</v>
      </c>
      <c r="D6" s="2707"/>
      <c r="E6" s="2604">
        <f>IF(OR(A6=0,F6="否"),0,'数据-取费表'!K6+'数据-取费表'!S6)</f>
        <v>48573.159999999996</v>
      </c>
      <c r="F6" s="1876" t="s">
        <v>1656</v>
      </c>
      <c r="G6" s="1489"/>
      <c r="H6" s="1489"/>
      <c r="I6" s="1489"/>
      <c r="J6" s="1489"/>
      <c r="K6" s="1489"/>
      <c r="L6" s="1489"/>
      <c r="M6" s="1489"/>
      <c r="N6" s="1489"/>
      <c r="O6" s="1489"/>
      <c r="P6" s="1489"/>
      <c r="Q6" s="1489"/>
      <c r="R6" s="1489"/>
      <c r="S6" s="1489"/>
    </row>
    <row r="7" spans="1:22">
      <c r="A7" s="2602" t="str">
        <f>'数据-取费表'!AN7</f>
        <v>收益法(仓储)</v>
      </c>
      <c r="B7" s="2600">
        <f ca="1">IF(F7="是",'数据-取费表'!AO7,0)</f>
        <v>1495</v>
      </c>
      <c r="C7" s="1872" t="s">
        <v>1650</v>
      </c>
      <c r="D7" s="2707"/>
      <c r="E7" s="2604">
        <f>IF(OR(A7=0,F7="否"),0,'数据-取费表'!K7+'数据-取费表'!S7)</f>
        <v>1189.98</v>
      </c>
      <c r="F7" s="1876" t="s">
        <v>1656</v>
      </c>
      <c r="G7" s="1489"/>
      <c r="H7" s="1489"/>
      <c r="I7" s="1489"/>
      <c r="J7" s="1489"/>
      <c r="K7" s="1489"/>
      <c r="L7" s="1489"/>
      <c r="M7" s="1489"/>
      <c r="N7" s="1489"/>
      <c r="O7" s="1489"/>
      <c r="P7" s="1489"/>
      <c r="Q7" s="1489"/>
      <c r="R7" s="1489"/>
      <c r="S7" s="1489"/>
    </row>
    <row r="8" spans="1:22">
      <c r="A8" s="2602" t="str">
        <f>'数据-取费表'!AN8</f>
        <v>收益法(车库)</v>
      </c>
      <c r="B8" s="2600">
        <f ca="1">IF(F8="是",'数据-取费表'!AO8,0)</f>
        <v>2268</v>
      </c>
      <c r="C8" s="1872" t="s">
        <v>1650</v>
      </c>
      <c r="D8" s="2707"/>
      <c r="E8" s="2604">
        <f>IF(OR(A8=0,F8="否"),0,'数据-取费表'!K8+'数据-取费表'!S8)</f>
        <v>7948.170000000001</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57711.310000000005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01" t="s">
        <v>1666</v>
      </c>
      <c r="D4" s="3702"/>
      <c r="E4" s="3703" t="s">
        <v>1667</v>
      </c>
      <c r="F4" s="3704"/>
      <c r="G4" s="3701" t="s">
        <v>1668</v>
      </c>
      <c r="H4" s="3702"/>
      <c r="I4" s="3701" t="s">
        <v>1669</v>
      </c>
      <c r="J4" s="3702"/>
      <c r="K4" s="1889" t="s">
        <v>1670</v>
      </c>
      <c r="L4" s="2713"/>
      <c r="M4" s="2714"/>
      <c r="N4" s="2714"/>
      <c r="O4" s="2714"/>
      <c r="P4" s="3789" t="s">
        <v>1671</v>
      </c>
      <c r="Q4" s="3790"/>
      <c r="R4" s="3786" t="s">
        <v>1667</v>
      </c>
      <c r="S4" s="3787"/>
      <c r="T4" s="3786" t="s">
        <v>1668</v>
      </c>
      <c r="U4" s="3787"/>
      <c r="V4" s="3714" t="s">
        <v>1669</v>
      </c>
      <c r="W4" s="3714"/>
      <c r="X4" s="1355"/>
      <c r="Y4" s="3786" t="s">
        <v>1671</v>
      </c>
      <c r="Z4" s="3787"/>
      <c r="AA4" s="3785" t="s">
        <v>1667</v>
      </c>
      <c r="AB4" s="3785" t="s">
        <v>1668</v>
      </c>
      <c r="AC4" s="3785" t="s">
        <v>1669</v>
      </c>
    </row>
    <row r="5" spans="1:29" ht="15">
      <c r="A5" s="358"/>
      <c r="B5" s="359"/>
      <c r="C5" s="3690" t="s">
        <v>1672</v>
      </c>
      <c r="D5" s="3691"/>
      <c r="E5" s="3788" t="s">
        <v>1673</v>
      </c>
      <c r="F5" s="3689"/>
      <c r="G5" s="3690" t="s">
        <v>1674</v>
      </c>
      <c r="H5" s="3691"/>
      <c r="I5" s="3690" t="s">
        <v>1675</v>
      </c>
      <c r="J5" s="3691"/>
      <c r="K5" s="1890"/>
      <c r="L5" s="2713"/>
      <c r="M5" s="2714"/>
      <c r="N5" s="2714"/>
      <c r="O5" s="2714"/>
      <c r="P5" s="3791"/>
      <c r="Q5" s="3708"/>
      <c r="R5" s="3686"/>
      <c r="S5" s="3687"/>
      <c r="T5" s="3686"/>
      <c r="U5" s="3687"/>
      <c r="V5" s="3714"/>
      <c r="W5" s="3714"/>
      <c r="X5" s="1355"/>
      <c r="Y5" s="3686"/>
      <c r="Z5" s="3687"/>
      <c r="AA5" s="3680"/>
      <c r="AB5" s="3680"/>
      <c r="AC5" s="3680"/>
    </row>
    <row r="6" spans="1:29" ht="15.75" thickBot="1">
      <c r="A6" s="360"/>
      <c r="B6" s="361"/>
      <c r="C6" s="3692" t="s">
        <v>1676</v>
      </c>
      <c r="D6" s="3693"/>
      <c r="E6" s="3695" t="s">
        <v>1676</v>
      </c>
      <c r="F6" s="3696"/>
      <c r="G6" s="3692" t="s">
        <v>1676</v>
      </c>
      <c r="H6" s="3693"/>
      <c r="I6" s="3692" t="s">
        <v>1676</v>
      </c>
      <c r="J6" s="3693"/>
      <c r="K6" s="1890" t="s">
        <v>1677</v>
      </c>
      <c r="L6" s="2713"/>
      <c r="M6" s="2714"/>
      <c r="N6" s="2714"/>
      <c r="O6" s="2714"/>
      <c r="P6" s="3792"/>
      <c r="Q6" s="3710"/>
      <c r="R6" s="3686"/>
      <c r="S6" s="3687"/>
      <c r="T6" s="3711"/>
      <c r="U6" s="3712"/>
      <c r="V6" s="3714"/>
      <c r="W6" s="3714"/>
      <c r="X6" s="1355"/>
      <c r="Y6" s="3711"/>
      <c r="Z6" s="3712"/>
      <c r="AA6" s="3681"/>
      <c r="AB6" s="3681"/>
      <c r="AC6" s="3681"/>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2" t="s">
        <v>1679</v>
      </c>
      <c r="Q7" s="3716"/>
      <c r="R7" s="701" t="s">
        <v>20</v>
      </c>
      <c r="S7" s="702">
        <f t="shared" ref="S7:S15" si="0">F7</f>
        <v>0</v>
      </c>
      <c r="T7" s="701" t="s">
        <v>20</v>
      </c>
      <c r="U7" s="702">
        <f t="shared" ref="U7:U15" si="1">H7</f>
        <v>0</v>
      </c>
      <c r="V7" s="701" t="s">
        <v>20</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2" t="s">
        <v>1682</v>
      </c>
      <c r="Q8" s="3683"/>
      <c r="R8" s="701" t="s">
        <v>20</v>
      </c>
      <c r="S8" s="702">
        <f t="shared" si="0"/>
        <v>100</v>
      </c>
      <c r="T8" s="701" t="s">
        <v>20</v>
      </c>
      <c r="U8" s="702">
        <f t="shared" si="1"/>
        <v>100</v>
      </c>
      <c r="V8" s="701" t="s">
        <v>20</v>
      </c>
      <c r="W8" s="702">
        <f t="shared" si="2"/>
        <v>100</v>
      </c>
      <c r="X8" s="703"/>
      <c r="Y8" s="3682" t="s">
        <v>1682</v>
      </c>
      <c r="Z8" s="368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7"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7"/>
      <c r="Q11" s="1343"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7"/>
      <c r="Q12" s="1343">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7"/>
      <c r="Q13" s="1343">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7"/>
      <c r="Q14" s="1343">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1690</v>
      </c>
      <c r="Q15" s="1352" t="str">
        <f t="shared" si="6"/>
        <v>居住社区成熟度</v>
      </c>
      <c r="R15" s="705" t="s">
        <v>18</v>
      </c>
      <c r="S15" s="706">
        <f t="shared" si="0"/>
        <v>100</v>
      </c>
      <c r="T15" s="705" t="s">
        <v>18</v>
      </c>
      <c r="U15" s="706">
        <f t="shared" si="1"/>
        <v>100</v>
      </c>
      <c r="V15" s="705" t="s">
        <v>18</v>
      </c>
      <c r="W15" s="706">
        <f t="shared" si="2"/>
        <v>100</v>
      </c>
      <c r="X15" s="1355"/>
      <c r="Y15" s="371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8"/>
      <c r="Q16" s="1352"/>
      <c r="R16" s="705"/>
      <c r="S16" s="706"/>
      <c r="T16" s="705"/>
      <c r="U16" s="706"/>
      <c r="V16" s="705"/>
      <c r="W16" s="706"/>
      <c r="X16" s="1355"/>
      <c r="Y16" s="372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8"/>
      <c r="Q18" s="1352"/>
      <c r="R18" s="705"/>
      <c r="S18" s="706"/>
      <c r="T18" s="705"/>
      <c r="U18" s="706"/>
      <c r="V18" s="705"/>
      <c r="W18" s="706"/>
      <c r="X18" s="1355"/>
      <c r="Y18" s="372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8"/>
      <c r="Q20" s="1352"/>
      <c r="R20" s="705"/>
      <c r="S20" s="706"/>
      <c r="T20" s="705"/>
      <c r="U20" s="706"/>
      <c r="V20" s="705"/>
      <c r="W20" s="706"/>
      <c r="X20" s="1355"/>
      <c r="Y20" s="372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8"/>
      <c r="Q22" s="1352"/>
      <c r="R22" s="705"/>
      <c r="S22" s="706"/>
      <c r="T22" s="705"/>
      <c r="U22" s="706"/>
      <c r="V22" s="705"/>
      <c r="W22" s="706"/>
      <c r="X22" s="1355"/>
      <c r="Y22" s="372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8"/>
      <c r="Q24" s="1352"/>
      <c r="R24" s="705"/>
      <c r="S24" s="706"/>
      <c r="T24" s="705"/>
      <c r="U24" s="706"/>
      <c r="V24" s="705"/>
      <c r="W24" s="706"/>
      <c r="X24" s="1355"/>
      <c r="Y24" s="372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8"/>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8"/>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1" t="s">
        <v>1695</v>
      </c>
      <c r="Q32" s="1352" t="str">
        <f t="shared" si="11"/>
        <v>建筑类型</v>
      </c>
      <c r="R32" s="705" t="s">
        <v>18</v>
      </c>
      <c r="S32" s="706">
        <f t="shared" si="12"/>
        <v>100</v>
      </c>
      <c r="T32" s="705" t="s">
        <v>18</v>
      </c>
      <c r="U32" s="706">
        <f t="shared" si="13"/>
        <v>100</v>
      </c>
      <c r="V32" s="705" t="s">
        <v>18</v>
      </c>
      <c r="W32" s="706">
        <f t="shared" si="14"/>
        <v>100</v>
      </c>
      <c r="X32" s="1355"/>
      <c r="Y32" s="372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1695</v>
      </c>
      <c r="Q38" s="1352" t="str">
        <f t="shared" si="11"/>
        <v>物业管理</v>
      </c>
      <c r="R38" s="705" t="s">
        <v>18</v>
      </c>
      <c r="S38" s="706">
        <f t="shared" si="12"/>
        <v>100</v>
      </c>
      <c r="T38" s="705" t="s">
        <v>18</v>
      </c>
      <c r="U38" s="706">
        <f t="shared" si="13"/>
        <v>100</v>
      </c>
      <c r="V38" s="705" t="s">
        <v>18</v>
      </c>
      <c r="W38" s="706">
        <f t="shared" si="14"/>
        <v>100</v>
      </c>
      <c r="X38" s="1355"/>
      <c r="Y38" s="372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57711.310000000005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01" t="s">
        <v>1769</v>
      </c>
      <c r="D4" s="3702"/>
      <c r="E4" s="3703" t="s">
        <v>1770</v>
      </c>
      <c r="F4" s="3704"/>
      <c r="G4" s="3701" t="s">
        <v>1771</v>
      </c>
      <c r="H4" s="3702"/>
      <c r="I4" s="3701" t="s">
        <v>1772</v>
      </c>
      <c r="J4" s="3702"/>
      <c r="K4" s="559" t="s">
        <v>1773</v>
      </c>
      <c r="L4" s="2713"/>
      <c r="M4" s="2714"/>
      <c r="N4" s="2714"/>
      <c r="O4" s="2714"/>
      <c r="P4" s="3789" t="s">
        <v>1774</v>
      </c>
      <c r="Q4" s="3790"/>
      <c r="R4" s="3786" t="s">
        <v>1770</v>
      </c>
      <c r="S4" s="3787"/>
      <c r="T4" s="3786" t="s">
        <v>1771</v>
      </c>
      <c r="U4" s="3787"/>
      <c r="V4" s="3714" t="s">
        <v>1772</v>
      </c>
      <c r="W4" s="3714"/>
      <c r="X4" s="1355"/>
      <c r="Y4" s="3786" t="s">
        <v>1774</v>
      </c>
      <c r="Z4" s="3787"/>
      <c r="AA4" s="3785" t="s">
        <v>1770</v>
      </c>
      <c r="AB4" s="3714" t="s">
        <v>1771</v>
      </c>
      <c r="AC4" s="3785" t="s">
        <v>1772</v>
      </c>
    </row>
    <row r="5" spans="1:29" ht="15">
      <c r="A5" s="358"/>
      <c r="B5" s="359"/>
      <c r="C5" s="3690" t="s">
        <v>1672</v>
      </c>
      <c r="D5" s="3691"/>
      <c r="E5" s="3788" t="s">
        <v>1673</v>
      </c>
      <c r="F5" s="3689"/>
      <c r="G5" s="3690" t="s">
        <v>1674</v>
      </c>
      <c r="H5" s="3691"/>
      <c r="I5" s="3690" t="s">
        <v>1675</v>
      </c>
      <c r="J5" s="3691"/>
      <c r="K5" s="559"/>
      <c r="L5" s="2713"/>
      <c r="M5" s="2714"/>
      <c r="N5" s="2714"/>
      <c r="O5" s="2714"/>
      <c r="P5" s="3791"/>
      <c r="Q5" s="3708"/>
      <c r="R5" s="3686"/>
      <c r="S5" s="3687"/>
      <c r="T5" s="3686"/>
      <c r="U5" s="3687"/>
      <c r="V5" s="3714"/>
      <c r="W5" s="3714"/>
      <c r="X5" s="1355"/>
      <c r="Y5" s="3686"/>
      <c r="Z5" s="3687"/>
      <c r="AA5" s="3680"/>
      <c r="AB5" s="3714"/>
      <c r="AC5" s="3680"/>
    </row>
    <row r="6" spans="1:29" ht="15.75" thickBot="1">
      <c r="A6" s="360"/>
      <c r="B6" s="361"/>
      <c r="C6" s="3692" t="s">
        <v>1676</v>
      </c>
      <c r="D6" s="3693"/>
      <c r="E6" s="3695" t="s">
        <v>1676</v>
      </c>
      <c r="F6" s="3696"/>
      <c r="G6" s="3692" t="s">
        <v>1676</v>
      </c>
      <c r="H6" s="3693"/>
      <c r="I6" s="3692" t="s">
        <v>1676</v>
      </c>
      <c r="J6" s="3693"/>
      <c r="K6" s="559" t="s">
        <v>1677</v>
      </c>
      <c r="L6" s="2713"/>
      <c r="M6" s="2714"/>
      <c r="N6" s="2714"/>
      <c r="O6" s="2714"/>
      <c r="P6" s="3792"/>
      <c r="Q6" s="3710"/>
      <c r="R6" s="3686"/>
      <c r="S6" s="3687"/>
      <c r="T6" s="3711"/>
      <c r="U6" s="3712"/>
      <c r="V6" s="3714"/>
      <c r="W6" s="3714"/>
      <c r="X6" s="1355"/>
      <c r="Y6" s="3711"/>
      <c r="Z6" s="3712"/>
      <c r="AA6" s="3681"/>
      <c r="AB6" s="3714"/>
      <c r="AC6" s="3681"/>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2" t="s">
        <v>1679</v>
      </c>
      <c r="Q7" s="3716"/>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2" t="s">
        <v>1682</v>
      </c>
      <c r="Q8" s="3683"/>
      <c r="R8" s="701" t="s">
        <v>14</v>
      </c>
      <c r="S8" s="702">
        <f t="shared" si="0"/>
        <v>100</v>
      </c>
      <c r="T8" s="701" t="s">
        <v>14</v>
      </c>
      <c r="U8" s="702">
        <f t="shared" si="1"/>
        <v>100</v>
      </c>
      <c r="V8" s="701" t="s">
        <v>14</v>
      </c>
      <c r="W8" s="702">
        <f t="shared" si="2"/>
        <v>100</v>
      </c>
      <c r="X8" s="703"/>
      <c r="Y8" s="3682" t="s">
        <v>1682</v>
      </c>
      <c r="Z8" s="368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7"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7"/>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1690</v>
      </c>
      <c r="Q15" s="1352" t="str">
        <f t="shared" si="6"/>
        <v>商业繁华度</v>
      </c>
      <c r="R15" s="705" t="s">
        <v>14</v>
      </c>
      <c r="S15" s="706">
        <f t="shared" si="0"/>
        <v>100</v>
      </c>
      <c r="T15" s="705" t="s">
        <v>14</v>
      </c>
      <c r="U15" s="706">
        <f t="shared" si="1"/>
        <v>100</v>
      </c>
      <c r="V15" s="705" t="s">
        <v>14</v>
      </c>
      <c r="W15" s="706">
        <f t="shared" si="2"/>
        <v>100</v>
      </c>
      <c r="X15" s="1355"/>
      <c r="Y15" s="371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2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2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2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2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2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1695</v>
      </c>
      <c r="Q32" s="1352" t="str">
        <f t="shared" si="11"/>
        <v>商业类型</v>
      </c>
      <c r="R32" s="705" t="s">
        <v>14</v>
      </c>
      <c r="S32" s="706">
        <f t="shared" si="12"/>
        <v>100</v>
      </c>
      <c r="T32" s="705" t="s">
        <v>14</v>
      </c>
      <c r="U32" s="706">
        <f t="shared" si="13"/>
        <v>100</v>
      </c>
      <c r="V32" s="705" t="s">
        <v>14</v>
      </c>
      <c r="W32" s="706">
        <f t="shared" si="14"/>
        <v>100</v>
      </c>
      <c r="X32" s="1355"/>
      <c r="Y32" s="372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1695</v>
      </c>
      <c r="Q38" s="1352" t="str">
        <f t="shared" si="11"/>
        <v>业态</v>
      </c>
      <c r="R38" s="705" t="s">
        <v>14</v>
      </c>
      <c r="S38" s="706">
        <f t="shared" si="12"/>
        <v>100</v>
      </c>
      <c r="T38" s="705" t="s">
        <v>14</v>
      </c>
      <c r="U38" s="706">
        <f t="shared" si="13"/>
        <v>100</v>
      </c>
      <c r="V38" s="705" t="s">
        <v>14</v>
      </c>
      <c r="W38" s="706">
        <f t="shared" si="14"/>
        <v>100</v>
      </c>
      <c r="X38" s="1355"/>
      <c r="Y38" s="372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57711.310000000005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1" t="s">
        <v>1769</v>
      </c>
      <c r="D4" s="3702"/>
      <c r="E4" s="3703" t="s">
        <v>1770</v>
      </c>
      <c r="F4" s="3704"/>
      <c r="G4" s="3701" t="s">
        <v>1771</v>
      </c>
      <c r="H4" s="3702"/>
      <c r="I4" s="3701" t="s">
        <v>1772</v>
      </c>
      <c r="J4" s="3702"/>
      <c r="K4" s="559" t="s">
        <v>1773</v>
      </c>
      <c r="L4" s="913"/>
      <c r="M4" s="914"/>
      <c r="N4" s="914"/>
      <c r="O4" s="914"/>
      <c r="P4" s="3789" t="s">
        <v>1774</v>
      </c>
      <c r="Q4" s="3790"/>
      <c r="R4" s="3786" t="s">
        <v>1770</v>
      </c>
      <c r="S4" s="3787"/>
      <c r="T4" s="3786" t="s">
        <v>1771</v>
      </c>
      <c r="U4" s="3787"/>
      <c r="V4" s="3714" t="s">
        <v>1772</v>
      </c>
      <c r="W4" s="3714"/>
      <c r="X4" s="1355"/>
      <c r="Y4" s="3786" t="s">
        <v>1774</v>
      </c>
      <c r="Z4" s="3787"/>
      <c r="AA4" s="3785" t="s">
        <v>1770</v>
      </c>
      <c r="AB4" s="3680" t="s">
        <v>1771</v>
      </c>
      <c r="AC4" s="3785" t="s">
        <v>1772</v>
      </c>
    </row>
    <row r="5" spans="1:29" ht="15">
      <c r="A5" s="358"/>
      <c r="B5" s="359"/>
      <c r="C5" s="3690" t="s">
        <v>1672</v>
      </c>
      <c r="D5" s="3691"/>
      <c r="E5" s="3788" t="s">
        <v>1673</v>
      </c>
      <c r="F5" s="3689"/>
      <c r="G5" s="3690" t="s">
        <v>1674</v>
      </c>
      <c r="H5" s="3691"/>
      <c r="I5" s="3690" t="s">
        <v>1675</v>
      </c>
      <c r="J5" s="3691"/>
      <c r="K5" s="559"/>
      <c r="L5" s="913"/>
      <c r="M5" s="914"/>
      <c r="N5" s="914"/>
      <c r="O5" s="914"/>
      <c r="P5" s="3791"/>
      <c r="Q5" s="3708"/>
      <c r="R5" s="3686"/>
      <c r="S5" s="3687"/>
      <c r="T5" s="3686"/>
      <c r="U5" s="3687"/>
      <c r="V5" s="3714"/>
      <c r="W5" s="3714"/>
      <c r="X5" s="1355"/>
      <c r="Y5" s="3686"/>
      <c r="Z5" s="3687"/>
      <c r="AA5" s="3680"/>
      <c r="AB5" s="3680"/>
      <c r="AC5" s="3680"/>
    </row>
    <row r="6" spans="1:29" ht="15.75" thickBot="1">
      <c r="A6" s="360"/>
      <c r="B6" s="361"/>
      <c r="C6" s="3692" t="s">
        <v>1676</v>
      </c>
      <c r="D6" s="3693"/>
      <c r="E6" s="3695" t="s">
        <v>1676</v>
      </c>
      <c r="F6" s="3696"/>
      <c r="G6" s="3692" t="s">
        <v>1676</v>
      </c>
      <c r="H6" s="3693"/>
      <c r="I6" s="3692" t="s">
        <v>1676</v>
      </c>
      <c r="J6" s="3693"/>
      <c r="K6" s="559" t="s">
        <v>1677</v>
      </c>
      <c r="L6" s="913"/>
      <c r="M6" s="914"/>
      <c r="N6" s="914"/>
      <c r="O6" s="914"/>
      <c r="P6" s="3792"/>
      <c r="Q6" s="3710"/>
      <c r="R6" s="3686"/>
      <c r="S6" s="3687"/>
      <c r="T6" s="3711"/>
      <c r="U6" s="3712"/>
      <c r="V6" s="3714"/>
      <c r="W6" s="3714"/>
      <c r="X6" s="1355"/>
      <c r="Y6" s="3711"/>
      <c r="Z6" s="3712"/>
      <c r="AA6" s="3681"/>
      <c r="AB6" s="3681"/>
      <c r="AC6" s="3681"/>
    </row>
    <row r="7" spans="1:29" s="108" customFormat="1" ht="15.75" thickBot="1">
      <c r="A7" s="362" t="s">
        <v>1678</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1679</v>
      </c>
      <c r="Q7" s="3716"/>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1682</v>
      </c>
      <c r="Q8" s="3683"/>
      <c r="R8" s="701" t="s">
        <v>14</v>
      </c>
      <c r="S8" s="702">
        <f t="shared" si="0"/>
        <v>100</v>
      </c>
      <c r="T8" s="701" t="s">
        <v>14</v>
      </c>
      <c r="U8" s="702">
        <f t="shared" si="1"/>
        <v>100</v>
      </c>
      <c r="V8" s="701" t="s">
        <v>14</v>
      </c>
      <c r="W8" s="702">
        <f t="shared" si="2"/>
        <v>100</v>
      </c>
      <c r="X8" s="703"/>
      <c r="Y8" s="3682" t="s">
        <v>1682</v>
      </c>
      <c r="Z8" s="368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1690</v>
      </c>
      <c r="Q15" s="1352" t="str">
        <f t="shared" si="6"/>
        <v>产业集聚程度</v>
      </c>
      <c r="R15" s="705" t="s">
        <v>14</v>
      </c>
      <c r="S15" s="706">
        <f t="shared" si="0"/>
        <v>100</v>
      </c>
      <c r="T15" s="705" t="s">
        <v>14</v>
      </c>
      <c r="U15" s="706">
        <f t="shared" si="1"/>
        <v>100</v>
      </c>
      <c r="V15" s="705" t="s">
        <v>14</v>
      </c>
      <c r="W15" s="706">
        <f t="shared" si="2"/>
        <v>100</v>
      </c>
      <c r="X15" s="1355"/>
      <c r="Y15" s="371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6" t="s">
        <v>1695</v>
      </c>
      <c r="Q29" s="1352" t="str">
        <f t="shared" si="11"/>
        <v>建筑类型</v>
      </c>
      <c r="R29" s="705" t="s">
        <v>14</v>
      </c>
      <c r="S29" s="706">
        <f t="shared" si="12"/>
        <v>100</v>
      </c>
      <c r="T29" s="705" t="s">
        <v>14</v>
      </c>
      <c r="U29" s="706">
        <f t="shared" si="13"/>
        <v>100</v>
      </c>
      <c r="V29" s="705" t="s">
        <v>14</v>
      </c>
      <c r="W29" s="706">
        <f t="shared" si="14"/>
        <v>100</v>
      </c>
      <c r="X29" s="1355"/>
      <c r="Y29" s="372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1695</v>
      </c>
      <c r="Q35" s="1352" t="str">
        <f t="shared" si="11"/>
        <v>市政基础设施</v>
      </c>
      <c r="R35" s="705" t="s">
        <v>14</v>
      </c>
      <c r="S35" s="706">
        <f t="shared" si="12"/>
        <v>100</v>
      </c>
      <c r="T35" s="705" t="s">
        <v>14</v>
      </c>
      <c r="U35" s="706">
        <f t="shared" si="13"/>
        <v>100</v>
      </c>
      <c r="V35" s="705" t="s">
        <v>14</v>
      </c>
      <c r="W35" s="706">
        <f t="shared" si="14"/>
        <v>100</v>
      </c>
      <c r="X35" s="1355"/>
      <c r="Y35" s="372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93" t="str">
        <f>A43</f>
        <v>估价对象XX用房的比较价值（楼面单价，元/平方米）</v>
      </c>
      <c r="Q43" s="3794"/>
      <c r="R43" s="3795" t="e">
        <f>IF(F1="售价",ROUND(IF(D42="简单平均",AVERAGE(R42:V42),R42*F42+T42*H42+V42*J42),0),ROUND(IF(D42="简单平均",AVERAGE(R42:V42),R42*F42+T42*H42+V42*J42),1))</f>
        <v>#DIV/0!</v>
      </c>
      <c r="S43" s="3795"/>
      <c r="T43" s="3795"/>
      <c r="U43" s="3795"/>
      <c r="V43" s="3795"/>
      <c r="W43" s="379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3341</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01" t="s">
        <v>1769</v>
      </c>
      <c r="D4" s="3702"/>
      <c r="E4" s="3703" t="s">
        <v>1770</v>
      </c>
      <c r="F4" s="3704"/>
      <c r="G4" s="3701" t="s">
        <v>1771</v>
      </c>
      <c r="H4" s="3702"/>
      <c r="I4" s="3701" t="s">
        <v>1772</v>
      </c>
      <c r="J4" s="3702"/>
      <c r="K4" s="559" t="s">
        <v>1773</v>
      </c>
      <c r="L4" s="2713"/>
      <c r="M4" s="2714"/>
      <c r="N4" s="2714"/>
      <c r="O4" s="2714"/>
      <c r="P4" s="3789" t="s">
        <v>1774</v>
      </c>
      <c r="Q4" s="3790"/>
      <c r="R4" s="3786" t="s">
        <v>1770</v>
      </c>
      <c r="S4" s="3787"/>
      <c r="T4" s="3786" t="s">
        <v>1771</v>
      </c>
      <c r="U4" s="3787"/>
      <c r="V4" s="3714" t="s">
        <v>1772</v>
      </c>
      <c r="W4" s="3714"/>
      <c r="X4" s="1355"/>
      <c r="Y4" s="3786" t="s">
        <v>1774</v>
      </c>
      <c r="Z4" s="3787"/>
      <c r="AA4" s="3785" t="s">
        <v>1770</v>
      </c>
      <c r="AB4" s="3680" t="s">
        <v>1771</v>
      </c>
      <c r="AC4" s="3785" t="s">
        <v>1772</v>
      </c>
    </row>
    <row r="5" spans="1:29" ht="15">
      <c r="A5" s="358"/>
      <c r="B5" s="359"/>
      <c r="C5" s="3690" t="s">
        <v>1672</v>
      </c>
      <c r="D5" s="3691"/>
      <c r="E5" s="3788" t="s">
        <v>1673</v>
      </c>
      <c r="F5" s="3689"/>
      <c r="G5" s="3690" t="s">
        <v>1674</v>
      </c>
      <c r="H5" s="3691"/>
      <c r="I5" s="3690" t="s">
        <v>1675</v>
      </c>
      <c r="J5" s="3691"/>
      <c r="K5" s="559"/>
      <c r="L5" s="2713"/>
      <c r="M5" s="2714"/>
      <c r="N5" s="2714"/>
      <c r="O5" s="2714"/>
      <c r="P5" s="3791"/>
      <c r="Q5" s="3708"/>
      <c r="R5" s="3686"/>
      <c r="S5" s="3687"/>
      <c r="T5" s="3686"/>
      <c r="U5" s="3687"/>
      <c r="V5" s="3714"/>
      <c r="W5" s="3714"/>
      <c r="X5" s="1355"/>
      <c r="Y5" s="3686"/>
      <c r="Z5" s="3687"/>
      <c r="AA5" s="3680"/>
      <c r="AB5" s="3680"/>
      <c r="AC5" s="3680"/>
    </row>
    <row r="6" spans="1:29" ht="15.75" thickBot="1">
      <c r="A6" s="360"/>
      <c r="B6" s="361"/>
      <c r="C6" s="3692" t="s">
        <v>1676</v>
      </c>
      <c r="D6" s="3693"/>
      <c r="E6" s="3695" t="s">
        <v>1676</v>
      </c>
      <c r="F6" s="3696"/>
      <c r="G6" s="3692" t="s">
        <v>1676</v>
      </c>
      <c r="H6" s="3693"/>
      <c r="I6" s="3692" t="s">
        <v>1676</v>
      </c>
      <c r="J6" s="3693"/>
      <c r="K6" s="559" t="s">
        <v>1677</v>
      </c>
      <c r="L6" s="2713"/>
      <c r="M6" s="2714"/>
      <c r="N6" s="2714"/>
      <c r="O6" s="2714"/>
      <c r="P6" s="3792"/>
      <c r="Q6" s="3710"/>
      <c r="R6" s="3686"/>
      <c r="S6" s="3687"/>
      <c r="T6" s="3711"/>
      <c r="U6" s="3712"/>
      <c r="V6" s="3714"/>
      <c r="W6" s="3714"/>
      <c r="X6" s="1355"/>
      <c r="Y6" s="3711"/>
      <c r="Z6" s="3712"/>
      <c r="AA6" s="3681"/>
      <c r="AB6" s="3681"/>
      <c r="AC6" s="3681"/>
    </row>
    <row r="7" spans="1:29" s="108" customFormat="1" ht="15.75" thickBot="1">
      <c r="A7" s="362" t="s">
        <v>1678</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2" t="s">
        <v>1679</v>
      </c>
      <c r="Q7" s="3716"/>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2" t="s">
        <v>1682</v>
      </c>
      <c r="Q8" s="3683"/>
      <c r="R8" s="701" t="s">
        <v>14</v>
      </c>
      <c r="S8" s="702">
        <f t="shared" si="0"/>
        <v>100</v>
      </c>
      <c r="T8" s="701" t="s">
        <v>14</v>
      </c>
      <c r="U8" s="702">
        <f t="shared" si="1"/>
        <v>100</v>
      </c>
      <c r="V8" s="701" t="s">
        <v>14</v>
      </c>
      <c r="W8" s="702">
        <f t="shared" si="2"/>
        <v>100</v>
      </c>
      <c r="X8" s="703"/>
      <c r="Y8" s="3682" t="s">
        <v>1682</v>
      </c>
      <c r="Z8" s="368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1685</v>
      </c>
      <c r="Q9" s="1343" t="str">
        <f t="shared" ref="Q9:Q14" si="6">B9</f>
        <v>用途</v>
      </c>
      <c r="R9" s="701" t="s">
        <v>14</v>
      </c>
      <c r="S9" s="702">
        <f t="shared" si="0"/>
        <v>100</v>
      </c>
      <c r="T9" s="701" t="s">
        <v>14</v>
      </c>
      <c r="U9" s="702">
        <f t="shared" si="1"/>
        <v>100</v>
      </c>
      <c r="V9" s="701" t="s">
        <v>14</v>
      </c>
      <c r="W9" s="702">
        <f t="shared" si="2"/>
        <v>100</v>
      </c>
      <c r="X9" s="703"/>
      <c r="Y9" s="3655"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726"/>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3">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1690</v>
      </c>
      <c r="Q14" s="1352" t="str">
        <f t="shared" si="6"/>
        <v>交通便捷度</v>
      </c>
      <c r="R14" s="705" t="s">
        <v>14</v>
      </c>
      <c r="S14" s="706">
        <f t="shared" si="0"/>
        <v>100</v>
      </c>
      <c r="T14" s="705" t="s">
        <v>14</v>
      </c>
      <c r="U14" s="706">
        <f t="shared" si="1"/>
        <v>100</v>
      </c>
      <c r="V14" s="705" t="s">
        <v>14</v>
      </c>
      <c r="W14" s="706">
        <f t="shared" si="2"/>
        <v>100</v>
      </c>
      <c r="X14" s="1355"/>
      <c r="Y14" s="371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0"/>
      <c r="Q15" s="1352"/>
      <c r="R15" s="705"/>
      <c r="S15" s="706"/>
      <c r="T15" s="705"/>
      <c r="U15" s="706"/>
      <c r="V15" s="705"/>
      <c r="W15" s="706"/>
      <c r="X15" s="1355"/>
      <c r="Y15" s="372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0"/>
      <c r="Q17" s="1352"/>
      <c r="R17" s="705"/>
      <c r="S17" s="706"/>
      <c r="T17" s="705"/>
      <c r="U17" s="706"/>
      <c r="V17" s="705"/>
      <c r="W17" s="706"/>
      <c r="X17" s="1355"/>
      <c r="Y17" s="372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0"/>
      <c r="Q19" s="1352"/>
      <c r="R19" s="705"/>
      <c r="S19" s="706"/>
      <c r="T19" s="705"/>
      <c r="U19" s="706"/>
      <c r="V19" s="705"/>
      <c r="W19" s="706"/>
      <c r="X19" s="1355"/>
      <c r="Y19" s="372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0"/>
      <c r="Q21" s="1352"/>
      <c r="R21" s="705"/>
      <c r="S21" s="706"/>
      <c r="T21" s="705"/>
      <c r="U21" s="706"/>
      <c r="V21" s="705"/>
      <c r="W21" s="706"/>
      <c r="X21" s="1355"/>
      <c r="Y21" s="372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9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1695</v>
      </c>
      <c r="Q32" s="1352" t="str">
        <f t="shared" si="11"/>
        <v>车位类型</v>
      </c>
      <c r="R32" s="705" t="s">
        <v>14</v>
      </c>
      <c r="S32" s="706">
        <f t="shared" si="12"/>
        <v>100</v>
      </c>
      <c r="T32" s="705" t="s">
        <v>14</v>
      </c>
      <c r="U32" s="706">
        <f t="shared" si="13"/>
        <v>100</v>
      </c>
      <c r="V32" s="705" t="s">
        <v>14</v>
      </c>
      <c r="W32" s="706">
        <f t="shared" si="14"/>
        <v>100</v>
      </c>
      <c r="X32" s="1355"/>
      <c r="Y32" s="372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1843</v>
      </c>
      <c r="B37" s="1973" t="s">
        <v>3362</v>
      </c>
      <c r="C37" s="1154" t="s">
        <v>0</v>
      </c>
      <c r="D37" s="1155"/>
      <c r="E37" s="1156"/>
      <c r="F37" s="1157"/>
      <c r="G37" s="1158"/>
      <c r="H37" s="1159"/>
      <c r="I37" s="1156"/>
      <c r="J37" s="1159"/>
      <c r="K37" s="568"/>
      <c r="L37" s="2722"/>
      <c r="M37" s="2723"/>
      <c r="N37" s="2714"/>
      <c r="O37" s="2723"/>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93" t="str">
        <f>A39</f>
        <v>估价对象XX用房的比较价值（楼面单价，元/平方米）</v>
      </c>
      <c r="Q39" s="3794"/>
      <c r="R39" s="3797" t="e">
        <f>IF(F1="售价",ROUND(IF(D38="简单平均",AVERAGE(R38:W38),R38*F38+T38*H38+V38*J38),0),ROUND(IF(D38="简单平均",AVERAGE(R38:V38),R38*F38+T38*H38+V38*J38),1))</f>
        <v>#DIV/0!</v>
      </c>
      <c r="S39" s="3797"/>
      <c r="T39" s="3797"/>
      <c r="U39" s="3797"/>
      <c r="V39" s="3797"/>
      <c r="W39" s="379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3342</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1" t="s">
        <v>1769</v>
      </c>
      <c r="D4" s="3702"/>
      <c r="E4" s="3703" t="s">
        <v>1770</v>
      </c>
      <c r="F4" s="3704"/>
      <c r="G4" s="3701" t="s">
        <v>1771</v>
      </c>
      <c r="H4" s="3702"/>
      <c r="I4" s="3701" t="s">
        <v>1772</v>
      </c>
      <c r="J4" s="3702"/>
      <c r="K4" s="559" t="s">
        <v>1773</v>
      </c>
      <c r="L4" s="2713"/>
      <c r="M4" s="2714"/>
      <c r="N4" s="2714"/>
      <c r="O4" s="2714"/>
      <c r="P4" s="3789" t="s">
        <v>1774</v>
      </c>
      <c r="Q4" s="3790"/>
      <c r="R4" s="3786" t="s">
        <v>1770</v>
      </c>
      <c r="S4" s="3787"/>
      <c r="T4" s="3786" t="s">
        <v>1771</v>
      </c>
      <c r="U4" s="3787"/>
      <c r="V4" s="3714" t="s">
        <v>1772</v>
      </c>
      <c r="W4" s="3714"/>
      <c r="X4" s="1355"/>
      <c r="Y4" s="3786" t="s">
        <v>1774</v>
      </c>
      <c r="Z4" s="3787"/>
      <c r="AA4" s="3785" t="s">
        <v>1770</v>
      </c>
      <c r="AB4" s="3680" t="s">
        <v>1771</v>
      </c>
      <c r="AC4" s="3785" t="s">
        <v>1772</v>
      </c>
    </row>
    <row r="5" spans="1:29" ht="15">
      <c r="A5" s="358"/>
      <c r="B5" s="359"/>
      <c r="C5" s="3690" t="s">
        <v>1672</v>
      </c>
      <c r="D5" s="3691"/>
      <c r="E5" s="3788" t="s">
        <v>1673</v>
      </c>
      <c r="F5" s="3689"/>
      <c r="G5" s="3690" t="s">
        <v>1674</v>
      </c>
      <c r="H5" s="3691"/>
      <c r="I5" s="3690" t="s">
        <v>1675</v>
      </c>
      <c r="J5" s="3691"/>
      <c r="K5" s="559"/>
      <c r="L5" s="2713"/>
      <c r="M5" s="2714"/>
      <c r="N5" s="2714"/>
      <c r="O5" s="2714"/>
      <c r="P5" s="3791"/>
      <c r="Q5" s="3708"/>
      <c r="R5" s="3686"/>
      <c r="S5" s="3687"/>
      <c r="T5" s="3686"/>
      <c r="U5" s="3687"/>
      <c r="V5" s="3714"/>
      <c r="W5" s="3714"/>
      <c r="X5" s="1355"/>
      <c r="Y5" s="3686"/>
      <c r="Z5" s="3687"/>
      <c r="AA5" s="3680"/>
      <c r="AB5" s="3680"/>
      <c r="AC5" s="3680"/>
    </row>
    <row r="6" spans="1:29" ht="15.75" thickBot="1">
      <c r="A6" s="360"/>
      <c r="B6" s="361"/>
      <c r="C6" s="3692" t="s">
        <v>1676</v>
      </c>
      <c r="D6" s="3693"/>
      <c r="E6" s="3695" t="s">
        <v>1676</v>
      </c>
      <c r="F6" s="3696"/>
      <c r="G6" s="3692" t="s">
        <v>1676</v>
      </c>
      <c r="H6" s="3693"/>
      <c r="I6" s="3692" t="s">
        <v>1676</v>
      </c>
      <c r="J6" s="3693"/>
      <c r="K6" s="559" t="s">
        <v>1677</v>
      </c>
      <c r="L6" s="2713"/>
      <c r="M6" s="2714"/>
      <c r="N6" s="2714"/>
      <c r="O6" s="2714"/>
      <c r="P6" s="3792"/>
      <c r="Q6" s="3710"/>
      <c r="R6" s="3686"/>
      <c r="S6" s="3687"/>
      <c r="T6" s="3711"/>
      <c r="U6" s="3712"/>
      <c r="V6" s="3714"/>
      <c r="W6" s="3714"/>
      <c r="X6" s="1355"/>
      <c r="Y6" s="3711"/>
      <c r="Z6" s="3712"/>
      <c r="AA6" s="3681"/>
      <c r="AB6" s="3681"/>
      <c r="AC6" s="3681"/>
    </row>
    <row r="7" spans="1:29" s="108" customFormat="1" ht="15.75" thickBot="1">
      <c r="A7" s="362" t="s">
        <v>1678</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2" t="s">
        <v>1679</v>
      </c>
      <c r="Q7" s="3716"/>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2" t="s">
        <v>1682</v>
      </c>
      <c r="Q8" s="3683"/>
      <c r="R8" s="701" t="s">
        <v>14</v>
      </c>
      <c r="S8" s="702">
        <f t="shared" si="0"/>
        <v>100</v>
      </c>
      <c r="T8" s="701" t="s">
        <v>14</v>
      </c>
      <c r="U8" s="702">
        <f t="shared" si="1"/>
        <v>100</v>
      </c>
      <c r="V8" s="701" t="s">
        <v>14</v>
      </c>
      <c r="W8" s="702">
        <f t="shared" si="2"/>
        <v>100</v>
      </c>
      <c r="X8" s="703"/>
      <c r="Y8" s="3682" t="s">
        <v>1682</v>
      </c>
      <c r="Z8" s="368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1685</v>
      </c>
      <c r="Q9" s="1343" t="str">
        <f t="shared" ref="Q9:Q14" si="6">B9</f>
        <v>用途</v>
      </c>
      <c r="R9" s="701" t="s">
        <v>14</v>
      </c>
      <c r="S9" s="702">
        <f t="shared" si="0"/>
        <v>100</v>
      </c>
      <c r="T9" s="701" t="s">
        <v>14</v>
      </c>
      <c r="U9" s="702">
        <f t="shared" si="1"/>
        <v>100</v>
      </c>
      <c r="V9" s="701" t="s">
        <v>14</v>
      </c>
      <c r="W9" s="702">
        <f t="shared" si="2"/>
        <v>100</v>
      </c>
      <c r="X9" s="703"/>
      <c r="Y9" s="3655"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726"/>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3">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1690</v>
      </c>
      <c r="Q14" s="1352" t="str">
        <f t="shared" si="6"/>
        <v>交通便捷度</v>
      </c>
      <c r="R14" s="705" t="s">
        <v>14</v>
      </c>
      <c r="S14" s="706">
        <f t="shared" si="0"/>
        <v>100</v>
      </c>
      <c r="T14" s="705" t="s">
        <v>14</v>
      </c>
      <c r="U14" s="706">
        <f t="shared" si="1"/>
        <v>100</v>
      </c>
      <c r="V14" s="705" t="s">
        <v>14</v>
      </c>
      <c r="W14" s="706">
        <f t="shared" si="2"/>
        <v>100</v>
      </c>
      <c r="X14" s="1355"/>
      <c r="Y14" s="371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0"/>
      <c r="Q15" s="1352"/>
      <c r="R15" s="705"/>
      <c r="S15" s="706"/>
      <c r="T15" s="705"/>
      <c r="U15" s="706"/>
      <c r="V15" s="705"/>
      <c r="W15" s="706"/>
      <c r="X15" s="1355"/>
      <c r="Y15" s="372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0"/>
      <c r="Q17" s="1352"/>
      <c r="R17" s="705"/>
      <c r="S17" s="706"/>
      <c r="T17" s="705"/>
      <c r="U17" s="706"/>
      <c r="V17" s="705"/>
      <c r="W17" s="706"/>
      <c r="X17" s="1355"/>
      <c r="Y17" s="372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0"/>
      <c r="Q19" s="1352"/>
      <c r="R19" s="705"/>
      <c r="S19" s="706"/>
      <c r="T19" s="705"/>
      <c r="U19" s="706"/>
      <c r="V19" s="705"/>
      <c r="W19" s="706"/>
      <c r="X19" s="1355"/>
      <c r="Y19" s="372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0"/>
      <c r="Q21" s="1352"/>
      <c r="R21" s="705"/>
      <c r="S21" s="706"/>
      <c r="T21" s="705"/>
      <c r="U21" s="706"/>
      <c r="V21" s="705"/>
      <c r="W21" s="706"/>
      <c r="X21" s="1355"/>
      <c r="Y21" s="372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9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1695</v>
      </c>
      <c r="Q32" s="1352">
        <f t="shared" si="11"/>
        <v>111</v>
      </c>
      <c r="R32" s="705" t="s">
        <v>14</v>
      </c>
      <c r="S32" s="706">
        <f t="shared" si="12"/>
        <v>100</v>
      </c>
      <c r="T32" s="705" t="s">
        <v>14</v>
      </c>
      <c r="U32" s="706">
        <f t="shared" si="13"/>
        <v>100</v>
      </c>
      <c r="V32" s="705" t="s">
        <v>14</v>
      </c>
      <c r="W32" s="706">
        <f t="shared" si="14"/>
        <v>100</v>
      </c>
      <c r="X32" s="1355"/>
      <c r="Y32" s="372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93" t="str">
        <f>A37</f>
        <v>估价对象XX用房的比较价值（楼面单价，元/平方米）</v>
      </c>
      <c r="Q37" s="3794"/>
      <c r="R37" s="3797" t="e">
        <f>IF(F1="售价",ROUND(IF(D36="简单平均",AVERAGE(R36:W36),R36*F36+T36*H36+V36*J36),0),ROUND(IF(D36="简单平均",AVERAGE(R36:V36),R36*F36+T36*H36+V36*J36),1))</f>
        <v>#DIV/0!</v>
      </c>
      <c r="S37" s="3797"/>
      <c r="T37" s="3797"/>
      <c r="U37" s="3797"/>
      <c r="V37" s="3797"/>
      <c r="W37" s="379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3"/>
      <c r="B4" s="3497" t="s">
        <v>917</v>
      </c>
      <c r="C4" s="3497"/>
      <c r="D4" s="3497"/>
      <c r="E4" s="1493"/>
    </row>
    <row r="5" spans="1:5" ht="16.5" thickTop="1">
      <c r="A5" s="1491"/>
      <c r="B5" s="3495" t="s">
        <v>909</v>
      </c>
      <c r="C5" s="1494" t="s">
        <v>910</v>
      </c>
      <c r="D5" s="850">
        <f ca="1">结果表!H101</f>
        <v>153479</v>
      </c>
      <c r="E5" s="1491"/>
    </row>
    <row r="6" spans="1:5" ht="15.75">
      <c r="A6" s="1491"/>
      <c r="B6" s="3495"/>
      <c r="C6" s="1494" t="s">
        <v>911</v>
      </c>
      <c r="D6" s="850" t="str">
        <f ca="1">NUMBERSTRING(INT(D5*10000),2)&amp;"元整"</f>
        <v>壹拾伍亿叁仟肆佰柒拾玖万元整</v>
      </c>
      <c r="E6" s="1491"/>
    </row>
    <row r="7" spans="1:5" ht="15.75">
      <c r="A7" s="1491"/>
      <c r="B7" s="3500"/>
      <c r="C7" s="1495" t="s">
        <v>912</v>
      </c>
      <c r="D7" s="851">
        <f ca="1">结果表!H102</f>
        <v>31597</v>
      </c>
      <c r="E7" s="1491"/>
    </row>
    <row r="8" spans="1:5" ht="15.75">
      <c r="A8" s="1491"/>
      <c r="B8" s="3501" t="str">
        <f>结果表!E103</f>
        <v>2.估价师知悉的法定优先受偿款</v>
      </c>
      <c r="C8" s="1496" t="s">
        <v>913</v>
      </c>
      <c r="D8" s="851">
        <f>结果表!H103</f>
        <v>0</v>
      </c>
      <c r="E8" s="1491"/>
    </row>
    <row r="9" spans="1:5" ht="15.75">
      <c r="A9" s="1491"/>
      <c r="B9" s="350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4" t="str">
        <f>结果表!E107</f>
        <v>3.房地产抵押价值</v>
      </c>
      <c r="C13" s="1499" t="s">
        <v>910</v>
      </c>
      <c r="D13" s="853">
        <f ca="1">结果表!H107</f>
        <v>153479</v>
      </c>
      <c r="E13" s="1491"/>
    </row>
    <row r="14" spans="1:5" ht="15.75">
      <c r="A14" s="1491"/>
      <c r="B14" s="3495"/>
      <c r="C14" s="1494" t="s">
        <v>911</v>
      </c>
      <c r="D14" s="850" t="str">
        <f ca="1">NUMBERSTRING(INT(D13*10000),2)&amp;"元整"</f>
        <v>壹拾伍亿叁仟肆佰柒拾玖万元整</v>
      </c>
      <c r="E14" s="1491"/>
    </row>
    <row r="15" spans="1:5" ht="15">
      <c r="A15" s="1491"/>
      <c r="B15" s="3500"/>
      <c r="C15" s="1495" t="s">
        <v>921</v>
      </c>
      <c r="D15" s="859">
        <f ca="1">结果表!H108</f>
        <v>31597</v>
      </c>
      <c r="E15" s="1491"/>
    </row>
    <row r="16" spans="1:5" ht="15">
      <c r="A16" s="1491"/>
      <c r="B16" s="3501" t="str">
        <f>结果表!E109</f>
        <v>——</v>
      </c>
      <c r="C16" s="1499" t="s">
        <v>922</v>
      </c>
      <c r="D16" s="1500" t="str">
        <f>结果表!H109</f>
        <v>——</v>
      </c>
      <c r="E16" s="1491"/>
    </row>
    <row r="17" spans="1:5" ht="15.75">
      <c r="A17" s="1491"/>
      <c r="B17" s="3502"/>
      <c r="C17" s="1494" t="s">
        <v>923</v>
      </c>
      <c r="D17" s="850" t="e">
        <f>NUMBERSTRING(INT(D16*10000),2)&amp;"元整"</f>
        <v>#VALUE!</v>
      </c>
      <c r="E17" s="1491"/>
    </row>
    <row r="18" spans="1:5" ht="15">
      <c r="A18" s="1491"/>
      <c r="B18" s="3503"/>
      <c r="C18" s="1495" t="s">
        <v>912</v>
      </c>
      <c r="D18" s="859" t="str">
        <f>结果表!H110</f>
        <v>——</v>
      </c>
      <c r="E18" s="1491"/>
    </row>
    <row r="19" spans="1:5" ht="15.75">
      <c r="A19" s="1491"/>
      <c r="B19" s="3494" t="str">
        <f>结果表!E111</f>
        <v>4.抵押净值</v>
      </c>
      <c r="C19" s="1499" t="s">
        <v>910</v>
      </c>
      <c r="D19" s="851">
        <f ca="1">结果表!H111</f>
        <v>140499</v>
      </c>
      <c r="E19" s="1491"/>
    </row>
    <row r="20" spans="1:5" ht="15.75">
      <c r="A20" s="1491"/>
      <c r="B20" s="3495"/>
      <c r="C20" s="1494" t="s">
        <v>923</v>
      </c>
      <c r="D20" s="850" t="str">
        <f ca="1">NUMBERSTRING(INT(D19*10000),2)&amp;"元整"</f>
        <v>壹拾肆亿零肆佰玖拾玖万元整</v>
      </c>
      <c r="E20" s="1491"/>
    </row>
    <row r="21" spans="1:5" ht="15.75" thickBot="1">
      <c r="A21" s="1491"/>
      <c r="B21" s="3496"/>
      <c r="C21" s="1501" t="s">
        <v>921</v>
      </c>
      <c r="D21" s="860">
        <f ca="1">结果表!H112</f>
        <v>24345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01" t="s">
        <v>1769</v>
      </c>
      <c r="D4" s="3702"/>
      <c r="E4" s="3703" t="s">
        <v>1770</v>
      </c>
      <c r="F4" s="3704"/>
      <c r="G4" s="3701" t="s">
        <v>1771</v>
      </c>
      <c r="H4" s="3702"/>
      <c r="I4" s="3701" t="s">
        <v>1772</v>
      </c>
      <c r="J4" s="3702"/>
      <c r="K4" s="559" t="s">
        <v>1773</v>
      </c>
      <c r="L4" s="2713"/>
      <c r="M4" s="2714"/>
      <c r="N4" s="2714"/>
      <c r="O4" s="2714"/>
      <c r="P4" s="3789" t="s">
        <v>1774</v>
      </c>
      <c r="Q4" s="3790"/>
      <c r="R4" s="3786" t="s">
        <v>1770</v>
      </c>
      <c r="S4" s="3787"/>
      <c r="T4" s="3786" t="s">
        <v>1771</v>
      </c>
      <c r="U4" s="3787"/>
      <c r="V4" s="3714" t="s">
        <v>1772</v>
      </c>
      <c r="W4" s="3714"/>
      <c r="X4" s="1355"/>
      <c r="Y4" s="3786" t="s">
        <v>1774</v>
      </c>
      <c r="Z4" s="3787"/>
      <c r="AA4" s="3785" t="s">
        <v>1770</v>
      </c>
      <c r="AB4" s="3680" t="s">
        <v>1771</v>
      </c>
      <c r="AC4" s="3785" t="s">
        <v>1772</v>
      </c>
    </row>
    <row r="5" spans="1:30" ht="15">
      <c r="A5" s="358"/>
      <c r="B5" s="359"/>
      <c r="C5" s="3690" t="s">
        <v>1672</v>
      </c>
      <c r="D5" s="3691"/>
      <c r="E5" s="3788" t="s">
        <v>1673</v>
      </c>
      <c r="F5" s="3689"/>
      <c r="G5" s="3690" t="s">
        <v>1674</v>
      </c>
      <c r="H5" s="3691"/>
      <c r="I5" s="3690" t="s">
        <v>1675</v>
      </c>
      <c r="J5" s="3691"/>
      <c r="K5" s="559"/>
      <c r="L5" s="2713"/>
      <c r="M5" s="2714"/>
      <c r="N5" s="2714"/>
      <c r="O5" s="2714"/>
      <c r="P5" s="3791"/>
      <c r="Q5" s="3708"/>
      <c r="R5" s="3686"/>
      <c r="S5" s="3687"/>
      <c r="T5" s="3686"/>
      <c r="U5" s="3687"/>
      <c r="V5" s="3714"/>
      <c r="W5" s="3714"/>
      <c r="X5" s="1355"/>
      <c r="Y5" s="3686"/>
      <c r="Z5" s="3687"/>
      <c r="AA5" s="3680"/>
      <c r="AB5" s="3680"/>
      <c r="AC5" s="3680"/>
    </row>
    <row r="6" spans="1:30" ht="15.75" thickBot="1">
      <c r="A6" s="360"/>
      <c r="B6" s="361"/>
      <c r="C6" s="3692" t="s">
        <v>1676</v>
      </c>
      <c r="D6" s="3693"/>
      <c r="E6" s="3695" t="s">
        <v>1676</v>
      </c>
      <c r="F6" s="3696"/>
      <c r="G6" s="3692" t="s">
        <v>1676</v>
      </c>
      <c r="H6" s="3693"/>
      <c r="I6" s="3692" t="s">
        <v>1676</v>
      </c>
      <c r="J6" s="3693"/>
      <c r="K6" s="559" t="s">
        <v>1677</v>
      </c>
      <c r="L6" s="2713"/>
      <c r="M6" s="2714"/>
      <c r="N6" s="2714"/>
      <c r="O6" s="2714"/>
      <c r="P6" s="3792"/>
      <c r="Q6" s="3710"/>
      <c r="R6" s="3686"/>
      <c r="S6" s="3687"/>
      <c r="T6" s="3711"/>
      <c r="U6" s="3712"/>
      <c r="V6" s="3714"/>
      <c r="W6" s="3714"/>
      <c r="X6" s="1355"/>
      <c r="Y6" s="3711"/>
      <c r="Z6" s="3712"/>
      <c r="AA6" s="3681"/>
      <c r="AB6" s="3681"/>
      <c r="AC6" s="3681"/>
    </row>
    <row r="7" spans="1:30" s="108" customFormat="1" ht="15.75" thickBot="1">
      <c r="A7" s="362" t="s">
        <v>1678</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2" t="s">
        <v>1679</v>
      </c>
      <c r="Q7" s="3716"/>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2" t="s">
        <v>1682</v>
      </c>
      <c r="Q8" s="3683"/>
      <c r="R8" s="701" t="s">
        <v>14</v>
      </c>
      <c r="S8" s="702">
        <f t="shared" si="0"/>
        <v>0</v>
      </c>
      <c r="T8" s="701" t="s">
        <v>14</v>
      </c>
      <c r="U8" s="702">
        <f t="shared" si="1"/>
        <v>0</v>
      </c>
      <c r="V8" s="701" t="s">
        <v>14</v>
      </c>
      <c r="W8" s="702">
        <f t="shared" si="2"/>
        <v>0</v>
      </c>
      <c r="X8" s="703"/>
      <c r="Y8" s="3682" t="s">
        <v>1682</v>
      </c>
      <c r="Z8" s="368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6"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26"/>
      <c r="Q10" s="1343" t="str">
        <f t="shared" si="6"/>
        <v>土地使用年限（年）</v>
      </c>
      <c r="R10" s="701" t="s">
        <v>14</v>
      </c>
      <c r="S10" s="702">
        <f t="shared" si="0"/>
        <v>104</v>
      </c>
      <c r="T10" s="701" t="s">
        <v>14</v>
      </c>
      <c r="U10" s="702">
        <f t="shared" si="1"/>
        <v>104</v>
      </c>
      <c r="V10" s="701" t="s">
        <v>14</v>
      </c>
      <c r="W10" s="702">
        <f t="shared" si="2"/>
        <v>104</v>
      </c>
      <c r="X10" s="703"/>
      <c r="Y10" s="3655"/>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6"/>
      <c r="Q12" s="1343"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9" t="s">
        <v>1690</v>
      </c>
      <c r="Q15" s="1352" t="str">
        <f t="shared" si="6"/>
        <v>居住社区成熟度</v>
      </c>
      <c r="R15" s="705" t="s">
        <v>14</v>
      </c>
      <c r="S15" s="706">
        <f t="shared" si="0"/>
        <v>100</v>
      </c>
      <c r="T15" s="705" t="s">
        <v>14</v>
      </c>
      <c r="U15" s="706">
        <f t="shared" si="1"/>
        <v>100</v>
      </c>
      <c r="V15" s="705" t="s">
        <v>14</v>
      </c>
      <c r="W15" s="706">
        <f t="shared" si="2"/>
        <v>100</v>
      </c>
      <c r="X15" s="1355"/>
      <c r="Y15" s="371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0"/>
      <c r="Q20" s="1352"/>
      <c r="R20" s="705"/>
      <c r="S20" s="706"/>
      <c r="T20" s="705"/>
      <c r="U20" s="706"/>
      <c r="V20" s="705"/>
      <c r="W20" s="706"/>
      <c r="X20" s="1355"/>
      <c r="Y20" s="372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0"/>
      <c r="Q24" s="1352"/>
      <c r="R24" s="705"/>
      <c r="S24" s="706"/>
      <c r="T24" s="705"/>
      <c r="U24" s="706"/>
      <c r="V24" s="705"/>
      <c r="W24" s="706"/>
      <c r="X24" s="1355"/>
      <c r="Y24" s="372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0"/>
      <c r="Q26" s="1352"/>
      <c r="R26" s="705"/>
      <c r="S26" s="706"/>
      <c r="T26" s="705"/>
      <c r="U26" s="706"/>
      <c r="V26" s="705"/>
      <c r="W26" s="706"/>
      <c r="X26" s="1355"/>
      <c r="Y26" s="372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0"/>
      <c r="Q28" s="1343"/>
      <c r="R28" s="701"/>
      <c r="S28" s="702"/>
      <c r="T28" s="701"/>
      <c r="U28" s="702"/>
      <c r="V28" s="701"/>
      <c r="W28" s="702"/>
      <c r="X28" s="703"/>
      <c r="Y28" s="372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0"/>
      <c r="Q30" s="1343"/>
      <c r="R30" s="701"/>
      <c r="S30" s="702"/>
      <c r="T30" s="701"/>
      <c r="U30" s="702"/>
      <c r="V30" s="701"/>
      <c r="W30" s="702"/>
      <c r="X30" s="703"/>
      <c r="Y30" s="372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0"/>
      <c r="Q33" s="1352"/>
      <c r="R33" s="705"/>
      <c r="S33" s="706"/>
      <c r="T33" s="705"/>
      <c r="U33" s="706"/>
      <c r="V33" s="705"/>
      <c r="W33" s="706"/>
      <c r="X33" s="1355"/>
      <c r="Y33" s="372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96" t="s">
        <v>1695</v>
      </c>
      <c r="Q36" s="1352">
        <f t="shared" si="8"/>
        <v>111</v>
      </c>
      <c r="R36" s="705" t="s">
        <v>14</v>
      </c>
      <c r="S36" s="706">
        <f t="shared" si="10"/>
        <v>100</v>
      </c>
      <c r="T36" s="705" t="s">
        <v>14</v>
      </c>
      <c r="U36" s="706">
        <f t="shared" si="11"/>
        <v>100</v>
      </c>
      <c r="V36" s="705" t="s">
        <v>14</v>
      </c>
      <c r="W36" s="706">
        <f t="shared" si="12"/>
        <v>100</v>
      </c>
      <c r="X36" s="1355"/>
      <c r="Y36" s="372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4" t="s">
        <v>1695</v>
      </c>
      <c r="Q42" s="1352" t="str">
        <f t="shared" si="14"/>
        <v>工程地质条件</v>
      </c>
      <c r="R42" s="705" t="s">
        <v>14</v>
      </c>
      <c r="S42" s="706">
        <f t="shared" si="10"/>
        <v>100</v>
      </c>
      <c r="T42" s="705" t="s">
        <v>14</v>
      </c>
      <c r="U42" s="706">
        <f t="shared" si="11"/>
        <v>100</v>
      </c>
      <c r="V42" s="705" t="s">
        <v>14</v>
      </c>
      <c r="W42" s="706">
        <f t="shared" si="12"/>
        <v>100</v>
      </c>
      <c r="X42" s="1355"/>
      <c r="Y42" s="372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26" t="str">
        <f>A47</f>
        <v>比较价值（元/平方米）</v>
      </c>
      <c r="Q47" s="3726"/>
      <c r="R47" s="3798" t="e">
        <f>ROUND(PRODUCT(R46,AA7:AA45),0)</f>
        <v>#DIV/0!</v>
      </c>
      <c r="S47" s="3798"/>
      <c r="T47" s="3798" t="e">
        <f>ROUND(PRODUCT(T46,AB7:AB45),0)</f>
        <v>#DIV/0!</v>
      </c>
      <c r="U47" s="3798"/>
      <c r="V47" s="3798" t="e">
        <f>ROUND(PRODUCT(V46,AC7:AC45),0)</f>
        <v>#DIV/0!</v>
      </c>
      <c r="W47" s="379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93" t="str">
        <f>A48</f>
        <v>估价对象XX用房的比较价值（楼面单价，元/平方米）</v>
      </c>
      <c r="Q48" s="3794"/>
      <c r="R48" s="3799" t="e">
        <f>ROUND(IF(D47="简单平均",AVERAGE(R47:W47),R47*F47+T47*H47+V47*J47),0)</f>
        <v>#DIV/0!</v>
      </c>
      <c r="S48" s="3799"/>
      <c r="T48" s="3799"/>
      <c r="U48" s="3799"/>
      <c r="V48" s="3799"/>
      <c r="W48" s="379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01" t="s">
        <v>1886</v>
      </c>
      <c r="H55" s="3800"/>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48578.539999999994</v>
      </c>
      <c r="F56" s="886" t="e">
        <f t="shared" ref="F56:F64" si="15">ROUND(B56*E56/10000,0)</f>
        <v>#DIV/0!</v>
      </c>
      <c r="G56" s="3697"/>
      <c r="H56" s="372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0.25</v>
      </c>
      <c r="D60" s="945">
        <v>0.25</v>
      </c>
      <c r="E60" s="217">
        <f>'数据-汇总表'!E11</f>
        <v>0</v>
      </c>
      <c r="F60" s="886" t="e">
        <f t="shared" si="15"/>
        <v>#DIV/0!</v>
      </c>
      <c r="G60" s="1987" t="s">
        <v>1895</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0.25</v>
      </c>
      <c r="D61" s="945">
        <v>0.25</v>
      </c>
      <c r="E61" s="217">
        <f>'数据-汇总表'!E12</f>
        <v>1184.6000000000001</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7948.170000000001</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57711.30999999999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1" t="s">
        <v>1769</v>
      </c>
      <c r="D4" s="3702"/>
      <c r="E4" s="3703" t="s">
        <v>1770</v>
      </c>
      <c r="F4" s="3704"/>
      <c r="G4" s="3701" t="s">
        <v>1771</v>
      </c>
      <c r="H4" s="3702"/>
      <c r="I4" s="3701" t="s">
        <v>1772</v>
      </c>
      <c r="J4" s="3702"/>
      <c r="K4" s="559" t="s">
        <v>1773</v>
      </c>
      <c r="L4" s="2713"/>
      <c r="M4" s="2714"/>
      <c r="N4" s="2714"/>
      <c r="O4" s="2714"/>
      <c r="P4" s="3789" t="s">
        <v>1774</v>
      </c>
      <c r="Q4" s="3790"/>
      <c r="R4" s="3786" t="s">
        <v>1770</v>
      </c>
      <c r="S4" s="3787"/>
      <c r="T4" s="3786" t="s">
        <v>1771</v>
      </c>
      <c r="U4" s="3787"/>
      <c r="V4" s="3714" t="s">
        <v>1772</v>
      </c>
      <c r="W4" s="3714"/>
      <c r="X4" s="1355"/>
      <c r="Y4" s="3786" t="s">
        <v>1774</v>
      </c>
      <c r="Z4" s="3787"/>
      <c r="AA4" s="3785" t="s">
        <v>1770</v>
      </c>
      <c r="AB4" s="3680" t="s">
        <v>1771</v>
      </c>
      <c r="AC4" s="3785" t="s">
        <v>1772</v>
      </c>
    </row>
    <row r="5" spans="1:29" ht="15">
      <c r="A5" s="358"/>
      <c r="B5" s="359"/>
      <c r="C5" s="3690" t="s">
        <v>1672</v>
      </c>
      <c r="D5" s="3691"/>
      <c r="E5" s="3788" t="s">
        <v>1673</v>
      </c>
      <c r="F5" s="3689"/>
      <c r="G5" s="3690" t="s">
        <v>1674</v>
      </c>
      <c r="H5" s="3691"/>
      <c r="I5" s="3690" t="s">
        <v>1675</v>
      </c>
      <c r="J5" s="3691"/>
      <c r="K5" s="559"/>
      <c r="L5" s="2713"/>
      <c r="M5" s="2714"/>
      <c r="N5" s="2714"/>
      <c r="O5" s="2714"/>
      <c r="P5" s="3791"/>
      <c r="Q5" s="3708"/>
      <c r="R5" s="3686"/>
      <c r="S5" s="3687"/>
      <c r="T5" s="3686"/>
      <c r="U5" s="3687"/>
      <c r="V5" s="3714"/>
      <c r="W5" s="3714"/>
      <c r="X5" s="1355"/>
      <c r="Y5" s="3686"/>
      <c r="Z5" s="3687"/>
      <c r="AA5" s="3680"/>
      <c r="AB5" s="3680"/>
      <c r="AC5" s="3680"/>
    </row>
    <row r="6" spans="1:29" ht="15.75" thickBot="1">
      <c r="A6" s="360"/>
      <c r="B6" s="361"/>
      <c r="C6" s="3801" t="s">
        <v>1918</v>
      </c>
      <c r="D6" s="3802"/>
      <c r="E6" s="3803" t="s">
        <v>1918</v>
      </c>
      <c r="F6" s="3804"/>
      <c r="G6" s="3801" t="s">
        <v>1918</v>
      </c>
      <c r="H6" s="3802"/>
      <c r="I6" s="3801" t="s">
        <v>1918</v>
      </c>
      <c r="J6" s="3802"/>
      <c r="K6" s="559" t="s">
        <v>1677</v>
      </c>
      <c r="L6" s="2713"/>
      <c r="M6" s="2714"/>
      <c r="N6" s="2714"/>
      <c r="O6" s="2714"/>
      <c r="P6" s="3792"/>
      <c r="Q6" s="3710"/>
      <c r="R6" s="3686"/>
      <c r="S6" s="3687"/>
      <c r="T6" s="3711"/>
      <c r="U6" s="3712"/>
      <c r="V6" s="3714"/>
      <c r="W6" s="3714"/>
      <c r="X6" s="1355"/>
      <c r="Y6" s="3711"/>
      <c r="Z6" s="3712"/>
      <c r="AA6" s="3681"/>
      <c r="AB6" s="3681"/>
      <c r="AC6" s="3681"/>
    </row>
    <row r="7" spans="1:29" s="108" customFormat="1" ht="15.75" thickBot="1">
      <c r="A7" s="362" t="s">
        <v>1678</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2" t="s">
        <v>1679</v>
      </c>
      <c r="Q7" s="3716"/>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2" t="s">
        <v>1682</v>
      </c>
      <c r="Q8" s="3683"/>
      <c r="R8" s="701" t="s">
        <v>14</v>
      </c>
      <c r="S8" s="702">
        <f t="shared" si="0"/>
        <v>0</v>
      </c>
      <c r="T8" s="701" t="s">
        <v>14</v>
      </c>
      <c r="U8" s="702">
        <f t="shared" si="1"/>
        <v>0</v>
      </c>
      <c r="V8" s="701" t="s">
        <v>14</v>
      </c>
      <c r="W8" s="702">
        <f t="shared" si="2"/>
        <v>0</v>
      </c>
      <c r="X8" s="703"/>
      <c r="Y8" s="3682" t="s">
        <v>1682</v>
      </c>
      <c r="Z8" s="368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6" t="s">
        <v>1685</v>
      </c>
      <c r="Q9" s="1343" t="str">
        <f t="shared" ref="Q9:Q15" si="6">B9</f>
        <v>用途</v>
      </c>
      <c r="R9" s="701" t="s">
        <v>14</v>
      </c>
      <c r="S9" s="702">
        <f t="shared" si="0"/>
        <v>100</v>
      </c>
      <c r="T9" s="701" t="s">
        <v>14</v>
      </c>
      <c r="U9" s="702">
        <f t="shared" si="1"/>
        <v>100</v>
      </c>
      <c r="V9" s="701" t="s">
        <v>14</v>
      </c>
      <c r="W9" s="702">
        <f t="shared" si="2"/>
        <v>100</v>
      </c>
      <c r="X9" s="703"/>
      <c r="Y9" s="365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26"/>
      <c r="Q10" s="1343" t="str">
        <f t="shared" si="6"/>
        <v>土地使用年限（年）</v>
      </c>
      <c r="R10" s="701" t="s">
        <v>14</v>
      </c>
      <c r="S10" s="702">
        <f t="shared" si="0"/>
        <v>104</v>
      </c>
      <c r="T10" s="701" t="s">
        <v>14</v>
      </c>
      <c r="U10" s="702">
        <f t="shared" si="1"/>
        <v>104</v>
      </c>
      <c r="V10" s="701" t="s">
        <v>14</v>
      </c>
      <c r="W10" s="702">
        <f t="shared" si="2"/>
        <v>104</v>
      </c>
      <c r="X10" s="703"/>
      <c r="Y10" s="3655"/>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9" t="s">
        <v>1690</v>
      </c>
      <c r="Q15" s="1352" t="str">
        <f t="shared" si="6"/>
        <v>产业集聚程度</v>
      </c>
      <c r="R15" s="705" t="s">
        <v>14</v>
      </c>
      <c r="S15" s="706">
        <f t="shared" si="0"/>
        <v>100</v>
      </c>
      <c r="T15" s="705" t="s">
        <v>14</v>
      </c>
      <c r="U15" s="706">
        <f t="shared" si="1"/>
        <v>100</v>
      </c>
      <c r="V15" s="705" t="s">
        <v>14</v>
      </c>
      <c r="W15" s="706">
        <f t="shared" si="2"/>
        <v>100</v>
      </c>
      <c r="X15" s="1355"/>
      <c r="Y15" s="371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0"/>
      <c r="Q20" s="1352"/>
      <c r="R20" s="705"/>
      <c r="S20" s="706"/>
      <c r="T20" s="705"/>
      <c r="U20" s="706"/>
      <c r="V20" s="705"/>
      <c r="W20" s="706"/>
      <c r="X20" s="1355"/>
      <c r="Y20" s="372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0"/>
      <c r="Q24" s="1343"/>
      <c r="R24" s="701"/>
      <c r="S24" s="702"/>
      <c r="T24" s="701"/>
      <c r="U24" s="702"/>
      <c r="V24" s="701"/>
      <c r="W24" s="702"/>
      <c r="X24" s="703"/>
      <c r="Y24" s="372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0"/>
      <c r="Q26" s="1343"/>
      <c r="R26" s="701"/>
      <c r="S26" s="702"/>
      <c r="T26" s="701"/>
      <c r="U26" s="702"/>
      <c r="V26" s="701"/>
      <c r="W26" s="702"/>
      <c r="X26" s="703"/>
      <c r="Y26" s="372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0"/>
      <c r="Q29" s="1352"/>
      <c r="R29" s="705"/>
      <c r="S29" s="706"/>
      <c r="T29" s="705"/>
      <c r="U29" s="706"/>
      <c r="V29" s="705"/>
      <c r="W29" s="706"/>
      <c r="X29" s="1355"/>
      <c r="Y29" s="372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96" t="s">
        <v>1695</v>
      </c>
      <c r="Q32" s="1352">
        <f t="shared" si="8"/>
        <v>111</v>
      </c>
      <c r="R32" s="705" t="s">
        <v>14</v>
      </c>
      <c r="S32" s="706">
        <f t="shared" si="10"/>
        <v>100</v>
      </c>
      <c r="T32" s="705" t="s">
        <v>14</v>
      </c>
      <c r="U32" s="706">
        <f t="shared" si="11"/>
        <v>100</v>
      </c>
      <c r="V32" s="705" t="s">
        <v>14</v>
      </c>
      <c r="W32" s="706">
        <f t="shared" si="12"/>
        <v>100</v>
      </c>
      <c r="X32" s="1355"/>
      <c r="Y32" s="372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4" t="s">
        <v>1695</v>
      </c>
      <c r="Q37" s="1352" t="str">
        <f t="shared" si="14"/>
        <v>工程地质条件</v>
      </c>
      <c r="R37" s="705" t="s">
        <v>14</v>
      </c>
      <c r="S37" s="706">
        <f t="shared" si="10"/>
        <v>100</v>
      </c>
      <c r="T37" s="705" t="s">
        <v>14</v>
      </c>
      <c r="U37" s="706">
        <f t="shared" si="11"/>
        <v>100</v>
      </c>
      <c r="V37" s="705" t="s">
        <v>14</v>
      </c>
      <c r="W37" s="706">
        <f t="shared" si="12"/>
        <v>100</v>
      </c>
      <c r="X37" s="1355"/>
      <c r="Y37" s="372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26" t="str">
        <f>A42</f>
        <v>比较价值（元/平方米）</v>
      </c>
      <c r="Q42" s="3726"/>
      <c r="R42" s="3798" t="e">
        <f>ROUND(PRODUCT(R41,AA7:AA40),0)</f>
        <v>#DIV/0!</v>
      </c>
      <c r="S42" s="3798"/>
      <c r="T42" s="3798" t="e">
        <f>ROUND(PRODUCT(T41,AB7:AB40),0)</f>
        <v>#DIV/0!</v>
      </c>
      <c r="U42" s="3798"/>
      <c r="V42" s="3798" t="e">
        <f>ROUND(PRODUCT(V41,AC7:AC40),0)</f>
        <v>#DIV/0!</v>
      </c>
      <c r="W42" s="379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93" t="str">
        <f>A43</f>
        <v>估价对象XX用房的比较价值（楼面单价，元/平方米）</v>
      </c>
      <c r="Q43" s="3794"/>
      <c r="R43" s="3799" t="e">
        <f>ROUND(IF(D42="简单平均",AVERAGE(R42:W42),R42*F42+T42*H42+V42*J42),0)</f>
        <v>#DIV/0!</v>
      </c>
      <c r="S43" s="3799"/>
      <c r="T43" s="3799"/>
      <c r="U43" s="3799"/>
      <c r="V43" s="3799"/>
      <c r="W43" s="379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01" t="s">
        <v>1886</v>
      </c>
      <c r="H50" s="3800"/>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48578.539999999994</v>
      </c>
      <c r="F51" s="639" t="e">
        <f t="shared" ref="F51:F60" si="15">ROUND(B51*E51/10000,0)</f>
        <v>#DIV/0!</v>
      </c>
      <c r="G51" s="3697"/>
      <c r="H51" s="372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0.25</v>
      </c>
      <c r="D56" s="945">
        <v>0.25</v>
      </c>
      <c r="E56" s="217">
        <f>'数据-汇总表'!E11</f>
        <v>0</v>
      </c>
      <c r="F56" s="639" t="e">
        <f t="shared" si="15"/>
        <v>#DIV/0!</v>
      </c>
      <c r="G56" s="1987" t="s">
        <v>1895</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0.25</v>
      </c>
      <c r="D57" s="945">
        <v>0.25</v>
      </c>
      <c r="E57" s="217">
        <f>'数据-汇总表'!E12</f>
        <v>1184.6000000000001</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7948.170000000001</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14812.1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1467</v>
      </c>
      <c r="C2" s="2145" t="s">
        <v>2073</v>
      </c>
      <c r="D2" s="2145" t="s">
        <v>2074</v>
      </c>
      <c r="E2" s="2610">
        <f ca="1">SUMIF(E6:E13,"&lt;&gt;#ref!",E6:E13)</f>
        <v>9138.1500000000015</v>
      </c>
      <c r="F2" s="2791"/>
      <c r="G2" s="2791"/>
      <c r="H2" s="2791"/>
      <c r="I2" s="2791"/>
      <c r="J2" s="2791"/>
      <c r="K2" s="2791"/>
      <c r="L2" s="2791"/>
      <c r="M2" s="2791"/>
      <c r="N2" s="2791"/>
      <c r="O2" s="2791"/>
      <c r="P2" s="2791"/>
    </row>
    <row r="3" spans="1:16" ht="15.75">
      <c r="A3" s="2145" t="s">
        <v>2075</v>
      </c>
      <c r="B3" s="2600">
        <f ca="1">ROUND(B2*10000/E2,0)</f>
        <v>1605</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1467</v>
      </c>
      <c r="C6" s="2145" t="s">
        <v>2073</v>
      </c>
      <c r="D6" s="2791"/>
      <c r="E6" s="2610">
        <f ca="1">SUMIF(INDIRECT("'"&amp;A6&amp;"'"&amp;"!C:C"),"建筑面积",INDIRECT("'"&amp;A6&amp;"'"&amp;"!D:D"))</f>
        <v>9138.1500000000015</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12" t="s">
        <v>2609</v>
      </c>
      <c r="B20" s="3805" t="s">
        <v>2630</v>
      </c>
      <c r="C20" s="3101" t="s">
        <v>2441</v>
      </c>
      <c r="D20" s="3102"/>
      <c r="E20" s="3103">
        <v>1</v>
      </c>
      <c r="F20" s="3104" t="s">
        <v>2442</v>
      </c>
      <c r="G20" s="3104"/>
    </row>
    <row r="21" spans="1:13" ht="19.5" customHeight="1">
      <c r="A21" s="3813"/>
      <c r="B21" s="3806"/>
      <c r="C21" s="3105" t="s">
        <v>2443</v>
      </c>
      <c r="D21" s="3106"/>
      <c r="E21" s="3107">
        <v>1</v>
      </c>
      <c r="F21" s="3104" t="s">
        <v>2444</v>
      </c>
      <c r="G21" s="3104"/>
    </row>
    <row r="22" spans="1:13" ht="19.5" customHeight="1">
      <c r="A22" s="3813"/>
      <c r="B22" s="3806"/>
      <c r="C22" s="3105" t="s">
        <v>2445</v>
      </c>
      <c r="D22" s="3106"/>
      <c r="E22" s="3107">
        <v>0.9</v>
      </c>
      <c r="F22" s="3104" t="s">
        <v>2446</v>
      </c>
      <c r="G22" s="3104"/>
    </row>
    <row r="23" spans="1:13" ht="19.5" customHeight="1">
      <c r="A23" s="3813"/>
      <c r="B23" s="3806"/>
      <c r="C23" s="3105" t="s">
        <v>2447</v>
      </c>
      <c r="D23" s="3106"/>
      <c r="E23" s="3107">
        <v>0.9</v>
      </c>
      <c r="F23" s="3104" t="s">
        <v>2448</v>
      </c>
      <c r="G23" s="3104"/>
    </row>
    <row r="24" spans="1:13" ht="19.5" customHeight="1">
      <c r="A24" s="3813"/>
      <c r="B24" s="3806"/>
      <c r="C24" s="3105" t="s">
        <v>2449</v>
      </c>
      <c r="D24" s="3106"/>
      <c r="E24" s="3107">
        <v>0.8</v>
      </c>
      <c r="F24" s="3104" t="s">
        <v>2450</v>
      </c>
      <c r="G24" s="3104"/>
    </row>
    <row r="25" spans="1:13" ht="19.5" customHeight="1" thickBot="1">
      <c r="A25" s="3814"/>
      <c r="B25" s="3807"/>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08" t="s">
        <v>2633</v>
      </c>
      <c r="B27" s="3805" t="s">
        <v>2614</v>
      </c>
      <c r="C27" s="3101" t="s">
        <v>2454</v>
      </c>
      <c r="D27" s="3102"/>
      <c r="E27" s="3103">
        <v>1</v>
      </c>
      <c r="F27" s="3104" t="s">
        <v>2455</v>
      </c>
      <c r="G27" s="3104"/>
    </row>
    <row r="28" spans="1:13" ht="19.5" customHeight="1">
      <c r="A28" s="3809"/>
      <c r="B28" s="3806"/>
      <c r="C28" s="3105" t="s">
        <v>2456</v>
      </c>
      <c r="D28" s="3106"/>
      <c r="E28" s="3107">
        <v>1</v>
      </c>
      <c r="F28" s="3104" t="s">
        <v>2457</v>
      </c>
      <c r="G28" s="3104"/>
    </row>
    <row r="29" spans="1:13" ht="19.5" customHeight="1">
      <c r="A29" s="3809"/>
      <c r="B29" s="3806"/>
      <c r="C29" s="3105" t="s">
        <v>2458</v>
      </c>
      <c r="D29" s="3106"/>
      <c r="E29" s="3107">
        <v>0.8</v>
      </c>
      <c r="F29" s="3104" t="s">
        <v>2459</v>
      </c>
      <c r="G29" s="3104"/>
    </row>
    <row r="30" spans="1:13" ht="19.5" customHeight="1">
      <c r="A30" s="3809"/>
      <c r="B30" s="3806"/>
      <c r="C30" s="3105" t="s">
        <v>2460</v>
      </c>
      <c r="D30" s="3106"/>
      <c r="E30" s="3107">
        <v>0.8</v>
      </c>
      <c r="F30" s="3104" t="s">
        <v>2461</v>
      </c>
      <c r="G30" s="3104"/>
    </row>
    <row r="31" spans="1:13" ht="19.5" customHeight="1">
      <c r="A31" s="3809"/>
      <c r="B31" s="3806"/>
      <c r="C31" s="3105" t="s">
        <v>2462</v>
      </c>
      <c r="D31" s="3106"/>
      <c r="E31" s="3107">
        <v>0.8</v>
      </c>
      <c r="F31" s="3104" t="s">
        <v>2463</v>
      </c>
      <c r="G31" s="3104"/>
    </row>
    <row r="32" spans="1:13" ht="19.5" customHeight="1">
      <c r="A32" s="3809"/>
      <c r="B32" s="3806"/>
      <c r="C32" s="3105" t="s">
        <v>2464</v>
      </c>
      <c r="D32" s="3106"/>
      <c r="E32" s="3107">
        <v>0.7</v>
      </c>
      <c r="F32" s="3104" t="s">
        <v>2465</v>
      </c>
      <c r="G32" s="3104"/>
    </row>
    <row r="33" spans="1:7" ht="19.5" customHeight="1">
      <c r="A33" s="3809"/>
      <c r="B33" s="3806"/>
      <c r="C33" s="3105" t="s">
        <v>2466</v>
      </c>
      <c r="D33" s="3106"/>
      <c r="E33" s="3107">
        <v>0.8</v>
      </c>
      <c r="F33" s="3104" t="s">
        <v>2467</v>
      </c>
      <c r="G33" s="3104"/>
    </row>
    <row r="34" spans="1:7" ht="19.5" customHeight="1">
      <c r="A34" s="3809"/>
      <c r="B34" s="3806"/>
      <c r="C34" s="3105" t="s">
        <v>2468</v>
      </c>
      <c r="D34" s="3106"/>
      <c r="E34" s="3107">
        <v>0.6</v>
      </c>
      <c r="F34" s="3104" t="s">
        <v>2469</v>
      </c>
      <c r="G34" s="3104"/>
    </row>
    <row r="35" spans="1:7" ht="19.5" customHeight="1">
      <c r="A35" s="3809"/>
      <c r="B35" s="3806"/>
      <c r="C35" s="3105" t="s">
        <v>2470</v>
      </c>
      <c r="D35" s="3106"/>
      <c r="E35" s="3107">
        <v>0.2</v>
      </c>
      <c r="F35" s="3104" t="s">
        <v>2471</v>
      </c>
      <c r="G35" s="3104"/>
    </row>
    <row r="36" spans="1:7" ht="19.5" customHeight="1">
      <c r="A36" s="3809"/>
      <c r="B36" s="3806"/>
      <c r="C36" s="3105" t="s">
        <v>2472</v>
      </c>
      <c r="D36" s="3106"/>
      <c r="E36" s="3107">
        <v>0.2</v>
      </c>
      <c r="F36" s="3104" t="s">
        <v>2473</v>
      </c>
      <c r="G36" s="3104"/>
    </row>
    <row r="37" spans="1:7" ht="19.5" customHeight="1">
      <c r="A37" s="3809"/>
      <c r="B37" s="3811" t="s">
        <v>2634</v>
      </c>
      <c r="C37" s="3105" t="s">
        <v>2474</v>
      </c>
      <c r="D37" s="3106"/>
      <c r="E37" s="3107">
        <v>0.6</v>
      </c>
      <c r="F37" s="3104" t="s">
        <v>2475</v>
      </c>
      <c r="G37" s="3104"/>
    </row>
    <row r="38" spans="1:7" ht="19.5" customHeight="1">
      <c r="A38" s="3809"/>
      <c r="B38" s="3806"/>
      <c r="C38" s="3105" t="s">
        <v>2476</v>
      </c>
      <c r="D38" s="3106"/>
      <c r="E38" s="3107">
        <v>0.6</v>
      </c>
      <c r="F38" s="3104" t="s">
        <v>2477</v>
      </c>
      <c r="G38" s="3104"/>
    </row>
    <row r="39" spans="1:7" ht="19.5" customHeight="1" thickBot="1">
      <c r="A39" s="3810"/>
      <c r="B39" s="3807"/>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12" t="s">
        <v>2612</v>
      </c>
      <c r="B41" s="3805" t="s">
        <v>2636</v>
      </c>
      <c r="C41" s="3101" t="s">
        <v>2481</v>
      </c>
      <c r="D41" s="3102"/>
      <c r="E41" s="3103">
        <v>1</v>
      </c>
      <c r="F41" s="3104" t="s">
        <v>2482</v>
      </c>
      <c r="G41" s="3104"/>
    </row>
    <row r="42" spans="1:7" ht="19.5" customHeight="1">
      <c r="A42" s="3813"/>
      <c r="B42" s="3806"/>
      <c r="C42" s="3105" t="s">
        <v>2483</v>
      </c>
      <c r="D42" s="3106"/>
      <c r="E42" s="3107">
        <v>1</v>
      </c>
      <c r="F42" s="3104" t="s">
        <v>2484</v>
      </c>
      <c r="G42" s="3104"/>
    </row>
    <row r="43" spans="1:7" ht="19.5" customHeight="1">
      <c r="A43" s="3813"/>
      <c r="B43" s="3815"/>
      <c r="C43" s="3105" t="s">
        <v>2485</v>
      </c>
      <c r="D43" s="3106"/>
      <c r="E43" s="3107">
        <v>1.5</v>
      </c>
      <c r="F43" s="3104" t="s">
        <v>2486</v>
      </c>
      <c r="G43" s="3104"/>
    </row>
    <row r="44" spans="1:7" ht="19.5" customHeight="1">
      <c r="A44" s="3813"/>
      <c r="B44" s="3116" t="s">
        <v>2637</v>
      </c>
      <c r="C44" s="3105" t="s">
        <v>2638</v>
      </c>
      <c r="D44" s="3106"/>
      <c r="E44" s="3107">
        <v>2</v>
      </c>
      <c r="F44" s="3104" t="s">
        <v>2487</v>
      </c>
      <c r="G44" s="3104"/>
    </row>
    <row r="45" spans="1:7" ht="19.5" customHeight="1">
      <c r="A45" s="3813"/>
      <c r="B45" s="3811" t="s">
        <v>2639</v>
      </c>
      <c r="C45" s="3105" t="s">
        <v>2488</v>
      </c>
      <c r="D45" s="3106"/>
      <c r="E45" s="3107">
        <v>1</v>
      </c>
      <c r="F45" s="3104" t="s">
        <v>2489</v>
      </c>
      <c r="G45" s="3104"/>
    </row>
    <row r="46" spans="1:7" ht="19.5" customHeight="1">
      <c r="A46" s="3813"/>
      <c r="B46" s="3806"/>
      <c r="C46" s="3105" t="s">
        <v>2490</v>
      </c>
      <c r="D46" s="3106"/>
      <c r="E46" s="3107">
        <v>1</v>
      </c>
      <c r="F46" s="3104" t="s">
        <v>2491</v>
      </c>
      <c r="G46" s="3104"/>
    </row>
    <row r="47" spans="1:7" ht="19.5" customHeight="1">
      <c r="A47" s="3813"/>
      <c r="B47" s="3806"/>
      <c r="C47" s="3105" t="s">
        <v>2492</v>
      </c>
      <c r="D47" s="3106"/>
      <c r="E47" s="3107">
        <v>1</v>
      </c>
      <c r="F47" s="3104" t="s">
        <v>2493</v>
      </c>
      <c r="G47" s="3104"/>
    </row>
    <row r="48" spans="1:7" ht="19.5" customHeight="1">
      <c r="A48" s="3813"/>
      <c r="B48" s="3806"/>
      <c r="C48" s="3105" t="s">
        <v>2494</v>
      </c>
      <c r="D48" s="3106"/>
      <c r="E48" s="3107">
        <v>1</v>
      </c>
      <c r="F48" s="3104" t="s">
        <v>2495</v>
      </c>
      <c r="G48" s="3104"/>
    </row>
    <row r="49" spans="1:7" ht="19.5" customHeight="1">
      <c r="A49" s="3813"/>
      <c r="B49" s="3806"/>
      <c r="C49" s="3105" t="s">
        <v>2496</v>
      </c>
      <c r="D49" s="3106"/>
      <c r="E49" s="3107">
        <v>1</v>
      </c>
      <c r="F49" s="3104" t="s">
        <v>2497</v>
      </c>
      <c r="G49" s="3104"/>
    </row>
    <row r="50" spans="1:7" ht="19.5" customHeight="1">
      <c r="A50" s="3813"/>
      <c r="B50" s="3806"/>
      <c r="C50" s="3105" t="s">
        <v>2498</v>
      </c>
      <c r="D50" s="3106"/>
      <c r="E50" s="3107">
        <v>1</v>
      </c>
      <c r="F50" s="3104" t="s">
        <v>2499</v>
      </c>
      <c r="G50" s="3104"/>
    </row>
    <row r="51" spans="1:7" ht="19.5" customHeight="1" thickBot="1">
      <c r="A51" s="3814"/>
      <c r="B51" s="3807"/>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11" t="s">
        <v>2653</v>
      </c>
      <c r="C73" s="3090" t="s">
        <v>2654</v>
      </c>
      <c r="D73" s="3090" t="s">
        <v>2655</v>
      </c>
      <c r="E73" s="3116">
        <v>0.2</v>
      </c>
      <c r="F73" s="3116">
        <v>25</v>
      </c>
    </row>
    <row r="74" spans="1:7" ht="24">
      <c r="A74" s="3116">
        <v>2</v>
      </c>
      <c r="B74" s="3806"/>
      <c r="C74" s="3090" t="s">
        <v>2656</v>
      </c>
      <c r="D74" s="3090" t="s">
        <v>2657</v>
      </c>
      <c r="E74" s="3116">
        <v>0.2</v>
      </c>
      <c r="F74" s="3116">
        <v>25</v>
      </c>
    </row>
    <row r="75" spans="1:7" ht="24">
      <c r="A75" s="3116">
        <v>3</v>
      </c>
      <c r="B75" s="3806"/>
      <c r="C75" s="3090" t="s">
        <v>2658</v>
      </c>
      <c r="D75" s="3090" t="s">
        <v>2659</v>
      </c>
      <c r="E75" s="3116">
        <v>0.2</v>
      </c>
      <c r="F75" s="3116">
        <v>25</v>
      </c>
    </row>
    <row r="76" spans="1:7" ht="13.5">
      <c r="A76" s="3116">
        <v>4</v>
      </c>
      <c r="B76" s="3806"/>
      <c r="C76" s="3090" t="s">
        <v>2660</v>
      </c>
      <c r="D76" s="3090" t="s">
        <v>2661</v>
      </c>
      <c r="E76" s="3116">
        <v>0.15</v>
      </c>
      <c r="F76" s="3116">
        <v>20</v>
      </c>
    </row>
    <row r="77" spans="1:7" ht="24">
      <c r="A77" s="3116">
        <v>5</v>
      </c>
      <c r="B77" s="3806"/>
      <c r="C77" s="3090" t="s">
        <v>2662</v>
      </c>
      <c r="D77" s="3090" t="s">
        <v>2663</v>
      </c>
      <c r="E77" s="3116">
        <v>0.15</v>
      </c>
      <c r="F77" s="3116">
        <v>20</v>
      </c>
    </row>
    <row r="78" spans="1:7" ht="24">
      <c r="A78" s="3116">
        <v>6</v>
      </c>
      <c r="B78" s="3806"/>
      <c r="C78" s="3090" t="s">
        <v>2664</v>
      </c>
      <c r="D78" s="3090" t="s">
        <v>2665</v>
      </c>
      <c r="E78" s="3116">
        <v>0.15</v>
      </c>
      <c r="F78" s="3116">
        <v>20</v>
      </c>
    </row>
    <row r="79" spans="1:7" ht="24">
      <c r="A79" s="3116">
        <v>7</v>
      </c>
      <c r="B79" s="3806"/>
      <c r="C79" s="3090" t="s">
        <v>2666</v>
      </c>
      <c r="D79" s="3090" t="s">
        <v>2667</v>
      </c>
      <c r="E79" s="3116">
        <v>0.15</v>
      </c>
      <c r="F79" s="3116">
        <v>20</v>
      </c>
    </row>
    <row r="80" spans="1:7" ht="24">
      <c r="A80" s="3116">
        <v>8</v>
      </c>
      <c r="B80" s="3806"/>
      <c r="C80" s="3090" t="s">
        <v>2668</v>
      </c>
      <c r="D80" s="3090" t="s">
        <v>2669</v>
      </c>
      <c r="E80" s="3116">
        <v>0.1</v>
      </c>
      <c r="F80" s="3116">
        <v>15</v>
      </c>
    </row>
    <row r="81" spans="1:6" ht="24">
      <c r="A81" s="3116">
        <v>9</v>
      </c>
      <c r="B81" s="3806"/>
      <c r="C81" s="3090" t="s">
        <v>2670</v>
      </c>
      <c r="D81" s="3090" t="s">
        <v>2671</v>
      </c>
      <c r="E81" s="3116">
        <v>0.1</v>
      </c>
      <c r="F81" s="3116">
        <v>15</v>
      </c>
    </row>
    <row r="82" spans="1:6" ht="24">
      <c r="A82" s="3116">
        <v>10</v>
      </c>
      <c r="B82" s="3806"/>
      <c r="C82" s="3090" t="s">
        <v>2672</v>
      </c>
      <c r="D82" s="3090" t="s">
        <v>2673</v>
      </c>
      <c r="E82" s="3116">
        <v>0.1</v>
      </c>
      <c r="F82" s="3116">
        <v>15</v>
      </c>
    </row>
    <row r="83" spans="1:6" ht="24">
      <c r="A83" s="3116">
        <v>11</v>
      </c>
      <c r="B83" s="3806"/>
      <c r="C83" s="3090" t="s">
        <v>2674</v>
      </c>
      <c r="D83" s="3090" t="s">
        <v>2675</v>
      </c>
      <c r="E83" s="3116">
        <v>0.1</v>
      </c>
      <c r="F83" s="3116">
        <v>15</v>
      </c>
    </row>
    <row r="84" spans="1:6" ht="24">
      <c r="A84" s="3116">
        <v>12</v>
      </c>
      <c r="B84" s="3806"/>
      <c r="C84" s="3090" t="s">
        <v>2676</v>
      </c>
      <c r="D84" s="3090" t="s">
        <v>2677</v>
      </c>
      <c r="E84" s="3116">
        <v>0.1</v>
      </c>
      <c r="F84" s="3116">
        <v>15</v>
      </c>
    </row>
    <row r="85" spans="1:6" ht="13.5">
      <c r="A85" s="3116">
        <v>13</v>
      </c>
      <c r="B85" s="3806"/>
      <c r="C85" s="3090" t="s">
        <v>2678</v>
      </c>
      <c r="D85" s="3090" t="s">
        <v>2679</v>
      </c>
      <c r="E85" s="3116">
        <v>0.1</v>
      </c>
      <c r="F85" s="3116">
        <v>15</v>
      </c>
    </row>
    <row r="86" spans="1:6" ht="13.5">
      <c r="A86" s="3116">
        <v>14</v>
      </c>
      <c r="B86" s="3806"/>
      <c r="C86" s="3090" t="s">
        <v>2680</v>
      </c>
      <c r="D86" s="3090" t="s">
        <v>2681</v>
      </c>
      <c r="E86" s="3116">
        <v>0.1</v>
      </c>
      <c r="F86" s="3116">
        <v>15</v>
      </c>
    </row>
    <row r="87" spans="1:6" ht="13.5">
      <c r="A87" s="3116">
        <v>15</v>
      </c>
      <c r="B87" s="3806"/>
      <c r="C87" s="3090" t="s">
        <v>2682</v>
      </c>
      <c r="D87" s="3090" t="s">
        <v>2683</v>
      </c>
      <c r="E87" s="3116">
        <v>0.1</v>
      </c>
      <c r="F87" s="3116">
        <v>15</v>
      </c>
    </row>
    <row r="88" spans="1:6" ht="24">
      <c r="A88" s="3116">
        <v>16</v>
      </c>
      <c r="B88" s="3806"/>
      <c r="C88" s="3090" t="s">
        <v>2684</v>
      </c>
      <c r="D88" s="3090" t="s">
        <v>2685</v>
      </c>
      <c r="E88" s="3116">
        <v>0.1</v>
      </c>
      <c r="F88" s="3116">
        <v>15</v>
      </c>
    </row>
    <row r="89" spans="1:6" ht="24">
      <c r="A89" s="3116">
        <v>17</v>
      </c>
      <c r="B89" s="3815"/>
      <c r="C89" s="3090" t="s">
        <v>2686</v>
      </c>
      <c r="D89" s="3090" t="s">
        <v>2687</v>
      </c>
      <c r="E89" s="3116">
        <v>0.1</v>
      </c>
      <c r="F89" s="3116">
        <v>15</v>
      </c>
    </row>
    <row r="90" spans="1:6" ht="13.5">
      <c r="A90" s="3116">
        <v>18</v>
      </c>
      <c r="B90" s="3811" t="s">
        <v>2688</v>
      </c>
      <c r="C90" s="3090" t="s">
        <v>2689</v>
      </c>
      <c r="D90" s="3090" t="s">
        <v>2690</v>
      </c>
      <c r="E90" s="3116">
        <v>0.2</v>
      </c>
      <c r="F90" s="3116">
        <v>25</v>
      </c>
    </row>
    <row r="91" spans="1:6" ht="24">
      <c r="A91" s="3116">
        <v>19</v>
      </c>
      <c r="B91" s="3806"/>
      <c r="C91" s="3090" t="s">
        <v>2691</v>
      </c>
      <c r="D91" s="3090" t="s">
        <v>2692</v>
      </c>
      <c r="E91" s="3116">
        <v>0.2</v>
      </c>
      <c r="F91" s="3116">
        <v>25</v>
      </c>
    </row>
    <row r="92" spans="1:6" ht="13.5">
      <c r="A92" s="3116">
        <v>20</v>
      </c>
      <c r="B92" s="3806"/>
      <c r="C92" s="3090" t="s">
        <v>2693</v>
      </c>
      <c r="D92" s="3090" t="s">
        <v>2694</v>
      </c>
      <c r="E92" s="3116">
        <v>0.15</v>
      </c>
      <c r="F92" s="3116">
        <v>20</v>
      </c>
    </row>
    <row r="93" spans="1:6" ht="13.5">
      <c r="A93" s="3116">
        <v>21</v>
      </c>
      <c r="B93" s="3806"/>
      <c r="C93" s="3090" t="s">
        <v>2695</v>
      </c>
      <c r="D93" s="3090" t="s">
        <v>2696</v>
      </c>
      <c r="E93" s="3116">
        <v>0.15</v>
      </c>
      <c r="F93" s="3116">
        <v>20</v>
      </c>
    </row>
    <row r="94" spans="1:6" ht="13.5">
      <c r="A94" s="3116">
        <v>22</v>
      </c>
      <c r="B94" s="3806"/>
      <c r="C94" s="3090" t="s">
        <v>2697</v>
      </c>
      <c r="D94" s="3090" t="s">
        <v>2698</v>
      </c>
      <c r="E94" s="3116">
        <v>0.15</v>
      </c>
      <c r="F94" s="3116">
        <v>20</v>
      </c>
    </row>
    <row r="95" spans="1:6" ht="36">
      <c r="A95" s="3116">
        <v>23</v>
      </c>
      <c r="B95" s="3806"/>
      <c r="C95" s="3090" t="s">
        <v>2699</v>
      </c>
      <c r="D95" s="3090" t="s">
        <v>2700</v>
      </c>
      <c r="E95" s="3116">
        <v>0.15</v>
      </c>
      <c r="F95" s="3116">
        <v>20</v>
      </c>
    </row>
    <row r="96" spans="1:6" ht="13.5">
      <c r="A96" s="3116">
        <v>24</v>
      </c>
      <c r="B96" s="3806"/>
      <c r="C96" s="3090" t="s">
        <v>2701</v>
      </c>
      <c r="D96" s="3090" t="s">
        <v>2702</v>
      </c>
      <c r="E96" s="3116">
        <v>0.1</v>
      </c>
      <c r="F96" s="3116">
        <v>15</v>
      </c>
    </row>
    <row r="97" spans="1:6" ht="13.5">
      <c r="A97" s="3116">
        <v>25</v>
      </c>
      <c r="B97" s="3806"/>
      <c r="C97" s="3090" t="s">
        <v>2703</v>
      </c>
      <c r="D97" s="3090" t="s">
        <v>2704</v>
      </c>
      <c r="E97" s="3116">
        <v>0.1</v>
      </c>
      <c r="F97" s="3116">
        <v>15</v>
      </c>
    </row>
    <row r="98" spans="1:6" ht="24">
      <c r="A98" s="3116">
        <v>26</v>
      </c>
      <c r="B98" s="3806"/>
      <c r="C98" s="3090" t="s">
        <v>2705</v>
      </c>
      <c r="D98" s="3090" t="s">
        <v>2706</v>
      </c>
      <c r="E98" s="3116">
        <v>0.1</v>
      </c>
      <c r="F98" s="3116">
        <v>15</v>
      </c>
    </row>
    <row r="99" spans="1:6" ht="24">
      <c r="A99" s="3116">
        <v>27</v>
      </c>
      <c r="B99" s="3806"/>
      <c r="C99" s="3090" t="s">
        <v>2707</v>
      </c>
      <c r="D99" s="3090" t="s">
        <v>2708</v>
      </c>
      <c r="E99" s="3116">
        <v>0.1</v>
      </c>
      <c r="F99" s="3116">
        <v>15</v>
      </c>
    </row>
    <row r="100" spans="1:6" ht="13.5">
      <c r="A100" s="3116">
        <v>28</v>
      </c>
      <c r="B100" s="3806"/>
      <c r="C100" s="3090" t="s">
        <v>2709</v>
      </c>
      <c r="D100" s="3090" t="s">
        <v>2710</v>
      </c>
      <c r="E100" s="3116">
        <v>0.1</v>
      </c>
      <c r="F100" s="3116">
        <v>15</v>
      </c>
    </row>
    <row r="101" spans="1:6" ht="13.5">
      <c r="A101" s="3116">
        <v>29</v>
      </c>
      <c r="B101" s="3806"/>
      <c r="C101" s="3090" t="s">
        <v>2711</v>
      </c>
      <c r="D101" s="3090" t="s">
        <v>2712</v>
      </c>
      <c r="E101" s="3116">
        <v>0.1</v>
      </c>
      <c r="F101" s="3116">
        <v>15</v>
      </c>
    </row>
    <row r="102" spans="1:6" ht="13.5">
      <c r="A102" s="3116">
        <v>30</v>
      </c>
      <c r="B102" s="3806"/>
      <c r="C102" s="3090" t="s">
        <v>2713</v>
      </c>
      <c r="D102" s="3090" t="s">
        <v>2714</v>
      </c>
      <c r="E102" s="3116">
        <v>0.1</v>
      </c>
      <c r="F102" s="3116">
        <v>15</v>
      </c>
    </row>
    <row r="103" spans="1:6" ht="24">
      <c r="A103" s="3116">
        <v>31</v>
      </c>
      <c r="B103" s="3806"/>
      <c r="C103" s="3090" t="s">
        <v>2715</v>
      </c>
      <c r="D103" s="3090" t="s">
        <v>2716</v>
      </c>
      <c r="E103" s="3116">
        <v>0.1</v>
      </c>
      <c r="F103" s="3116">
        <v>15</v>
      </c>
    </row>
    <row r="104" spans="1:6" ht="24">
      <c r="A104" s="3116">
        <v>32</v>
      </c>
      <c r="B104" s="3806"/>
      <c r="C104" s="3090" t="s">
        <v>2717</v>
      </c>
      <c r="D104" s="3090" t="s">
        <v>2718</v>
      </c>
      <c r="E104" s="3116">
        <v>0.1</v>
      </c>
      <c r="F104" s="3116">
        <v>15</v>
      </c>
    </row>
    <row r="105" spans="1:6" ht="24">
      <c r="A105" s="3116">
        <v>33</v>
      </c>
      <c r="B105" s="3806"/>
      <c r="C105" s="3090" t="s">
        <v>2719</v>
      </c>
      <c r="D105" s="3090" t="s">
        <v>2720</v>
      </c>
      <c r="E105" s="3116">
        <v>0.1</v>
      </c>
      <c r="F105" s="3116">
        <v>15</v>
      </c>
    </row>
    <row r="106" spans="1:6" ht="24">
      <c r="A106" s="3116">
        <v>34</v>
      </c>
      <c r="B106" s="3815"/>
      <c r="C106" s="3090" t="s">
        <v>2721</v>
      </c>
      <c r="D106" s="3090" t="s">
        <v>2722</v>
      </c>
      <c r="E106" s="3116">
        <v>0.1</v>
      </c>
      <c r="F106" s="3116">
        <v>15</v>
      </c>
    </row>
    <row r="107" spans="1:6" ht="24">
      <c r="A107" s="3116">
        <v>35</v>
      </c>
      <c r="B107" s="3811" t="s">
        <v>2723</v>
      </c>
      <c r="C107" s="3116" t="s">
        <v>2724</v>
      </c>
      <c r="D107" s="3090" t="s">
        <v>2725</v>
      </c>
      <c r="E107" s="3116">
        <v>0.15</v>
      </c>
      <c r="F107" s="3116">
        <v>20</v>
      </c>
    </row>
    <row r="108" spans="1:6" ht="13.5">
      <c r="A108" s="3116">
        <v>36</v>
      </c>
      <c r="B108" s="3806"/>
      <c r="C108" s="3116" t="s">
        <v>2726</v>
      </c>
      <c r="D108" s="3090" t="s">
        <v>2727</v>
      </c>
      <c r="E108" s="3116">
        <v>0.15</v>
      </c>
      <c r="F108" s="3116">
        <v>20</v>
      </c>
    </row>
    <row r="109" spans="1:6" ht="13.5">
      <c r="A109" s="3116">
        <v>37</v>
      </c>
      <c r="B109" s="3806"/>
      <c r="C109" s="3116" t="s">
        <v>2728</v>
      </c>
      <c r="D109" s="3090" t="s">
        <v>2729</v>
      </c>
      <c r="E109" s="3116">
        <v>0.15</v>
      </c>
      <c r="F109" s="3116">
        <v>20</v>
      </c>
    </row>
    <row r="110" spans="1:6" ht="13.5">
      <c r="A110" s="3116">
        <v>38</v>
      </c>
      <c r="B110" s="3806"/>
      <c r="C110" s="3116" t="s">
        <v>2730</v>
      </c>
      <c r="D110" s="3090" t="s">
        <v>2731</v>
      </c>
      <c r="E110" s="3116">
        <v>0.1</v>
      </c>
      <c r="F110" s="3116">
        <v>15</v>
      </c>
    </row>
    <row r="111" spans="1:6" ht="24">
      <c r="A111" s="3116">
        <v>39</v>
      </c>
      <c r="B111" s="3806"/>
      <c r="C111" s="3116" t="s">
        <v>2732</v>
      </c>
      <c r="D111" s="3090" t="s">
        <v>2733</v>
      </c>
      <c r="E111" s="3116">
        <v>0.1</v>
      </c>
      <c r="F111" s="3116">
        <v>15</v>
      </c>
    </row>
    <row r="112" spans="1:6" ht="24">
      <c r="A112" s="3116">
        <v>40</v>
      </c>
      <c r="B112" s="3815"/>
      <c r="C112" s="3116" t="s">
        <v>2734</v>
      </c>
      <c r="D112" s="3090" t="s">
        <v>2735</v>
      </c>
      <c r="E112" s="3116">
        <v>0.1</v>
      </c>
      <c r="F112" s="3116">
        <v>15</v>
      </c>
    </row>
    <row r="113" spans="1:6" ht="13.5">
      <c r="A113" s="3116">
        <v>41</v>
      </c>
      <c r="B113" s="3816" t="s">
        <v>2736</v>
      </c>
      <c r="C113" s="3116" t="s">
        <v>2737</v>
      </c>
      <c r="D113" s="3090" t="s">
        <v>2738</v>
      </c>
      <c r="E113" s="3116">
        <v>0.1</v>
      </c>
      <c r="F113" s="3116">
        <v>15</v>
      </c>
    </row>
    <row r="114" spans="1:6" ht="13.5">
      <c r="A114" s="3116">
        <v>42</v>
      </c>
      <c r="B114" s="3816"/>
      <c r="C114" s="3116" t="s">
        <v>2739</v>
      </c>
      <c r="D114" s="3090" t="s">
        <v>2740</v>
      </c>
      <c r="E114" s="3116">
        <v>0.1</v>
      </c>
      <c r="F114" s="3116">
        <v>15</v>
      </c>
    </row>
    <row r="115" spans="1:6" ht="24">
      <c r="A115" s="3116">
        <v>43</v>
      </c>
      <c r="B115" s="3816"/>
      <c r="C115" s="3116" t="s">
        <v>2741</v>
      </c>
      <c r="D115" s="3090" t="s">
        <v>2742</v>
      </c>
      <c r="E115" s="3116">
        <v>0.1</v>
      </c>
      <c r="F115" s="3116">
        <v>15</v>
      </c>
    </row>
    <row r="116" spans="1:6" ht="13.5">
      <c r="A116" s="3116">
        <v>44</v>
      </c>
      <c r="B116" s="3811" t="s">
        <v>2743</v>
      </c>
      <c r="C116" s="3116" t="s">
        <v>2744</v>
      </c>
      <c r="D116" s="3090" t="s">
        <v>2745</v>
      </c>
      <c r="E116" s="3116">
        <v>0.1</v>
      </c>
      <c r="F116" s="3116">
        <v>15</v>
      </c>
    </row>
    <row r="117" spans="1:6" ht="24">
      <c r="A117" s="3116">
        <v>45</v>
      </c>
      <c r="B117" s="3815"/>
      <c r="C117" s="3090" t="s">
        <v>2746</v>
      </c>
      <c r="D117" s="3090" t="s">
        <v>2747</v>
      </c>
      <c r="E117" s="3116">
        <v>0.1</v>
      </c>
      <c r="F117" s="3116">
        <v>15</v>
      </c>
    </row>
    <row r="118" spans="1:6" ht="24">
      <c r="A118" s="3116">
        <v>46</v>
      </c>
      <c r="B118" s="3811" t="s">
        <v>2748</v>
      </c>
      <c r="C118" s="3116" t="s">
        <v>2749</v>
      </c>
      <c r="D118" s="3090" t="s">
        <v>2750</v>
      </c>
      <c r="E118" s="3116">
        <v>0.1</v>
      </c>
      <c r="F118" s="3116">
        <v>15</v>
      </c>
    </row>
    <row r="119" spans="1:6" ht="24">
      <c r="A119" s="3116">
        <v>47</v>
      </c>
      <c r="B119" s="3815"/>
      <c r="C119" s="3116" t="s">
        <v>2751</v>
      </c>
      <c r="D119" s="3090" t="s">
        <v>2752</v>
      </c>
      <c r="E119" s="3116">
        <v>0.1</v>
      </c>
      <c r="F119" s="3116">
        <v>15</v>
      </c>
    </row>
    <row r="120" spans="1:6" ht="13.5">
      <c r="A120" s="3116">
        <v>48</v>
      </c>
      <c r="B120" s="3811" t="s">
        <v>2753</v>
      </c>
      <c r="C120" s="3116" t="s">
        <v>2754</v>
      </c>
      <c r="D120" s="3090" t="s">
        <v>2755</v>
      </c>
      <c r="E120" s="3116">
        <v>0.1</v>
      </c>
      <c r="F120" s="3116">
        <v>15</v>
      </c>
    </row>
    <row r="121" spans="1:6" ht="13.5">
      <c r="A121" s="3116">
        <v>49</v>
      </c>
      <c r="B121" s="3815"/>
      <c r="C121" s="3116" t="s">
        <v>2756</v>
      </c>
      <c r="D121" s="3090" t="s">
        <v>2757</v>
      </c>
      <c r="E121" s="3116">
        <v>0.1</v>
      </c>
      <c r="F121" s="3116">
        <v>15</v>
      </c>
    </row>
    <row r="122" spans="1:6" ht="24">
      <c r="A122" s="3116">
        <v>50</v>
      </c>
      <c r="B122" s="3816" t="s">
        <v>2758</v>
      </c>
      <c r="C122" s="3116" t="s">
        <v>2759</v>
      </c>
      <c r="D122" s="3090" t="s">
        <v>2760</v>
      </c>
      <c r="E122" s="3116">
        <v>0.1</v>
      </c>
      <c r="F122" s="3116">
        <v>15</v>
      </c>
    </row>
    <row r="123" spans="1:6" ht="24">
      <c r="A123" s="3116">
        <v>51</v>
      </c>
      <c r="B123" s="3816"/>
      <c r="C123" s="3116" t="s">
        <v>2761</v>
      </c>
      <c r="D123" s="3090" t="s">
        <v>2762</v>
      </c>
      <c r="E123" s="3116">
        <v>0.1</v>
      </c>
      <c r="F123" s="3116">
        <v>15</v>
      </c>
    </row>
    <row r="124" spans="1:6" ht="24">
      <c r="A124" s="3116">
        <v>52</v>
      </c>
      <c r="B124" s="3816" t="s">
        <v>2763</v>
      </c>
      <c r="C124" s="3116" t="s">
        <v>2764</v>
      </c>
      <c r="D124" s="3090" t="s">
        <v>2765</v>
      </c>
      <c r="E124" s="3116">
        <v>0.1</v>
      </c>
      <c r="F124" s="3116">
        <v>15</v>
      </c>
    </row>
    <row r="125" spans="1:6" ht="24">
      <c r="A125" s="3116">
        <v>53</v>
      </c>
      <c r="B125" s="3816"/>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16" t="s">
        <v>2771</v>
      </c>
      <c r="C127" s="3116" t="s">
        <v>2772</v>
      </c>
      <c r="D127" s="3090" t="s">
        <v>2773</v>
      </c>
      <c r="E127" s="3116">
        <v>0.1</v>
      </c>
      <c r="F127" s="3116">
        <v>15</v>
      </c>
    </row>
    <row r="128" spans="1:6" ht="13.5">
      <c r="A128" s="3116">
        <v>56</v>
      </c>
      <c r="B128" s="3816"/>
      <c r="C128" s="3116" t="s">
        <v>2774</v>
      </c>
      <c r="D128" s="3090" t="s">
        <v>2775</v>
      </c>
      <c r="E128" s="3116">
        <v>0.1</v>
      </c>
      <c r="F128" s="3116">
        <v>15</v>
      </c>
    </row>
    <row r="129" spans="1:6" ht="24">
      <c r="A129" s="3116">
        <v>57</v>
      </c>
      <c r="B129" s="3816"/>
      <c r="C129" s="3116" t="s">
        <v>2776</v>
      </c>
      <c r="D129" s="3090" t="s">
        <v>2777</v>
      </c>
      <c r="E129" s="3116">
        <v>0.1</v>
      </c>
      <c r="F129" s="3116">
        <v>15</v>
      </c>
    </row>
    <row r="130" spans="1:6" ht="24">
      <c r="A130" s="3116">
        <v>58</v>
      </c>
      <c r="B130" s="3816" t="s">
        <v>2778</v>
      </c>
      <c r="C130" s="3116" t="s">
        <v>2779</v>
      </c>
      <c r="D130" s="3090" t="s">
        <v>2780</v>
      </c>
      <c r="E130" s="3116">
        <v>0.1</v>
      </c>
      <c r="F130" s="3116">
        <v>15</v>
      </c>
    </row>
    <row r="131" spans="1:6" ht="13.5">
      <c r="A131" s="3116">
        <v>59</v>
      </c>
      <c r="B131" s="3816"/>
      <c r="C131" s="3116" t="s">
        <v>2781</v>
      </c>
      <c r="D131" s="3090" t="s">
        <v>2782</v>
      </c>
      <c r="E131" s="3116">
        <v>0.1</v>
      </c>
      <c r="F131" s="3116">
        <v>15</v>
      </c>
    </row>
    <row r="132" spans="1:6" ht="13.5">
      <c r="A132" s="3116">
        <v>60</v>
      </c>
      <c r="B132" s="3811" t="s">
        <v>2783</v>
      </c>
      <c r="C132" s="3116" t="s">
        <v>2784</v>
      </c>
      <c r="D132" s="3090" t="s">
        <v>2785</v>
      </c>
      <c r="E132" s="3116">
        <v>0.1</v>
      </c>
      <c r="F132" s="3116">
        <v>15</v>
      </c>
    </row>
    <row r="133" spans="1:6" ht="13.5">
      <c r="A133" s="3116">
        <v>61</v>
      </c>
      <c r="B133" s="3815"/>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16" t="s">
        <v>2791</v>
      </c>
      <c r="C135" s="3116" t="s">
        <v>2792</v>
      </c>
      <c r="D135" s="3090" t="s">
        <v>2793</v>
      </c>
      <c r="E135" s="3116">
        <v>0.1</v>
      </c>
      <c r="F135" s="3116">
        <v>15</v>
      </c>
    </row>
    <row r="136" spans="1:6" ht="13.5">
      <c r="A136" s="3116">
        <v>64</v>
      </c>
      <c r="B136" s="3816"/>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0.96309999999999996</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0.91610000000000003</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52550</v>
      </c>
      <c r="C2" s="2" t="s">
        <v>106</v>
      </c>
      <c r="D2" s="199"/>
      <c r="E2" s="199"/>
      <c r="F2" s="199"/>
      <c r="G2" s="199"/>
    </row>
    <row r="3" spans="1:7" s="200" customFormat="1" ht="18" customHeight="1" thickBot="1">
      <c r="A3" s="203" t="s">
        <v>58</v>
      </c>
      <c r="B3" s="204">
        <f ca="1">ROUND(B2*10000/'数据-汇总表'!E3,0)</f>
        <v>9106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1154</v>
      </c>
      <c r="D10" s="845">
        <f>'数据-汇总表'!E6</f>
        <v>57711.310000000005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1154</v>
      </c>
      <c r="D19" s="849">
        <f>'数据-汇总表'!E3</f>
        <v>57711.310000000005</v>
      </c>
      <c r="E19" s="211">
        <f>'数据-取费表'!B31</f>
        <v>200</v>
      </c>
      <c r="F19" s="231"/>
      <c r="G19" s="1" t="s">
        <v>436</v>
      </c>
    </row>
    <row r="20" spans="1:7" s="214" customFormat="1" ht="13.5" customHeight="1">
      <c r="A20" s="777" t="s">
        <v>419</v>
      </c>
      <c r="B20" s="210" t="s">
        <v>77</v>
      </c>
      <c r="C20" s="232">
        <f>ROUND((C5+C19)*F20,0)</f>
        <v>435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1862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98</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2886</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2886</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19001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16916</v>
      </c>
      <c r="D34" s="217"/>
      <c r="E34" s="220"/>
      <c r="F34" s="257">
        <f>IF('数据-取费表'!B24=0,1,'数据-取费表'!N16)</f>
        <v>1</v>
      </c>
      <c r="G34" s="219" t="s">
        <v>89</v>
      </c>
    </row>
    <row r="35" spans="1:7" ht="13.5" customHeight="1">
      <c r="A35" s="780" t="s">
        <v>351</v>
      </c>
      <c r="B35" s="215" t="s">
        <v>33</v>
      </c>
      <c r="C35" s="220">
        <f>ROUND(C34*F35,0)</f>
        <v>677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1154</v>
      </c>
      <c r="D37" s="217">
        <f>'数据-汇总表'!E3</f>
        <v>57711.310000000005</v>
      </c>
      <c r="E37" s="249">
        <f>'数据-取费表'!B35</f>
        <v>200</v>
      </c>
      <c r="F37" s="259"/>
      <c r="G37" s="261" t="s">
        <v>92</v>
      </c>
    </row>
    <row r="38" spans="1:7" ht="13.5" customHeight="1">
      <c r="A38" s="780" t="s">
        <v>354</v>
      </c>
      <c r="B38" s="215" t="s">
        <v>36</v>
      </c>
      <c r="C38" s="220">
        <f>ROUND(C34*F38,0)</f>
        <v>254</v>
      </c>
      <c r="D38" s="220"/>
      <c r="E38" s="220"/>
      <c r="F38" s="259">
        <f>'数据-取费表'!B36</f>
        <v>1.4999999999999999E-2</v>
      </c>
      <c r="G38" s="219" t="s">
        <v>90</v>
      </c>
    </row>
    <row r="39" spans="1:7" s="214" customFormat="1" ht="13.5" customHeight="1">
      <c r="A39" s="777" t="s">
        <v>338</v>
      </c>
      <c r="B39" s="210" t="s">
        <v>77</v>
      </c>
      <c r="C39" s="232">
        <f>ROUND(C33*F20,0)</f>
        <v>380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805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789</v>
      </c>
      <c r="D42" s="238"/>
      <c r="E42" s="238"/>
      <c r="F42" s="239"/>
      <c r="G42" s="3742" t="s">
        <v>94</v>
      </c>
    </row>
    <row r="43" spans="1:7" ht="13.5" customHeight="1">
      <c r="A43" s="780" t="s">
        <v>347</v>
      </c>
      <c r="B43" s="215" t="s">
        <v>426</v>
      </c>
      <c r="C43" s="238">
        <f ca="1">ROUND(IF('数据-取费表'!B22&lt;=1,C39*F22*'数据-取费表'!B21/2,C39*(POWER((1+F22),'数据-取费表'!B21/2)-1)),0)</f>
        <v>16</v>
      </c>
      <c r="D43" s="238"/>
      <c r="E43" s="238"/>
      <c r="F43" s="239"/>
      <c r="G43" s="3743"/>
    </row>
    <row r="44" spans="1:7" ht="13.5" customHeight="1">
      <c r="A44" s="780" t="s">
        <v>348</v>
      </c>
      <c r="B44" s="215" t="s">
        <v>428</v>
      </c>
      <c r="C44" s="238">
        <f ca="1">ROUND(IF('数据-取费表'!B22&lt;=1,C40*F22*'数据-取费表'!B21/2,C40*(POWER((1+F22),'数据-取费表'!B21/2)-1)),4)</f>
        <v>8.0000000000000004E-4</v>
      </c>
      <c r="D44" s="238"/>
      <c r="E44" s="238"/>
      <c r="F44" s="239"/>
      <c r="G44" s="3744"/>
    </row>
    <row r="45" spans="1:7" s="214" customFormat="1" ht="13.5" customHeight="1">
      <c r="A45" s="777" t="s">
        <v>341</v>
      </c>
      <c r="B45" s="244" t="s">
        <v>85</v>
      </c>
      <c r="C45" s="245">
        <f>C46</f>
        <v>2520</v>
      </c>
      <c r="D45" s="235">
        <f>C47</f>
        <v>2.5999999999999999E-3</v>
      </c>
      <c r="E45" s="236" t="s">
        <v>102</v>
      </c>
      <c r="F45" s="246"/>
      <c r="G45" s="247" t="s">
        <v>434</v>
      </c>
    </row>
    <row r="46" spans="1:7" s="214" customFormat="1" ht="13.5" customHeight="1">
      <c r="A46" s="780" t="s">
        <v>349</v>
      </c>
      <c r="B46" s="248" t="s">
        <v>427</v>
      </c>
      <c r="C46" s="249">
        <f>ROUND((C33+C39)*F27,0)</f>
        <v>2520</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24593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23363</v>
      </c>
      <c r="D51" s="232"/>
      <c r="E51" s="232"/>
      <c r="F51" s="264"/>
      <c r="G51" s="234" t="s">
        <v>37</v>
      </c>
    </row>
    <row r="52" spans="1:7" s="208" customFormat="1" ht="16.5" thickBot="1">
      <c r="A52" s="265" t="s">
        <v>38</v>
      </c>
      <c r="B52" s="266"/>
      <c r="C52" s="267">
        <f ca="1">C31+C51</f>
        <v>52550</v>
      </c>
      <c r="D52" s="266"/>
      <c r="E52" s="266"/>
      <c r="F52" s="266"/>
      <c r="G52" s="268"/>
    </row>
    <row r="55" spans="1:7" ht="15">
      <c r="B55" s="270" t="s">
        <v>39</v>
      </c>
      <c r="C55" s="271"/>
    </row>
    <row r="56" spans="1:7">
      <c r="B56" s="273" t="s">
        <v>40</v>
      </c>
      <c r="C56" s="274">
        <f ca="1">ROUND(C51/C52,3)</f>
        <v>0.44500000000000001</v>
      </c>
    </row>
    <row r="57" spans="1:7">
      <c r="B57" s="273" t="s">
        <v>41</v>
      </c>
      <c r="C57" s="275">
        <f ca="1">1-C56</f>
        <v>0.55499999999999994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9" t="s">
        <v>2847</v>
      </c>
      <c r="B1" s="3819"/>
      <c r="C1" s="3819"/>
      <c r="D1" s="3819"/>
      <c r="E1" s="3819"/>
      <c r="F1" s="3819"/>
      <c r="G1" s="3820"/>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817"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818"/>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1" t="s">
        <v>3189</v>
      </c>
      <c r="B1" s="3821"/>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2" t="s">
        <v>3240</v>
      </c>
      <c r="B1" s="3822"/>
      <c r="C1" s="3822"/>
      <c r="D1" s="3822"/>
      <c r="E1" s="3822"/>
      <c r="F1" s="3823"/>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0">
        <f>基准地价修正!G23</f>
        <v>44930</v>
      </c>
      <c r="B1" s="3209" t="s">
        <v>2846</v>
      </c>
      <c r="C1" s="3210"/>
      <c r="D1" s="3210"/>
      <c r="E1" s="3210"/>
      <c r="F1" s="3210"/>
      <c r="G1" s="3210"/>
      <c r="H1" s="3210"/>
      <c r="I1" s="3210"/>
      <c r="J1" s="3163"/>
      <c r="K1" s="3210" t="s">
        <v>454</v>
      </c>
      <c r="L1" s="3210"/>
      <c r="M1" s="3210"/>
      <c r="N1" s="3210"/>
      <c r="O1" s="3210"/>
      <c r="P1" s="3210"/>
      <c r="Q1" s="3163"/>
      <c r="R1" s="3824" t="s">
        <v>456</v>
      </c>
      <c r="S1" s="3825"/>
      <c r="T1" s="3825"/>
      <c r="U1" s="3825"/>
      <c r="V1" s="3825"/>
      <c r="W1" s="3825"/>
      <c r="X1" s="3163"/>
      <c r="Y1" s="3824" t="s">
        <v>457</v>
      </c>
      <c r="Z1" s="3825"/>
      <c r="AA1" s="3825"/>
      <c r="AB1" s="3825"/>
      <c r="AC1" s="3825"/>
      <c r="AD1" s="3825"/>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ROUND(IF([3]项目基本情况!B8="出让",SUMPRODUCT(PRODUCT(1+K5:K13)),SUMPRODUCT(PRODUCT(1+K5:K12))),4)</f>
        <v>1.05</v>
      </c>
      <c r="S5" s="3181">
        <f>ROUND(IF([3]项目基本情况!B8="出让",SUMPRODUCT(PRODUCT(1+L5:L13)),SUMPRODUCT(PRODUCT(1+L5:L12))),4)</f>
        <v>1.0229999999999999</v>
      </c>
      <c r="T5" s="3181">
        <f>ROUND(IF([3]项目基本情况!B8="出让",SUMPRODUCT(PRODUCT(1+M5:M13)),SUMPRODUCT(PRODUCT(1+M5:M12))),4)</f>
        <v>1.0134000000000001</v>
      </c>
      <c r="U5" s="3181">
        <f>ROUND(IF([3]项目基本情况!B8="出让",SUMPRODUCT(PRODUCT(1+N5:N13)),SUMPRODUCT(PRODUCT(1+N5:N12))),4)</f>
        <v>1.0545</v>
      </c>
      <c r="V5" s="3181">
        <f>ROUND(IF([3]项目基本情况!B8="出让",SUMPRODUCT(PRODUCT(1+O5:O13)),SUMPRODUCT(PRODUCT(1+O5:O12))),4)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ROUND(IF([3]项目基本情况!B8="出让",SUMPRODUCT(PRODUCT(1+K6:K13)),SUMPRODUCT(PRODUCT(1+K6:K12))),4)</f>
        <v>1.05</v>
      </c>
      <c r="S6" s="3181">
        <f>ROUND(IF([3]项目基本情况!B8="出让",SUMPRODUCT(PRODUCT(1+L6:L13)),SUMPRODUCT(PRODUCT(1+L6:L12))),4)</f>
        <v>1.0229999999999999</v>
      </c>
      <c r="T6" s="3181">
        <f>ROUND(IF([3]项目基本情况!B8="出让",SUMPRODUCT(PRODUCT(1+M6:M13)),SUMPRODUCT(PRODUCT(1+M6:M12))),4)</f>
        <v>1.0134000000000001</v>
      </c>
      <c r="U6" s="3181">
        <f>ROUND(IF([3]项目基本情况!B8="出让",SUMPRODUCT(PRODUCT(1+N6:N13)),SUMPRODUCT(PRODUCT(1+N6:N12))),4)</f>
        <v>1.0545</v>
      </c>
      <c r="V6" s="3181">
        <f>ROUND(IF([3]项目基本情况!B8="出让",SUMPRODUCT(PRODUCT(1+O6:O13)),SUMPRODUCT(PRODUCT(1+O6:O12))),4)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ROUND(IF([3]项目基本情况!B8="出让",SUMPRODUCT(PRODUCT(1+K7:K13)),SUMPRODUCT(PRODUCT(1+K7:K12))),4)</f>
        <v>1.05</v>
      </c>
      <c r="S7" s="3191">
        <f>ROUND(IF([3]项目基本情况!B8="出让",SUMPRODUCT(PRODUCT(1+L7:L13)),SUMPRODUCT(PRODUCT(1+L7:L12))),4)</f>
        <v>1.0229999999999999</v>
      </c>
      <c r="T7" s="3191">
        <f>ROUND(IF([3]项目基本情况!B8="出让",SUMPRODUCT(PRODUCT(1+M7:M13)),SUMPRODUCT(PRODUCT(1+M7:M12))),4)</f>
        <v>1.0134000000000001</v>
      </c>
      <c r="U7" s="3191">
        <f>ROUND(IF([3]项目基本情况!B8="出让",SUMPRODUCT(PRODUCT(1+N7:N13)),SUMPRODUCT(PRODUCT(1+N7:N12))),4)</f>
        <v>1.0545</v>
      </c>
      <c r="V7" s="3191">
        <f>ROUND(IF([3]项目基本情况!B8="出让",SUMPRODUCT(PRODUCT(1+O7:O13)),SUMPRODUCT(PRODUCT(1+O7:O12))),4)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ROUND(IF([3]项目基本情况!B8="出让",SUMPRODUCT(PRODUCT(1+K8:K13)),SUMPRODUCT(PRODUCT(1+K8:K12))),4)</f>
        <v>1.0430999999999999</v>
      </c>
      <c r="S8" s="3181">
        <f>ROUND(IF([3]项目基本情况!B8="出让",SUMPRODUCT(PRODUCT(1+L8:L13)),SUMPRODUCT(PRODUCT(1+L8:L12))),4)</f>
        <v>1.0197000000000001</v>
      </c>
      <c r="T8" s="3181">
        <f>ROUND(IF([3]项目基本情况!B8="出让",SUMPRODUCT(PRODUCT(1+M8:M13)),SUMPRODUCT(PRODUCT(1+M8:M12))),4)</f>
        <v>1.0109999999999999</v>
      </c>
      <c r="U8" s="3181">
        <f>ROUND(IF([3]项目基本情况!B8="出让",SUMPRODUCT(PRODUCT(1+N8:N13)),SUMPRODUCT(PRODUCT(1+N8:N12))),4)</f>
        <v>1.0468999999999999</v>
      </c>
      <c r="V8" s="3181">
        <f>ROUND(IF([3]项目基本情况!B8="出让",SUMPRODUCT(PRODUCT(1+O8:O13)),SUMPRODUCT(PRODUCT(1+O8:O12))),4)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ROUND(IF([3]项目基本情况!B8="出让",SUMPRODUCT(PRODUCT(1+K9:K13)),SUMPRODUCT(PRODUCT(1+K9:K12))),4)</f>
        <v>1.0335000000000001</v>
      </c>
      <c r="S9" s="3181">
        <f>ROUND(IF([3]项目基本情况!B8="出让",SUMPRODUCT(PRODUCT(1+L9:L13)),SUMPRODUCT(PRODUCT(1+L9:L12))),4)</f>
        <v>1.0182</v>
      </c>
      <c r="T9" s="3181">
        <f>ROUND(IF([3]项目基本情况!B8="出让",SUMPRODUCT(PRODUCT(1+M9:M13)),SUMPRODUCT(PRODUCT(1+M9:M12))),4)</f>
        <v>1.0108999999999999</v>
      </c>
      <c r="U9" s="3181">
        <f>ROUND(IF([3]项目基本情况!B8="出让",SUMPRODUCT(PRODUCT(1+N9:N13)),SUMPRODUCT(PRODUCT(1+N9:N12))),4)</f>
        <v>1.0361</v>
      </c>
      <c r="V9" s="3181">
        <f>ROUND(IF([3]项目基本情况!B8="出让",SUMPRODUCT(PRODUCT(1+O9:O13)),SUMPRODUCT(PRODUCT(1+O9:O12))),4)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ROUND(IF([3]项目基本情况!B8="出让",SUMPRODUCT(PRODUCT(1+K10:K13)),SUMPRODUCT(PRODUCT(1+K10:K12))),4)</f>
        <v>1.0244</v>
      </c>
      <c r="S10" s="3181">
        <f>ROUND(IF([3]项目基本情况!B8="出让",SUMPRODUCT(PRODUCT(1+L10:L13)),SUMPRODUCT(PRODUCT(1+L10:L12))),4)</f>
        <v>1.0138</v>
      </c>
      <c r="T10" s="3181">
        <f>ROUND(IF([3]项目基本情况!B8="出让",SUMPRODUCT(PRODUCT(1+M10:M13)),SUMPRODUCT(PRODUCT(1+M10:M12))),4)</f>
        <v>1.0072000000000001</v>
      </c>
      <c r="U10" s="3181">
        <f>ROUND(IF([3]项目基本情况!B8="出让",SUMPRODUCT(PRODUCT(1+N10:N13)),SUMPRODUCT(PRODUCT(1+N10:N12))),4)</f>
        <v>1.0262</v>
      </c>
      <c r="V10" s="3181">
        <f>ROUND(IF([3]项目基本情况!B8="出让",SUMPRODUCT(PRODUCT(1+O10:O13)),SUMPRODUCT(PRODUCT(1+O10:O12))),4)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ROUND(IF([3]项目基本情况!B8="出让",SUMPRODUCT(PRODUCT(1+K11:K13)),SUMPRODUCT(PRODUCT(1+K11:K12))),4)</f>
        <v>1.0139</v>
      </c>
      <c r="S11" s="3181">
        <f>ROUND(IF([3]项目基本情况!B8="出让",SUMPRODUCT(PRODUCT(1+L11:L13)),SUMPRODUCT(PRODUCT(1+L11:L12))),4)</f>
        <v>1.0113000000000001</v>
      </c>
      <c r="T11" s="3181">
        <f>ROUND(IF([3]项目基本情况!B8="出让",SUMPRODUCT(PRODUCT(1+M11:M13)),SUMPRODUCT(PRODUCT(1+M11:M12))),4)</f>
        <v>1.0065</v>
      </c>
      <c r="U11" s="3181">
        <f>ROUND(IF([3]项目基本情况!B8="出让",SUMPRODUCT(PRODUCT(1+N11:N13)),SUMPRODUCT(PRODUCT(1+N11:N12))),4)</f>
        <v>1.0143</v>
      </c>
      <c r="V11" s="3181">
        <f>ROUND(IF([3]项目基本情况!B8="出让",SUMPRODUCT(PRODUCT(1+O11:O13)),SUMPRODUCT(PRODUCT(1+O11:O12))),4)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ROUND(IF([3]项目基本情况!B8="出让",SUMPRODUCT(PRODUCT(1+K12:K13)),SUMPRODUCT(PRODUCT(1+K12:K12))),4)</f>
        <v>1.0092000000000001</v>
      </c>
      <c r="S12" s="3181">
        <f>ROUND(IF([3]项目基本情况!B8="出让",SUMPRODUCT(PRODUCT(1+L12:L13)),SUMPRODUCT(PRODUCT(1+L12:L12))),4)</f>
        <v>1.0072000000000001</v>
      </c>
      <c r="T12" s="3181">
        <f>ROUND(IF([3]项目基本情况!B8="出让",SUMPRODUCT(PRODUCT(1+M12:M13)),SUMPRODUCT(PRODUCT(1+M12:M12))),4)</f>
        <v>1.0041</v>
      </c>
      <c r="U12" s="3181">
        <f>ROUND(IF([3]项目基本情况!B8="出让",SUMPRODUCT(PRODUCT(1+N12:N13)),SUMPRODUCT(PRODUCT(1+N12:N12))),4)</f>
        <v>1.0095000000000001</v>
      </c>
      <c r="V12" s="3181">
        <f>ROUND(IF([3]项目基本情况!B8="出让",SUMPRODUCT(PRODUCT(1+O12:O13)),SUMPRODUCT(PRODUCT(1+O12:O12))),4)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824" t="s">
        <v>2832</v>
      </c>
      <c r="S18" s="3825"/>
      <c r="T18" s="3825"/>
      <c r="U18" s="3825"/>
      <c r="V18" s="3825"/>
      <c r="W18" s="3825"/>
      <c r="X18" s="3163"/>
      <c r="Y18" s="3824" t="s">
        <v>2833</v>
      </c>
      <c r="Z18" s="3825"/>
      <c r="AA18" s="3825"/>
      <c r="AB18" s="3825"/>
      <c r="AC18" s="3825"/>
      <c r="AD18" s="3825"/>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ROUND(IF([3]项目基本情况!$B$8="出让",SUMPRODUCT(PRODUCT(1+L22:L$30)),SUMPRODUCT(PRODUCT(1+L22:L$29))),4)</f>
        <v>1.0241</v>
      </c>
      <c r="T22" s="3181">
        <f>ROUND(IF([3]项目基本情况!$B$8="出让",SUMPRODUCT(PRODUCT(1+M22:M$30)),SUMPRODUCT(PRODUCT(1+M22:M$29))),4)</f>
        <v>1.0144</v>
      </c>
      <c r="U22" s="3181">
        <f>ROUND(IF([3]项目基本情况!$B$8="出让",SUMPRODUCT(PRODUCT(1+N22:N$30)),SUMPRODUCT(PRODUCT(1+N22:N$29))),4)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ROUND(IF([3]项目基本情况!$B$8="出让",SUMPRODUCT(PRODUCT(1+L23:L$30)),SUMPRODUCT(PRODUCT(1+L23:L$29))),4)</f>
        <v>1.0241</v>
      </c>
      <c r="T23" s="3181">
        <f>ROUND(IF([3]项目基本情况!$B$8="出让",SUMPRODUCT(PRODUCT(1+M23:M$30)),SUMPRODUCT(PRODUCT(1+M23:M$29))),4)</f>
        <v>1.0144</v>
      </c>
      <c r="U23" s="3181">
        <f>ROUND(IF([3]项目基本情况!$B$8="出让",SUMPRODUCT(PRODUCT(1+N23:N$30)),SUMPRODUCT(PRODUCT(1+N23:N$29))),4)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ROUND(IF([3]项目基本情况!$B$8="出让",SUMPRODUCT(PRODUCT(1+L24:L$30)),SUMPRODUCT(PRODUCT(1+L24:L$29))),4)</f>
        <v>1.0241</v>
      </c>
      <c r="T24" s="3191">
        <f>ROUND(IF([3]项目基本情况!$B$8="出让",SUMPRODUCT(PRODUCT(1+M24:M$30)),SUMPRODUCT(PRODUCT(1+M24:M$29))),4)</f>
        <v>1.0144</v>
      </c>
      <c r="U24" s="3191">
        <f>ROUND(IF([3]项目基本情况!$B$8="出让",SUMPRODUCT(PRODUCT(1+N24:N$30)),SUMPRODUCT(PRODUCT(1+N24:N$29))),4)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ROUND(IF([3]项目基本情况!$B$8="出让",SUMPRODUCT(PRODUCT(1+L25:L$30)),SUMPRODUCT(PRODUCT(1+L25:L$29))),4)</f>
        <v>1.0210999999999999</v>
      </c>
      <c r="T25" s="3181">
        <f>ROUND(IF([3]项目基本情况!$B$8="出让",SUMPRODUCT(PRODUCT(1+M25:M$30)),SUMPRODUCT(PRODUCT(1+M25:M$29))),4)</f>
        <v>1.0114000000000001</v>
      </c>
      <c r="U25" s="3181">
        <f>ROUND(IF([3]项目基本情况!$B$8="出让",SUMPRODUCT(PRODUCT(1+N25:N$30)),SUMPRODUCT(PRODUCT(1+N25:N$29))),4)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ROUND(IF([3]项目基本情况!$B$8="出让",SUMPRODUCT(PRODUCT(1+L26:L$30)),SUMPRODUCT(PRODUCT(1+L26:L$29))),4)</f>
        <v>1.0222</v>
      </c>
      <c r="T26" s="3181">
        <f>ROUND(IF([3]项目基本情况!$B$8="出让",SUMPRODUCT(PRODUCT(1+M26:M$30)),SUMPRODUCT(PRODUCT(1+M26:M$29))),4)</f>
        <v>1.0127999999999999</v>
      </c>
      <c r="U26" s="3181">
        <f>ROUND(IF([3]项目基本情况!$B$8="出让",SUMPRODUCT(PRODUCT(1+N26:N$30)),SUMPRODUCT(PRODUCT(1+N26:N$29))),4)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ROUND(IF([3]项目基本情况!$B$8="出让",SUMPRODUCT(PRODUCT(1+L27:L$30)),SUMPRODUCT(PRODUCT(1+L27:L$29))),4)</f>
        <v>1.0161</v>
      </c>
      <c r="T27" s="3181">
        <f>ROUND(IF([3]项目基本情况!$B$8="出让",SUMPRODUCT(PRODUCT(1+M27:M$30)),SUMPRODUCT(PRODUCT(1+M27:M$29))),4)</f>
        <v>1.0082</v>
      </c>
      <c r="U27" s="3181">
        <f>ROUND(IF([3]项目基本情况!$B$8="出让",SUMPRODUCT(PRODUCT(1+N27:N$30)),SUMPRODUCT(PRODUCT(1+N27:N$29))),4)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ROUND(IF([3]项目基本情况!$B$8="出让",SUMPRODUCT(PRODUCT(1+L28:L$30)),SUMPRODUCT(PRODUCT(1+L28:L$29))),4)</f>
        <v>1.0102</v>
      </c>
      <c r="T28" s="3181">
        <f>ROUND(IF([3]项目基本情况!$B$8="出让",SUMPRODUCT(PRODUCT(1+M28:M$30)),SUMPRODUCT(PRODUCT(1+M28:M$29))),4)</f>
        <v>1.0074000000000001</v>
      </c>
      <c r="U28" s="3181">
        <f>ROUND(IF([3]项目基本情况!$B$8="出让",SUMPRODUCT(PRODUCT(1+N28:N$30)),SUMPRODUCT(PRODUCT(1+N28:N$29))),4)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ROUND(IF([3]项目基本情况!$B$8="出让",SUMPRODUCT(PRODUCT(1+L29:L$30)),SUMPRODUCT(PRODUCT(1+L29:L$29))),4)</f>
        <v>1.0055000000000001</v>
      </c>
      <c r="T29" s="3181">
        <f>ROUND(IF([3]项目基本情况!$B$8="出让",SUMPRODUCT(PRODUCT(1+M29:M$30)),SUMPRODUCT(PRODUCT(1+M29:M$29))),4)</f>
        <v>1.0045999999999999</v>
      </c>
      <c r="U29" s="3181">
        <f>ROUND(IF([3]项目基本情况!$B$8="出让",SUMPRODUCT(PRODUCT(1+N29:N$30)),SUMPRODUCT(PRODUCT(1+N29:N$29))),4)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6"/>
      <c r="B3" s="3506"/>
      <c r="C3" s="3506"/>
      <c r="D3" s="854" t="s">
        <v>925</v>
      </c>
      <c r="E3" s="854" t="s">
        <v>931</v>
      </c>
      <c r="F3" s="854" t="s">
        <v>925</v>
      </c>
      <c r="G3" s="854" t="s">
        <v>926</v>
      </c>
      <c r="H3" s="854" t="s">
        <v>925</v>
      </c>
      <c r="I3" s="854" t="s">
        <v>926</v>
      </c>
    </row>
    <row r="4" spans="1:9" ht="30">
      <c r="A4" s="1505" t="str">
        <f>项目基本情况!S2</f>
        <v>北京市海淀区忍冬路5号院房地产</v>
      </c>
      <c r="B4" s="854">
        <f>项目基本情况!C17</f>
        <v>57711.310000000005</v>
      </c>
      <c r="C4" s="854">
        <f>项目基本情况!C18</f>
        <v>14812.1</v>
      </c>
      <c r="D4" s="854">
        <f ca="1">结果表!D118</f>
        <v>106514</v>
      </c>
      <c r="E4" s="854">
        <f ca="1">结果表!E118</f>
        <v>21928</v>
      </c>
      <c r="F4" s="854">
        <f ca="1">结果表!F118</f>
        <v>46965</v>
      </c>
      <c r="G4" s="854">
        <f ca="1">结果表!G118</f>
        <v>9669</v>
      </c>
      <c r="H4" s="854">
        <f ca="1">结果表!H118</f>
        <v>153479</v>
      </c>
      <c r="I4" s="854">
        <f ca="1">结果表!I118</f>
        <v>31597</v>
      </c>
    </row>
    <row r="5" spans="1:9" ht="30" customHeight="1">
      <c r="A5" s="3506" t="s">
        <v>927</v>
      </c>
      <c r="B5" s="3506"/>
      <c r="C5" s="3506"/>
      <c r="D5" s="3506" t="str">
        <f ca="1">结果表!D119</f>
        <v>壹拾亿陆仟伍佰壹拾肆万元整</v>
      </c>
      <c r="E5" s="3506"/>
      <c r="F5" s="3506" t="str">
        <f ca="1">结果表!F119</f>
        <v>肆亿陆仟玖佰陆拾伍万元整</v>
      </c>
      <c r="G5" s="3506"/>
      <c r="H5" s="3506" t="str">
        <f ca="1">结果表!H119</f>
        <v>壹拾伍亿叁仟肆佰柒拾玖万元整</v>
      </c>
      <c r="I5" s="3506"/>
    </row>
    <row r="6" spans="1:9" ht="15.75">
      <c r="A6" s="3507" t="str">
        <f>结果表!A120</f>
        <v>估价师知悉的法定优先受偿款</v>
      </c>
      <c r="B6" s="3507"/>
      <c r="C6" s="3507"/>
      <c r="D6" s="3507">
        <f>结果表!D120</f>
        <v>0</v>
      </c>
      <c r="E6" s="3507"/>
      <c r="F6" s="3507"/>
      <c r="G6" s="3507"/>
      <c r="H6" s="3507"/>
      <c r="I6" s="3507"/>
    </row>
    <row r="7" spans="1:9" ht="15">
      <c r="A7" s="3506" t="s">
        <v>927</v>
      </c>
      <c r="B7" s="3506"/>
      <c r="C7" s="3506"/>
      <c r="D7" s="3508" t="str">
        <f>结果表!D121</f>
        <v>零元整</v>
      </c>
      <c r="E7" s="3509"/>
      <c r="F7" s="3509"/>
      <c r="G7" s="3509"/>
      <c r="H7" s="3509"/>
      <c r="I7" s="3510"/>
    </row>
    <row r="8" spans="1:9" ht="15.75">
      <c r="A8" s="3507" t="str">
        <f>结果表!A122</f>
        <v>房地产抵押价值</v>
      </c>
      <c r="B8" s="3507"/>
      <c r="C8" s="3507"/>
      <c r="D8" s="3507">
        <f ca="1">结果表!D122</f>
        <v>153479</v>
      </c>
      <c r="E8" s="3507"/>
      <c r="F8" s="3507"/>
      <c r="G8" s="3507"/>
      <c r="H8" s="3507"/>
      <c r="I8" s="3507"/>
    </row>
    <row r="9" spans="1:9" ht="15">
      <c r="A9" s="3506" t="s">
        <v>927</v>
      </c>
      <c r="B9" s="3506"/>
      <c r="C9" s="3506"/>
      <c r="D9" s="3506" t="str">
        <f ca="1">结果表!D123</f>
        <v>壹拾伍亿叁仟肆佰柒拾玖万元整</v>
      </c>
      <c r="E9" s="3506"/>
      <c r="F9" s="3506"/>
      <c r="G9" s="3506"/>
      <c r="H9" s="3506"/>
      <c r="I9" s="3506"/>
    </row>
    <row r="10" spans="1:9" ht="15.75">
      <c r="A10" s="3507" t="str">
        <f>结果表!A124</f>
        <v/>
      </c>
      <c r="B10" s="3507"/>
      <c r="C10" s="3507"/>
      <c r="D10" s="3507" t="str">
        <f>结果表!D124</f>
        <v>——</v>
      </c>
      <c r="E10" s="3507"/>
      <c r="F10" s="3507"/>
      <c r="G10" s="3507"/>
      <c r="H10" s="3507"/>
      <c r="I10" s="3507"/>
    </row>
    <row r="11" spans="1:9" ht="15">
      <c r="A11" s="3506" t="s">
        <v>927</v>
      </c>
      <c r="B11" s="3506"/>
      <c r="C11" s="3506"/>
      <c r="D11" s="3506" t="e">
        <f>结果表!D125</f>
        <v>#VALUE!</v>
      </c>
      <c r="E11" s="3506"/>
      <c r="F11" s="3506"/>
      <c r="G11" s="3506"/>
      <c r="H11" s="3506"/>
      <c r="I11" s="3506"/>
    </row>
    <row r="12" spans="1:9" ht="15.75">
      <c r="A12" s="3507" t="str">
        <f>结果表!A126</f>
        <v>抵押净值</v>
      </c>
      <c r="B12" s="3507"/>
      <c r="C12" s="3507"/>
      <c r="D12" s="3507">
        <f ca="1">结果表!D126</f>
        <v>140499</v>
      </c>
      <c r="E12" s="3507"/>
      <c r="F12" s="3507"/>
      <c r="G12" s="3507"/>
      <c r="H12" s="3507"/>
      <c r="I12" s="3507"/>
    </row>
    <row r="13" spans="1:9" ht="15.75" thickBot="1">
      <c r="A13" s="3511" t="s">
        <v>927</v>
      </c>
      <c r="B13" s="3511"/>
      <c r="C13" s="3511"/>
      <c r="D13" s="3511" t="str">
        <f ca="1">结果表!D127</f>
        <v>壹拾肆亿零肆佰玖拾玖万元整</v>
      </c>
      <c r="E13" s="3511"/>
      <c r="F13" s="3511"/>
      <c r="G13" s="3511"/>
      <c r="H13" s="3511"/>
      <c r="I13" s="3511"/>
    </row>
    <row r="14" spans="1:9" ht="15" thickTop="1">
      <c r="A14" s="3512" t="s">
        <v>932</v>
      </c>
      <c r="B14" s="3512"/>
      <c r="C14" s="3512"/>
      <c r="D14" s="3512"/>
      <c r="E14" s="3512"/>
      <c r="F14" s="3512"/>
      <c r="G14" s="3512"/>
      <c r="H14" s="3512"/>
      <c r="I14" s="351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
  <sheetViews>
    <sheetView workbookViewId="0">
      <selection activeCell="C7" sqref="C7:C8"/>
    </sheetView>
  </sheetViews>
  <sheetFormatPr defaultRowHeight="13.5"/>
  <cols>
    <col min="1" max="1" width="15.875" customWidth="1"/>
    <col min="2" max="2" width="19.625" customWidth="1"/>
    <col min="3" max="3" width="24.875" customWidth="1"/>
    <col min="4" max="4" width="27.125" customWidth="1"/>
    <col min="5" max="5" width="33.25" customWidth="1"/>
    <col min="6" max="6" width="20.625" customWidth="1"/>
  </cols>
  <sheetData>
    <row r="2" spans="1:6" ht="14.25" thickBot="1"/>
    <row r="3" spans="1:6" ht="14.25">
      <c r="A3" s="3837" t="s">
        <v>3464</v>
      </c>
      <c r="B3" s="3484" t="s">
        <v>3465</v>
      </c>
      <c r="C3" s="3485" t="s">
        <v>3466</v>
      </c>
      <c r="D3" s="3839" t="s">
        <v>3467</v>
      </c>
      <c r="E3" s="3485"/>
      <c r="F3" s="3839" t="s">
        <v>3468</v>
      </c>
    </row>
    <row r="4" spans="1:6" ht="15" thickBot="1">
      <c r="A4" s="3838"/>
      <c r="B4" s="3486" t="s">
        <v>3469</v>
      </c>
      <c r="C4" s="3487" t="s">
        <v>3470</v>
      </c>
      <c r="D4" s="3840"/>
      <c r="E4" s="3487" t="s">
        <v>3471</v>
      </c>
      <c r="F4" s="3840"/>
    </row>
    <row r="5" spans="1:6" ht="14.25">
      <c r="A5" s="3837" t="s">
        <v>3472</v>
      </c>
      <c r="B5" s="3842">
        <v>30797.759999999998</v>
      </c>
      <c r="C5" s="3844" t="s">
        <v>3473</v>
      </c>
      <c r="D5" s="3488" t="s">
        <v>3474</v>
      </c>
      <c r="E5" s="3844" t="s">
        <v>3475</v>
      </c>
      <c r="F5" s="3847" t="s">
        <v>3476</v>
      </c>
    </row>
    <row r="6" spans="1:6" ht="15" thickBot="1">
      <c r="A6" s="3841"/>
      <c r="B6" s="3843"/>
      <c r="C6" s="3845"/>
      <c r="D6" s="3489" t="s">
        <v>3477</v>
      </c>
      <c r="E6" s="3846"/>
      <c r="F6" s="3848"/>
    </row>
    <row r="7" spans="1:6" ht="14.25">
      <c r="A7" s="3841"/>
      <c r="B7" s="3842">
        <v>577.88</v>
      </c>
      <c r="C7" s="3844" t="s">
        <v>3478</v>
      </c>
      <c r="D7" s="3488" t="s">
        <v>3474</v>
      </c>
      <c r="E7" s="3846"/>
      <c r="F7" s="3490" t="s">
        <v>3476</v>
      </c>
    </row>
    <row r="8" spans="1:6" ht="15" thickBot="1">
      <c r="A8" s="3841"/>
      <c r="B8" s="3843"/>
      <c r="C8" s="3845"/>
      <c r="D8" s="3489" t="s">
        <v>3477</v>
      </c>
      <c r="E8" s="3846"/>
      <c r="F8" s="3489" t="s">
        <v>3479</v>
      </c>
    </row>
    <row r="9" spans="1:6" ht="14.25">
      <c r="A9" s="3841"/>
      <c r="B9" s="3842">
        <v>99.52</v>
      </c>
      <c r="C9" s="3844" t="s">
        <v>3480</v>
      </c>
      <c r="D9" s="3488" t="s">
        <v>3474</v>
      </c>
      <c r="E9" s="3846"/>
      <c r="F9" s="3847" t="s">
        <v>3481</v>
      </c>
    </row>
    <row r="10" spans="1:6" ht="15" thickBot="1">
      <c r="A10" s="3838"/>
      <c r="B10" s="3843"/>
      <c r="C10" s="3845"/>
      <c r="D10" s="3489" t="s">
        <v>3477</v>
      </c>
      <c r="E10" s="3845"/>
      <c r="F10" s="3848"/>
    </row>
    <row r="11" spans="1:6" ht="14.25">
      <c r="A11" s="3837" t="s">
        <v>3482</v>
      </c>
      <c r="B11" s="3842">
        <v>155.13</v>
      </c>
      <c r="C11" s="3844" t="s">
        <v>3483</v>
      </c>
      <c r="D11" s="3488" t="s">
        <v>3484</v>
      </c>
      <c r="E11" s="3849" t="s">
        <v>3485</v>
      </c>
      <c r="F11" s="3847" t="s">
        <v>3486</v>
      </c>
    </row>
    <row r="12" spans="1:6" ht="15" thickBot="1">
      <c r="A12" s="3838"/>
      <c r="B12" s="3843"/>
      <c r="C12" s="3845"/>
      <c r="D12" s="3489" t="s">
        <v>3487</v>
      </c>
      <c r="E12" s="3845"/>
      <c r="F12" s="3848"/>
    </row>
    <row r="13" spans="1:6" ht="14.25">
      <c r="A13" s="3837" t="s">
        <v>3488</v>
      </c>
      <c r="B13" s="3842">
        <v>138</v>
      </c>
      <c r="C13" s="3844" t="s">
        <v>3489</v>
      </c>
      <c r="D13" s="3488" t="s">
        <v>3490</v>
      </c>
      <c r="E13" s="3849" t="s">
        <v>3491</v>
      </c>
      <c r="F13" s="3847" t="s">
        <v>3492</v>
      </c>
    </row>
    <row r="14" spans="1:6" ht="15" thickBot="1">
      <c r="A14" s="3838"/>
      <c r="B14" s="3843"/>
      <c r="C14" s="3845"/>
      <c r="D14" s="3489" t="s">
        <v>3493</v>
      </c>
      <c r="E14" s="3850"/>
      <c r="F14" s="3848"/>
    </row>
  </sheetData>
  <mergeCells count="23">
    <mergeCell ref="A13:A14"/>
    <mergeCell ref="B13:B14"/>
    <mergeCell ref="C13:C14"/>
    <mergeCell ref="E13:E14"/>
    <mergeCell ref="F13:F14"/>
    <mergeCell ref="A11:A12"/>
    <mergeCell ref="B11:B12"/>
    <mergeCell ref="C11:C12"/>
    <mergeCell ref="E11:E12"/>
    <mergeCell ref="F11:F12"/>
    <mergeCell ref="A3:A4"/>
    <mergeCell ref="D3:D4"/>
    <mergeCell ref="F3:F4"/>
    <mergeCell ref="A5:A10"/>
    <mergeCell ref="B5:B6"/>
    <mergeCell ref="C5:C6"/>
    <mergeCell ref="E5:E10"/>
    <mergeCell ref="F5:F6"/>
    <mergeCell ref="B7:B8"/>
    <mergeCell ref="C7:C8"/>
    <mergeCell ref="B9:B10"/>
    <mergeCell ref="C9:C10"/>
    <mergeCell ref="F9:F10"/>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6" t="str">
        <f>IF(项目基本情况!B8="抵押","4.本次评估估价师所知悉的法定优先受偿款情况说明如下：","——")</f>
        <v>4.本次评估估价师所知悉的法定优先受偿款情况说明如下：</v>
      </c>
      <c r="B14" s="3517"/>
      <c r="C14" s="3517"/>
      <c r="D14" s="3517"/>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9" t="s">
        <v>943</v>
      </c>
      <c r="B16" s="3519"/>
      <c r="C16" s="3519"/>
      <c r="D16" s="3519"/>
    </row>
    <row r="17" spans="1:4" ht="144" customHeight="1">
      <c r="A17" s="3519" t="s">
        <v>944</v>
      </c>
      <c r="B17" s="3519"/>
      <c r="C17" s="3519"/>
      <c r="D17" s="3519"/>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7" t="s">
        <v>956</v>
      </c>
      <c r="B15" s="3522" t="s">
        <v>109</v>
      </c>
      <c r="C15" s="3523"/>
    </row>
    <row r="16" spans="1:7" ht="13.5">
      <c r="A16" s="3528"/>
      <c r="B16" s="3522" t="s">
        <v>42</v>
      </c>
      <c r="C16" s="3523"/>
    </row>
    <row r="17" spans="1:3" ht="13.5">
      <c r="A17" s="3528"/>
      <c r="B17" s="3525" t="s">
        <v>957</v>
      </c>
      <c r="C17" s="1532" t="s">
        <v>956</v>
      </c>
    </row>
    <row r="18" spans="1:3" ht="13.5">
      <c r="A18" s="3528"/>
      <c r="B18" s="3525"/>
      <c r="C18" s="1532" t="s">
        <v>958</v>
      </c>
    </row>
    <row r="19" spans="1:3" ht="13.5">
      <c r="A19" s="3528"/>
      <c r="B19" s="3525"/>
      <c r="C19" s="1532" t="s">
        <v>959</v>
      </c>
    </row>
    <row r="20" spans="1:3" ht="13.5">
      <c r="A20" s="3529"/>
      <c r="B20" s="3524" t="s">
        <v>960</v>
      </c>
      <c r="C20" s="3523"/>
    </row>
    <row r="21" spans="1:3" ht="13.5">
      <c r="A21" s="1533" t="s">
        <v>961</v>
      </c>
      <c r="B21" s="1534"/>
      <c r="C21" s="1535"/>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2" t="s">
        <v>967</v>
      </c>
    </row>
    <row r="26" spans="1:3" ht="13.5">
      <c r="A26" s="3526"/>
      <c r="B26" s="3525"/>
      <c r="C26" s="1532" t="s">
        <v>968</v>
      </c>
    </row>
    <row r="27" spans="1:3" ht="13.5">
      <c r="A27" s="3526"/>
      <c r="B27" s="3525"/>
      <c r="C27" s="1532" t="s">
        <v>969</v>
      </c>
    </row>
    <row r="28" spans="1:3" ht="13.5">
      <c r="A28" s="3526"/>
      <c r="B28" s="3525"/>
      <c r="C28" s="1532" t="s">
        <v>970</v>
      </c>
    </row>
    <row r="29" spans="1:3" ht="13.5">
      <c r="A29" s="3526"/>
      <c r="B29" s="3525"/>
      <c r="C29" s="1532" t="s">
        <v>971</v>
      </c>
    </row>
    <row r="30" spans="1:3" ht="13.5">
      <c r="A30" s="3526"/>
      <c r="B30" s="3525"/>
      <c r="C30" s="1532" t="s">
        <v>972</v>
      </c>
    </row>
    <row r="31" spans="1:3" ht="13.5">
      <c r="A31" s="3526"/>
      <c r="B31" s="3525"/>
      <c r="C31" s="1532" t="s">
        <v>973</v>
      </c>
    </row>
    <row r="32" spans="1:3" ht="13.5">
      <c r="A32" s="3526"/>
      <c r="B32" s="3525"/>
      <c r="C32" s="1532" t="s">
        <v>974</v>
      </c>
    </row>
    <row r="33" spans="1:3" ht="13.5">
      <c r="A33" s="3526"/>
      <c r="B33" s="352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44954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0" t="s">
        <v>2159</v>
      </c>
      <c r="B17" s="3530"/>
      <c r="C17" s="3530"/>
      <c r="D17" s="3530"/>
      <c r="E17" s="3530"/>
      <c r="F17" s="3530"/>
      <c r="G17" s="3530"/>
      <c r="H17" s="3530"/>
    </row>
    <row r="18" spans="1:8" ht="24" customHeight="1">
      <c r="A18" s="3531" t="s">
        <v>2160</v>
      </c>
      <c r="B18" s="3531"/>
      <c r="C18" s="3531"/>
      <c r="D18" s="2343"/>
      <c r="E18" s="3532" t="s">
        <v>2161</v>
      </c>
      <c r="F18" s="3531"/>
      <c r="G18" s="353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销售台账</vt:lpstr>
      <vt:lpstr>数据-汇总表</vt:lpstr>
      <vt:lpstr>数据-取费表</vt:lpstr>
      <vt:lpstr>估价对象房地状况</vt:lpstr>
      <vt:lpstr>系统读取表</vt:lpstr>
      <vt:lpstr>结果表</vt:lpstr>
      <vt:lpstr>比较法-办公</vt:lpstr>
      <vt:lpstr>收益法</vt:lpstr>
      <vt:lpstr>典型户型修正</vt:lpstr>
      <vt:lpstr>结果表(仓储)</vt:lpstr>
      <vt:lpstr>成本法</vt:lpstr>
      <vt:lpstr>成本法 (元)</vt:lpstr>
      <vt:lpstr>假设开发法</vt:lpstr>
      <vt:lpstr>收益法(仓储)</vt:lpstr>
      <vt:lpstr>收益法 (元)</vt:lpstr>
      <vt:lpstr>结果表(车库)</vt:lpstr>
      <vt:lpstr>成本法(车库)</vt:lpstr>
      <vt:lpstr>收益法(车库)</vt:lpstr>
      <vt:lpstr>收益法-酒店模型</vt:lpstr>
      <vt:lpstr>基准地价修正</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'结果表(车库)'!Print_Area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2023-01-28T03:00:22Z</dcterms:modified>
</cp:coreProperties>
</file>