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15" windowWidth="11070" windowHeight="7860" tabRatio="837" firstSheet="12"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43" l="1"/>
  <c r="U5" i="43"/>
  <c r="U4" i="43"/>
  <c r="U3" i="43"/>
  <c r="U2" i="43"/>
  <c r="I24" i="43"/>
  <c r="G3" i="43"/>
  <c r="E13" i="4"/>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W28" i="78" s="1"/>
  <c r="T27" i="78"/>
  <c r="W27" i="78" s="1"/>
  <c r="T26" i="78"/>
  <c r="W26" i="78" s="1"/>
  <c r="U28" i="78"/>
  <c r="T29" i="78"/>
  <c r="W29" i="78" s="1"/>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11" i="78"/>
  <c r="W9" i="78"/>
  <c r="P22"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s="1"/>
  <c r="D59" i="34" s="1"/>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40"/>
  <c r="C63" i="40" s="1"/>
  <c r="O23" i="43"/>
  <c r="T35" i="4"/>
  <c r="A19" i="51"/>
  <c r="B14" i="72"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26" i="67"/>
  <c r="M24" i="67"/>
  <c r="M26" i="15"/>
  <c r="M24" i="15"/>
  <c r="F9" i="67"/>
  <c r="F36" i="67"/>
  <c r="C20" i="9"/>
  <c r="AO6" i="1"/>
  <c r="E2" i="68"/>
  <c r="F6" i="73"/>
  <c r="F43" i="15"/>
  <c r="D2" i="33"/>
  <c r="D19" i="9"/>
  <c r="F37" i="67"/>
  <c r="F9" i="15"/>
  <c r="AO9" i="1"/>
  <c r="E9" i="76"/>
  <c r="B10" i="76"/>
  <c r="C19" i="9"/>
  <c r="J15" i="67"/>
  <c r="F6" i="15"/>
  <c r="L47" i="67"/>
  <c r="B8" i="76"/>
  <c r="M8" i="15"/>
  <c r="C76" i="15"/>
  <c r="E11" i="76"/>
  <c r="AO11" i="1"/>
  <c r="B9" i="76"/>
  <c r="M22" i="15"/>
  <c r="F5" i="73"/>
  <c r="F6" i="67"/>
  <c r="M27" i="15"/>
  <c r="F16" i="15"/>
  <c r="F7" i="67"/>
  <c r="F20" i="31"/>
  <c r="M23" i="15"/>
  <c r="F37" i="15"/>
  <c r="J15" i="15"/>
  <c r="E8" i="76"/>
  <c r="AO10" i="1"/>
  <c r="M28" i="15"/>
  <c r="F40" i="15"/>
  <c r="D2" i="37"/>
  <c r="F3" i="73"/>
  <c r="F13" i="15"/>
  <c r="M9" i="15"/>
  <c r="AO12" i="1"/>
  <c r="E7" i="76"/>
  <c r="B11" i="76"/>
  <c r="F13" i="67"/>
  <c r="F42" i="15"/>
  <c r="F40" i="67"/>
  <c r="F4" i="73"/>
  <c r="M23" i="67"/>
  <c r="E13" i="76"/>
  <c r="E12" i="76"/>
  <c r="B13" i="76"/>
  <c r="F38" i="15"/>
  <c r="D20" i="9"/>
  <c r="F8" i="15"/>
  <c r="M6" i="67"/>
  <c r="F38" i="67"/>
  <c r="M8" i="67"/>
  <c r="M6" i="15"/>
  <c r="M29" i="15"/>
  <c r="F43" i="67"/>
  <c r="AO13" i="1"/>
  <c r="F41" i="15"/>
  <c r="D2" i="36"/>
  <c r="AO7" i="1"/>
  <c r="D34" i="9"/>
  <c r="D2" i="34"/>
  <c r="L48" i="15"/>
  <c r="F7" i="15"/>
  <c r="M9" i="67"/>
  <c r="F7" i="73"/>
  <c r="B7" i="76"/>
  <c r="F26" i="15"/>
  <c r="E10" i="76"/>
  <c r="M29" i="67"/>
  <c r="L48" i="67"/>
  <c r="F42" i="67"/>
  <c r="B12" i="76"/>
  <c r="F41" i="67"/>
  <c r="D35" i="9"/>
  <c r="M26" i="67"/>
  <c r="F16" i="67"/>
  <c r="AO8" i="1"/>
  <c r="F36" i="15"/>
  <c r="D2" i="35"/>
  <c r="F8" i="67"/>
  <c r="M28" i="67"/>
  <c r="L47" i="15"/>
  <c r="D2" i="21"/>
  <c r="C76" i="67"/>
  <c r="M22" i="67"/>
  <c r="E2" i="69"/>
  <c r="E51" i="43" l="1"/>
  <c r="B49" i="43" s="1"/>
  <c r="C28" i="43" s="1"/>
  <c r="D26" i="43"/>
  <c r="G13" i="1"/>
  <c r="C7" i="33"/>
  <c r="C58" i="33" s="1"/>
  <c r="D58" i="33" s="1"/>
  <c r="E58" i="33" s="1"/>
  <c r="F58" i="33" s="1"/>
  <c r="C42" i="1"/>
  <c r="C77" i="9" s="1"/>
  <c r="C74" i="9" s="1"/>
  <c r="J1" i="73"/>
  <c r="C7" i="21"/>
  <c r="C58" i="21" s="1"/>
  <c r="D58" i="21" s="1"/>
  <c r="E58" i="21" s="1"/>
  <c r="F58" i="21" s="1"/>
  <c r="G58" i="21" s="1"/>
  <c r="H58" i="21" s="1"/>
  <c r="I58" i="21" s="1"/>
  <c r="J58" i="21" s="1"/>
  <c r="K58" i="21" s="1"/>
  <c r="L58" i="21" s="1"/>
  <c r="M58" i="21" s="1"/>
  <c r="N58" i="21" s="1"/>
  <c r="O58" i="21" s="1"/>
  <c r="C7" i="37"/>
  <c r="C52" i="37" s="1"/>
  <c r="D52" i="37" s="1"/>
  <c r="M47" i="9"/>
  <c r="C7" i="35"/>
  <c r="C48" i="35" s="1"/>
  <c r="D48" i="35" s="1"/>
  <c r="E48" i="35" s="1"/>
  <c r="F48" i="35" s="1"/>
  <c r="G48" i="35" s="1"/>
  <c r="H48" i="35" s="1"/>
  <c r="G5" i="3"/>
  <c r="B3" i="3" s="1"/>
  <c r="E13" i="3" s="1"/>
  <c r="BL13" i="3"/>
  <c r="BL5" i="3" s="1"/>
  <c r="C36" i="69"/>
  <c r="AQ8" i="1"/>
  <c r="AR11" i="1"/>
  <c r="AQ13" i="1"/>
  <c r="T10" i="1"/>
  <c r="T12" i="1"/>
  <c r="G8" i="1"/>
  <c r="C30" i="68"/>
  <c r="C13" i="12"/>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D3" i="73"/>
  <c r="D5" i="73"/>
  <c r="D7" i="73"/>
  <c r="D4" i="73"/>
  <c r="D6" i="73"/>
  <c r="C16" i="15"/>
  <c r="C16" i="67"/>
  <c r="C23" i="43" l="1"/>
  <c r="K1" i="73"/>
  <c r="J7" i="21"/>
  <c r="W7" i="21" s="1"/>
  <c r="F7" i="21"/>
  <c r="C31" i="12"/>
  <c r="C48" i="69"/>
  <c r="C28" i="67"/>
  <c r="C48" i="68"/>
  <c r="C30" i="69"/>
  <c r="C28" i="15"/>
  <c r="C24" i="12"/>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AB7" i="21" s="1"/>
  <c r="T48" i="21" s="1"/>
  <c r="G48" i="21" s="1"/>
  <c r="E59" i="40"/>
  <c r="BA5" i="3"/>
  <c r="E27" i="6" s="1"/>
  <c r="AZ13" i="3"/>
  <c r="AZ5" i="3" s="1"/>
  <c r="E58" i="40"/>
  <c r="E63" i="39"/>
  <c r="E61" i="39"/>
  <c r="E56" i="40"/>
  <c r="K14" i="1"/>
  <c r="E30" i="6"/>
  <c r="K19" i="6"/>
  <c r="S6" i="1" s="1"/>
  <c r="E60" i="40"/>
  <c r="E65" i="39"/>
  <c r="E62" i="39"/>
  <c r="E57" i="40"/>
  <c r="AC6" i="3"/>
  <c r="E6" i="3" s="1"/>
  <c r="F27" i="69"/>
  <c r="F28" i="12"/>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U7" i="2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G1" i="73"/>
  <c r="C17" i="67"/>
  <c r="C14" i="67"/>
  <c r="C17" i="15"/>
  <c r="C29" i="12" l="1"/>
  <c r="D28" i="12" s="1"/>
  <c r="B40" i="1"/>
  <c r="F22" i="68" s="1"/>
  <c r="S10" i="39"/>
  <c r="F10" i="40"/>
  <c r="AA10" i="40" s="1"/>
  <c r="AC7" i="21"/>
  <c r="V48" i="21" s="1"/>
  <c r="I48" i="21" s="1"/>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C53" i="15"/>
  <c r="C48" i="15" s="1"/>
  <c r="C10" i="15"/>
  <c r="C5" i="15" s="1"/>
  <c r="J10" i="15"/>
  <c r="J5" i="15" s="1"/>
  <c r="J18" i="15"/>
  <c r="C53" i="67"/>
  <c r="C48" i="67" s="1"/>
  <c r="C10" i="67"/>
  <c r="C5" i="67" s="1"/>
  <c r="C14" i="15"/>
  <c r="F25" i="12" l="1"/>
  <c r="U10" i="40"/>
  <c r="F22" i="69"/>
  <c r="F41" i="69" s="1"/>
  <c r="F24" i="15"/>
  <c r="C24" i="15" s="1"/>
  <c r="F24" i="67"/>
  <c r="C24" i="67" s="1"/>
  <c r="F22" i="11"/>
  <c r="C24" i="11" s="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C26" i="12"/>
  <c r="D25" i="12" s="1"/>
  <c r="C66" i="67"/>
  <c r="C60" i="67"/>
  <c r="F41" i="68"/>
  <c r="C44" i="68"/>
  <c r="D41" i="68" s="1"/>
  <c r="C23" i="68"/>
  <c r="C26" i="68"/>
  <c r="D22" i="68" s="1"/>
  <c r="C34" i="43" l="1"/>
  <c r="E34" i="43" s="1"/>
  <c r="C31" i="43" s="1"/>
  <c r="C44" i="69"/>
  <c r="D41" i="69" s="1"/>
  <c r="C26" i="69"/>
  <c r="D22" i="69" s="1"/>
  <c r="C44" i="11"/>
  <c r="D41" i="11" s="1"/>
  <c r="C26" i="11"/>
  <c r="D22" i="11" s="1"/>
  <c r="C23" i="11"/>
  <c r="E33" i="43"/>
  <c r="C30" i="43" s="1"/>
  <c r="B2" i="43" s="1"/>
  <c r="B3" i="43" s="1"/>
  <c r="C23" i="67"/>
  <c r="C29" i="67" s="1"/>
  <c r="Q49" i="67"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B6" i="76"/>
  <c r="E6" i="76"/>
  <c r="C33" i="67" l="1"/>
  <c r="J19" i="67"/>
  <c r="C22" i="11"/>
  <c r="J59" i="67"/>
  <c r="J60" i="67" s="1"/>
  <c r="L46" i="67" s="1"/>
  <c r="C36" i="67"/>
  <c r="J14" i="67"/>
  <c r="J13" i="67" s="1"/>
  <c r="J23" i="67" s="1"/>
  <c r="C13" i="67"/>
  <c r="C75" i="67" s="1"/>
  <c r="C57" i="67"/>
  <c r="C64" i="67"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15" i="12"/>
  <c r="C12" i="12"/>
  <c r="C10" i="69"/>
  <c r="C8" i="69" s="1"/>
  <c r="C5" i="69" s="1"/>
  <c r="D19" i="69"/>
  <c r="C10" i="68"/>
  <c r="D19" i="68"/>
  <c r="B2" i="76"/>
  <c r="I63" i="40"/>
  <c r="H65" i="40"/>
  <c r="I68" i="39"/>
  <c r="H70" i="39"/>
  <c r="J52" i="37"/>
  <c r="E10" i="71"/>
  <c r="B9" i="71"/>
  <c r="D20" i="71"/>
  <c r="C19" i="71"/>
  <c r="E2" i="76"/>
  <c r="J22" i="67" l="1"/>
  <c r="C56" i="67"/>
  <c r="C65" i="67" s="1"/>
  <c r="C37" i="67"/>
  <c r="C31" i="11"/>
  <c r="Q48" i="67"/>
  <c r="C61" i="67"/>
  <c r="Q70"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F35" i="15"/>
  <c r="M21" i="15"/>
  <c r="M21" i="67"/>
  <c r="C37" i="15" l="1"/>
  <c r="Q70"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L57" i="15" l="1"/>
  <c r="L60" i="15" s="1"/>
  <c r="Q66" i="15" s="1"/>
  <c r="Q67" i="15"/>
  <c r="C40" i="15"/>
  <c r="C80" i="15"/>
  <c r="C79"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56" i="15"/>
  <c r="C43" i="15"/>
  <c r="B2" i="15"/>
  <c r="B3" i="15" s="1"/>
  <c r="C83" i="15"/>
  <c r="C82" i="15" s="1"/>
  <c r="Q47" i="15"/>
  <c r="Q53" i="15" s="1"/>
  <c r="C46" i="15"/>
  <c r="Q65" i="15"/>
  <c r="Q75" i="15" s="1"/>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I4" i="52" l="1"/>
  <c r="C105" i="9"/>
  <c r="C6" i="74"/>
  <c r="D6" i="74"/>
  <c r="C104" i="9"/>
  <c r="H4" i="52"/>
  <c r="B30" i="72"/>
  <c r="M48" i="9"/>
  <c r="B53" i="72"/>
  <c r="M55" i="9"/>
  <c r="E14" i="74"/>
  <c r="F14" i="74"/>
  <c r="D8" i="52"/>
  <c r="D53" i="9"/>
  <c r="D52" i="9"/>
  <c r="B49" i="72"/>
  <c r="C78" i="9"/>
  <c r="C73" i="9"/>
  <c r="D59" i="9"/>
  <c r="N58" i="9"/>
  <c r="P57" i="9"/>
  <c r="D119" i="9"/>
  <c r="D5" i="52"/>
  <c r="N60" i="9"/>
  <c r="N57" i="9"/>
  <c r="N59" i="9"/>
  <c r="N61" i="9"/>
  <c r="C81" i="9"/>
  <c r="H119" i="9"/>
  <c r="H5" i="52"/>
  <c r="B31" i="72"/>
  <c r="D55" i="9"/>
  <c r="M53" i="9"/>
  <c r="B21" i="72"/>
  <c r="M54" i="9"/>
  <c r="B22" i="72"/>
  <c r="C80" i="9"/>
  <c r="E80" i="9"/>
  <c r="E81" i="9"/>
  <c r="C5" i="74"/>
  <c r="D14" i="74"/>
  <c r="B5" i="74"/>
  <c r="D5" i="74"/>
  <c r="C93" i="9"/>
  <c r="C86" i="9"/>
  <c r="D13" i="53"/>
  <c r="D14" i="53"/>
  <c r="B32" i="72"/>
  <c r="G4" i="52"/>
  <c r="B52" i="72"/>
  <c r="H108" i="9"/>
  <c r="D15" i="53"/>
  <c r="C72" i="9"/>
  <c r="C79" i="9"/>
  <c r="E4" i="52"/>
  <c r="B48" i="72"/>
  <c r="D123" i="9"/>
  <c r="D9" i="52"/>
  <c r="B20" i="72"/>
  <c r="D5" i="53"/>
  <c r="D6" i="53"/>
  <c r="H107" i="9"/>
  <c r="D122" i="9"/>
  <c r="G14" i="74"/>
  <c r="B6" i="74"/>
  <c r="E118" i="9"/>
  <c r="D118" i="9"/>
  <c r="D4" i="52"/>
  <c r="B47" i="72"/>
  <c r="C64" i="9"/>
  <c r="C63" i="9"/>
  <c r="C67" i="9"/>
  <c r="C68" i="9"/>
  <c r="D54" i="9"/>
  <c r="F119" i="9"/>
  <c r="F5" i="52"/>
  <c r="H102" i="9"/>
  <c r="D7" i="53"/>
  <c r="C96" i="9"/>
  <c r="E96" i="9"/>
  <c r="E97" i="9"/>
  <c r="D56" i="9"/>
  <c r="G118" i="9"/>
  <c r="F118" i="9"/>
  <c r="F4" i="52"/>
  <c r="B51"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<sst xmlns="http://schemas.openxmlformats.org/spreadsheetml/2006/main" count="7728" uniqueCount="3113">
  <si>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</si>
  <si>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</si>
  <si>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</si>
  <si>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</si>
  <si>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</si>
  <si>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</si>
  <si>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</si>
  <si>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</si>
  <si>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</si>
  <si>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</si>
  <si>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</si>
  <si>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</si>
  <si>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</si>
  <si>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</si>
  <si>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</si>
  <si>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</si>
  <si>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</si>
  <si>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</si>
  <si>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</si>
  <si>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</si>
  <si>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</si>
  <si>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</si>
  <si>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</si>
  <si>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</si>
  <si>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</si>
  <si>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</si>
  <si>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</si>
  <si>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</si>
  <si>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</si>
  <si>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</si>
  <si>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</si>
  <si>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</si>
  <si>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</si>
  <si>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</si>
  <si>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</si>
  <si>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</si>
  <si>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</si>
  <si>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</si>
  <si>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</si>
  <si>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</si>
  <si>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</si>
  <si>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</si>
  <si>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</si>
  <si>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</si>
  <si>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</si>
  <si>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</si>
  <si>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</si>
  <si>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</si>
  <si>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</si>
  <si>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</si>
  <si>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</si>
  <si>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</si>
  <si>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</si>
  <si>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</si>
  <si>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</si>
  <si>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</si>
  <si>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</si>
  <si>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</si>
  <si>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</si>
  <si>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</si>
  <si>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</si>
  <si>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</si>
  <si>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</si>
  <si>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</si>
  <si>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</si>
  <si>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</si>
  <si>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</si>
  <si>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</si>
  <si>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</si>
  <si>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</si>
  <si>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</si>
  <si>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</si>
  <si>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</si>
  <si>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</si>
  <si>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</si>
  <si>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</si>
  <si>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</si>
  <si>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</si>
  <si>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</si>
  <si>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</si>
  <si>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</si>
  <si>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</si>
  <si>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</si>
  <si>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</si>
  <si>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</si>
  <si>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</si>
  <si>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</si>
  <si>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</si>
  <si>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</si>
  <si>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</si>
  <si>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</si>
  <si>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</si>
  <si>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</si>
  <si>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</si>
  <si>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</si>
  <si>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</si>
  <si>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</si>
  <si>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</si>
  <si>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</si>
  <si>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</si>
  <si>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</si>
  <si>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</si>
  <si>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</si>
  <si>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</si>
  <si>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</si>
  <si>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</si>
  <si>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</si>
  <si>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</si>
  <si>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</si>
  <si>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</si>
  <si>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</si>
  <si>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</si>
  <si>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</si>
  <si>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</si>
  <si>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</si>
  <si>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</si>
  <si>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</si>
  <si>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</si>
  <si>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</si>
  <si>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</si>
  <si>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</si>
  <si>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</si>
  <si>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</si>
  <si>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</si>
  <si>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</si>
  <si>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</si>
  <si>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</si>
  <si>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</si>
  <si>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</si>
  <si>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</si>
  <si>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</si>
  <si>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</si>
  <si>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</si>
  <si>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</si>
  <si>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</si>
  <si>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</si>
  <si>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</si>
  <si>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</si>
  <si>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</si>
  <si>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</si>
  <si>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</si>
  <si>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</si>
  <si>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</si>
  <si>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</si>
  <si>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</si>
  <si>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</si>
  <si>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</si>
  <si>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</si>
  <si>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</si>
  <si>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</si>
  <si>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</si>
  <si>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</si>
  <si>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</si>
  <si>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</si>
  <si>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</si>
  <si>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</si>
  <si>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</si>
  <si>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</si>
  <si>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</si>
  <si>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</si>
  <si>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</si>
  <si>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</si>
  <si>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</si>
  <si>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</si>
  <si>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</si>
  <si>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</si>
  <si>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</si>
  <si>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</si>
  <si>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</si>
  <si>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</si>
  <si>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</si>
  <si>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</si>
  <si>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</si>
  <si>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</si>
  <si>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</si>
  <si>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</si>
  <si>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</si>
  <si>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</si>
  <si>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</si>
  <si>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</si>
  <si>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</si>
  <si>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</si>
  <si>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</si>
  <si>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</si>
  <si>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</si>
  <si>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</si>
  <si>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</si>
  <si>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</si>
  <si>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</si>
  <si>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</si>
  <si>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</si>
  <si>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</si>
  <si>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</si>
  <si>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</si>
  <si>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</si>
  <si>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</si>
  <si>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</si>
  <si>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</si>
  <si>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</si>
  <si>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</si>
  <si>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</si>
  <si>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</si>
  <si>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</si>
  <si>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</si>
  <si>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</si>
  <si>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</si>
  <si>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</si>
  <si>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</si>
  <si>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</si>
  <si>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</si>
  <si>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</si>
  <si>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</si>
  <si>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</si>
  <si>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</si>
  <si>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</si>
  <si>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</si>
  <si>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</si>
  <si>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</si>
  <si>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</si>
  <si>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</si>
  <si>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</si>
  <si>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</si>
  <si>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</si>
  <si>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</si>
  <si>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</si>
  <si>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</si>
  <si>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</si>
  <si>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</si>
  <si>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</si>
  <si>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</si>
  <si>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</si>
  <si>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</si>
  <si>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</si>
  <si>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</si>
  <si>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</si>
  <si>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</si>
  <si>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</si>
  <si>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</si>
  <si>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</si>
  <si>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</si>
  <si>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</si>
  <si>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</si>
  <si>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</si>
  <si>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</si>
  <si>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</si>
  <si>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</si>
  <si>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</si>
  <si>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</si>
  <si>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</si>
  <si>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</si>
  <si>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</si>
  <si>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</si>
  <si>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</si>
  <si>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</si>
  <si>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</si>
  <si>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</si>
  <si>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</si>
  <si>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</si>
  <si>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</si>
  <si>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</si>
  <si>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</si>
  <si>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</si>
  <si>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</si>
  <si>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</si>
  <si>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</si>
  <si>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</si>
  <si>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</si>
  <si>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</si>
  <si>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</si>
  <si>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</si>
  <si>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</si>
  <si>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</si>
  <si>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</si>
  <si>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</si>
  <si>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</si>
  <si>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</si>
  <si>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</si>
  <si>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</si>
  <si>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</si>
  <si>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</si>
  <si>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</si>
  <si>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</si>
  <si>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</si>
  <si>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</si>
  <si>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</si>
  <si>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</si>
  <si>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</si>
  <si>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</si>
  <si>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</si>
  <si>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</si>
  <si>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</si>
  <si>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</si>
  <si>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</si>
  <si>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</si>
  <si>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</si>
  <si>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</si>
  <si>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</si>
  <si>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</si>
  <si>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</si>
  <si>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</si>
  <si>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</si>
  <si>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</si>
  <si>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</si>
  <si>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</si>
  <si>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</si>
  <si>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</si>
  <si>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</si>
  <si>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</si>
  <si>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</si>
  <si>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</si>
  <si>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</si>
  <si>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</si>
  <si>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</si>
  <si>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</si>
  <si>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</si>
  <si>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</si>
  <si>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</si>
  <si>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</si>
  <si>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</si>
  <si>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</si>
  <si>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</si>
  <si>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</si>
  <si>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</si>
  <si>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</si>
  <si>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</si>
  <si>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</si>
  <si>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</si>
  <si>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</si>
  <si>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</si>
  <si>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</si>
  <si>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</si>
  <si>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</si>
  <si>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</si>
  <si>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</si>
  <si>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</si>
  <si>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</si>
  <si>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</si>
  <si>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</si>
  <si>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</si>
  <si>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</si>
  <si>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</si>
  <si>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</si>
  <si>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</si>
  <si>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</si>
  <si>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</si>
  <si>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</si>
  <si>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</si>
  <si>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</si>
  <si>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</si>
  <si>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</si>
  <si>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</si>
  <si>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</si>
  <si>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</si>
  <si>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</si>
  <si>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</si>
  <si>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</si>
  <si>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</si>
  <si>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</si>
  <si>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</si>
  <si>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</si>
  <si>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</si>
  <si>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</si>
  <si>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</si>
  <si>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</si>
  <si>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</si>
  <si>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</si>
  <si>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</si>
  <si>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</si>
  <si>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</si>
  <si>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</si>
  <si>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</si>
  <si>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</si>
  <si>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</si>
  <si>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</si>
  <si>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</si>
  <si>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</si>
  <si>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</si>
  <si>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</si>
  <si>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</si>
  <si>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</si>
  <si>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</si>
  <si>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</si>
  <si>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</si>
  <si>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</si>
  <si>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</si>
  <si>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</si>
  <si>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</si>
  <si>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</si>
  <si>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</si>
  <si>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</si>
  <si>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</si>
  <si>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</si>
  <si>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</si>
  <si>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</si>
  <si>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</si>
  <si>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</si>
  <si>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</si>
  <si>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</si>
  <si>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</si>
  <si>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</si>
  <si>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</si>
  <si>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</si>
  <si>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</si>
  <si>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</si>
  <si>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</si>
  <si>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</si>
  <si>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</si>
  <si>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</si>
  <si>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</si>
  <si>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</si>
  <si>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</si>
  <si>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</si>
  <si>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</si>
  <si>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</si>
  <si>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</si>
  <si>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</si>
  <si>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</si>
  <si>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</si>
  <si>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</si>
  <si>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</si>
  <si>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</si>
  <si>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</si>
  <si>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</si>
  <si>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</si>
  <si>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</si>
  <si>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</si>
  <si>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</si>
  <si>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</si>
  <si>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</si>
  <si>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</si>
  <si>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</si>
  <si>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</si>
  <si>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</si>
  <si>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</si>
  <si>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</si>
  <si>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</si>
  <si>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</si>
  <si>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</si>
  <si>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</si>
  <si>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</si>
  <si>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</si>
  <si>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</si>
  <si>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</si>
  <si>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</si>
  <si>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</si>
  <si>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</si>
  <si>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</si>
  <si>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</si>
  <si>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</si>
  <si>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</si>
  <si>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</si>
  <si>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</si>
  <si>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</si>
  <si>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</si>
  <si>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</si>
  <si>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</si>
  <si>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</si>
  <si>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</si>
  <si>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</si>
  <si>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</si>
  <si>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</si>
  <si>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</si>
  <si>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</si>
  <si>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</si>
  <si>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</si>
  <si>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</si>
  <si>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</si>
  <si>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</si>
  <si>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</si>
  <si>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</si>
  <si>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</si>
  <si>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</si>
  <si>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</si>
  <si>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</si>
  <si>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</si>
  <si>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</si>
  <si>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</si>
  <si>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</si>
  <si>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</si>
  <si>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</si>
  <si>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</si>
  <si>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</si>
  <si>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</si>
  <si>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</si>
  <si>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</si>
  <si>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</si>
  <si>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</si>
  <si>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</si>
  <si>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</si>
  <si>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</si>
  <si>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</si>
  <si>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</si>
  <si>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</si>
  <si>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</si>
  <si>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</si>
  <si>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</si>
  <si>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</si>
  <si>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</si>
  <si>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</si>
  <si>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</si>
  <si>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</si>
  <si>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</si>
  <si>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</si>
  <si>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</si>
  <si>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</si>
  <si>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</si>
  <si>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</si>
  <si>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</si>
  <si>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</si>
  <si>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</si>
  <si>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</si>
  <si>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</si>
  <si>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</si>
  <si>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</si>
  <si>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</si>
  <si>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</si>
  <si>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</si>
  <si>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</si>
  <si>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</si>
  <si>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</si>
  <si>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</si>
  <si>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</si>
  <si>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</si>
  <si>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</si>
  <si>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</si>
  <si>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</si>
  <si>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</si>
  <si>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</si>
  <si>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</si>
  <si>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</si>
  <si>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</si>
  <si>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</si>
  <si>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</si>
  <si>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</si>
  <si>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</si>
  <si>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</si>
  <si>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</si>
  <si>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</si>
  <si>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</si>
  <si>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</si>
  <si>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</si>
  <si>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</si>
  <si>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</si>
  <si>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</si>
  <si>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</si>
  <si>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</si>
  <si>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</si>
  <si>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</si>
  <si>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</si>
  <si>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</si>
  <si>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</si>
  <si>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</si>
  <si>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</si>
  <si>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</si>
  <si>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</si>
  <si>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</si>
  <si>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</si>
  <si>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</si>
  <si>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</si>
  <si>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</si>
  <si>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</si>
  <si>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</si>
  <si>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</si>
  <si>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</si>
  <si>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</si>
  <si>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</si>
  <si>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</si>
  <si>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</si>
  <si>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</si>
  <si>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</si>
  <si>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</si>
  <si>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</si>
  <si>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</si>
  <si>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</si>
  <si>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</si>
  <si>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</si>
  <si>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</si>
  <si>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</si>
  <si>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</si>
  <si>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</si>
  <si>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</si>
  <si>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</si>
  <si>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</si>
  <si>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</si>
  <si>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</si>
  <si>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</si>
  <si>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</si>
  <si>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</si>
  <si>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</si>
  <si>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</si>
  <si>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</si>
  <si>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</si>
  <si>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</si>
  <si>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</si>
  <si>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</si>
  <si>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</si>
  <si>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</si>
  <si>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</si>
  <si>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</si>
  <si>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</si>
  <si>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</si>
  <si>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</si>
  <si>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</si>
  <si>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</si>
  <si>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</si>
  <si>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</si>
  <si>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</si>
  <si>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</si>
  <si>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</si>
  <si>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</si>
  <si>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</si>
  <si>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</si>
  <si>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</si>
  <si>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</si>
  <si>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</si>
  <si>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</si>
  <si>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</si>
  <si>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</si>
  <si>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</si>
  <si>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</si>
  <si>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</si>
  <si>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</si>
  <si>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</si>
  <si>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</si>
  <si>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</si>
  <si>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</si>
  <si>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</si>
  <si>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</si>
  <si>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</si>
  <si>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</si>
  <si>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</si>
  <si>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</si>
  <si>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</si>
  <si>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</si>
  <si>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</si>
  <si>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</si>
  <si>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</si>
  <si>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</si>
  <si>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</si>
  <si>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</si>
  <si>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</si>
  <si>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</si>
  <si>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</si>
  <si>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</si>
  <si>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</si>
  <si>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</si>
  <si>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</si>
  <si>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</si>
  <si>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</si>
  <si>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</si>
  <si>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</si>
  <si>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</si>
  <si>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</si>
  <si>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</si>
  <si>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</si>
  <si>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</si>
  <si>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</si>
  <si>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</si>
  <si>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</si>
  <si>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</si>
  <si>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</si>
  <si>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</si>
  <si>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</si>
  <si>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</si>
  <si>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</si>
  <si>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</si>
  <si>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</si>
  <si>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</si>
  <si>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</si>
  <si>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</si>
  <si>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</si>
  <si>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</si>
  <si>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</si>
  <si>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</si>
  <si>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</si>
  <si>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</si>
  <si>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</si>
  <si>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</si>
  <si>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</si>
  <si>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</si>
  <si>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</si>
  <si>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</si>
  <si>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</si>
  <si>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</si>
  <si>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</si>
  <si>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</si>
  <si>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</si>
  <si>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</si>
  <si>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</si>
  <si>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</si>
  <si>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</si>
  <si>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</si>
  <si>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</si>
  <si>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</si>
  <si>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</si>
  <si>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</si>
  <si>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</si>
  <si>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</si>
  <si>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</si>
  <si>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</si>
  <si>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</si>
  <si>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</si>
  <si>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</si>
  <si>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</si>
  <si>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</si>
  <si>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</si>
  <si>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</si>
  <si>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</si>
  <si>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</si>
  <si>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</si>
  <si>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</si>
  <si>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</si>
  <si>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</si>
  <si>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</si>
  <si>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</si>
  <si>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</si>
  <si>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</si>
  <si>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</si>
  <si>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</si>
  <si>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</si>
  <si>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</si>
  <si>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</si>
  <si>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</si>
  <si>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</si>
  <si>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</si>
  <si>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</si>
  <si>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</si>
  <si>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</si>
  <si>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</si>
  <si>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</si>
  <si>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</si>
  <si>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</si>
  <si>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</si>
  <si>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</si>
  <si>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</si>
  <si>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</si>
  <si>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</si>
  <si>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</si>
  <si>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</si>
  <si>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</si>
  <si>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</si>
  <si>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</si>
  <si>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</si>
  <si>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</si>
  <si>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</si>
  <si>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</si>
  <si>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</si>
  <si>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</si>
  <si>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</si>
  <si>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</si>
  <si>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</si>
  <si>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</si>
  <si>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</si>
  <si>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</si>
  <si>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</si>
  <si>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</si>
  <si>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</si>
  <si>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</si>
  <si>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</si>
  <si>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</si>
  <si>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</si>
  <si>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</si>
  <si>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</si>
  <si>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</si>
  <si>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</si>
  <si>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</si>
  <si>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</si>
  <si>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</si>
  <si>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</si>
  <si>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</si>
  <si>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</si>
  <si>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</si>
  <si>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</si>
  <si>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</si>
  <si>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</si>
  <si>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</si>
  <si>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</si>
  <si>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</si>
  <si>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</si>
  <si>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</si>
  <si>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</si>
  <si>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</si>
  <si>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</si>
  <si>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</si>
  <si>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</si>
  <si>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</si>
  <si>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</si>
  <si>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</si>
  <si>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</si>
  <si>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</si>
  <si>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</si>
  <si>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</si>
  <si>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</si>
  <si>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</si>
  <si>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</si>
  <si>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</si>
  <si>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</si>
  <si>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</si>
  <si>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</si>
  <si>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</si>
  <si>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</si>
  <si>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</si>
  <si>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</si>
  <si>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</si>
  <si>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</si>
  <si>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</si>
  <si>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</si>
  <si>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</si>
  <si>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</si>
  <si>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</si>
  <si>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</si>
  <si>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</si>
  <si>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</si>
  <si>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</si>
  <si>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</si>
  <si>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</si>
  <si>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</si>
  <si>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</si>
  <si>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</si>
  <si>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</si>
  <si>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</si>
  <si>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</si>
  <si>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</si>
  <si>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</si>
  <si>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</si>
  <si>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</si>
  <si>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</si>
  <si>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</si>
  <si>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</si>
  <si>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</si>
  <si>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</si>
  <si>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</si>
  <si>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</si>
  <si>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</si>
  <si>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</si>
  <si>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</si>
  <si>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</si>
  <si>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</si>
  <si>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</si>
  <si>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</si>
  <si>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</si>
  <si>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</si>
  <si>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</si>
  <si>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</si>
  <si>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</si>
  <si>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</si>
  <si>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</si>
  <si>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</si>
  <si>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</si>
  <si>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</si>
  <si>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</si>
  <si>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</si>
  <si>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</si>
  <si>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</si>
  <si>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</si>
  <si>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</si>
  <si>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</si>
  <si>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</si>
  <si>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</si>
  <si>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</si>
  <si>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</si>
  <si>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</si>
  <si>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</si>
  <si>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</si>
  <si>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</si>
  <si>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</si>
  <si>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</si>
  <si>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</si>
  <si>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</si>
  <si>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</si>
  <si>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</si>
  <si>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</si>
  <si>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</si>
  <si>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</si>
  <si>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</si>
  <si>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</si>
  <si>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</si>
  <si>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</si>
  <si>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</si>
  <si>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</si>
  <si>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</si>
  <si>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</si>
  <si>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</si>
  <si>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</si>
  <si>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</si>
  <si>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</si>
  <si>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</si>
  <si>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</si>
  <si>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</si>
  <si>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</si>
  <si>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</si>
  <si>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</si>
  <si>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</si>
  <si>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</si>
  <si>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</si>
  <si>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</si>
  <si>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</si>
  <si>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</si>
  <si>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</si>
  <si>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</si>
  <si>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</si>
  <si>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</si>
  <si>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</si>
  <si>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</si>
  <si>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</si>
  <si>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</si>
  <si>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</si>
  <si>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</si>
  <si>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</si>
  <si>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</si>
  <si>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</si>
  <si>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</si>
  <si>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</si>
  <si>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</si>
  <si>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</si>
  <si>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</si>
  <si>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</si>
  <si>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</si>
  <si>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</si>
  <si>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</si>
  <si>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</si>
  <si>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</si>
  <si>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</si>
  <si>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</si>
  <si>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</si>
  <si>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</si>
  <si>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</si>
  <si>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</si>
  <si>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</si>
  <si>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</si>
  <si>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</si>
  <si>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</si>
  <si>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</si>
  <si>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</si>
  <si>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</si>
  <si>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</si>
  <si>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</si>
  <si>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</si>
  <si>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</si>
  <si>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</si>
  <si>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</si>
  <si>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</si>
  <si>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</si>
  <si>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</si>
  <si>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</si>
  <si>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</si>
  <si>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</si>
  <si>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</si>
  <si>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</si>
  <si>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</si>
  <si>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</si>
  <si>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</si>
  <si>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</si>
  <si>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</si>
  <si>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</si>
  <si>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</si>
  <si>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</si>
  <si>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</si>
  <si>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</si>
  <si>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</si>
  <si>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</si>
  <si>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</si>
  <si>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</si>
  <si>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</si>
  <si>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</si>
  <si>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</si>
  <si>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</si>
  <si>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</si>
  <si>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</si>
  <si>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</si>
  <si>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</si>
  <si>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</si>
  <si>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</si>
  <si>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</si>
  <si>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</si>
  <si>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</si>
  <si>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</si>
  <si>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</si>
  <si>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</si>
  <si>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</si>
  <si>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</si>
  <si>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</si>
  <si>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</si>
  <si>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</si>
  <si>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</si>
  <si>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</si>
  <si>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</si>
  <si>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</si>
  <si>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</si>
  <si>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</si>
  <si>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</si>
  <si>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</si>
  <si>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</si>
  <si>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</si>
  <si>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</si>
  <si>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</si>
  <si>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</si>
  <si>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</si>
  <si>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</si>
  <si>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</si>
  <si>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</si>
  <si>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</si>
  <si>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</si>
  <si>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</si>
  <si>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</si>
  <si>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</si>
  <si>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</si>
  <si>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</si>
  <si>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</si>
  <si>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</si>
  <si>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</si>
  <si>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</si>
  <si>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</si>
  <si>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</si>
  <si>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</si>
  <si>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</si>
  <si>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</si>
  <si>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</si>
  <si>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</si>
  <si>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</si>
  <si>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</si>
  <si>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</si>
  <si>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</si>
  <si>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</si>
  <si>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</si>
  <si>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</si>
  <si>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</si>
  <si>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</si>
  <si>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</si>
  <si>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</si>
  <si>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</si>
  <si>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</si>
  <si>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</si>
  <si>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</si>
  <si>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</si>
  <si>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</si>
  <si>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</si>
  <si>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</si>
  <si>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</si>
  <si>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</si>
  <si>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</si>
  <si>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</si>
  <si>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</si>
  <si>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</si>
  <si>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</si>
  <si>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</si>
  <si>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</si>
  <si>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</si>
  <si>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</si>
  <si>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</si>
  <si>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</si>
  <si>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</si>
  <si>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</si>
  <si>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</si>
  <si>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</si>
  <si>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</si>
  <si>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</si>
  <si>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</si>
  <si>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</si>
  <si>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</si>
  <si>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</si>
  <si>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</si>
  <si>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</si>
  <si>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</si>
  <si>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</si>
  <si>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</si>
  <si>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</si>
  <si>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</si>
  <si>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</si>
  <si>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</si>
  <si>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</si>
  <si>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</si>
  <si>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</si>
  <si>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</si>
  <si>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</si>
  <si>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</si>
  <si>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</si>
  <si>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</si>
  <si>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</si>
  <si>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</si>
  <si>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</si>
  <si>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</si>
  <si>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</si>
  <si>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</si>
  <si>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</si>
  <si>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</si>
  <si>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</si>
  <si>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</si>
  <si>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</si>
  <si>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</si>
  <si>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</si>
  <si>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</si>
  <si>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</si>
  <si>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</si>
  <si>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</si>
  <si>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</si>
  <si>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</si>
  <si>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</si>
  <si>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</si>
  <si>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</si>
  <si>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</si>
  <si>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</si>
  <si>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</si>
  <si>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</si>
  <si>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</si>
  <si>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</si>
  <si>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</si>
  <si>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</si>
  <si>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</si>
  <si>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</si>
  <si>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</si>
  <si>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</si>
  <si>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</si>
  <si>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</si>
  <si>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</si>
  <si>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</si>
  <si>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</si>
  <si>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</si>
  <si>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</si>
  <si>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</si>
  <si>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</si>
  <si>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</si>
  <si>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</si>
  <si>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</si>
  <si>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</si>
  <si>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</si>
  <si>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</si>
  <si>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</si>
  <si>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</si>
  <si>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</si>
  <si>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</si>
  <si>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</si>
  <si>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</si>
  <si>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</si>
  <si>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</si>
  <si>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</si>
  <si>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</si>
  <si>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</si>
  <si>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</si>
  <si>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</si>
  <si>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</si>
  <si>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</si>
  <si>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</si>
  <si>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</si>
  <si>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</si>
  <si>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</si>
  <si>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</si>
  <si>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</si>
  <si>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</si>
  <si>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</si>
  <si>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</si>
  <si>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</si>
  <si>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</si>
  <si>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</si>
  <si>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</si>
  <si>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</si>
  <si>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</si>
  <si>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</si>
  <si>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</si>
  <si>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</si>
  <si>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</si>
  <si>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</si>
  <si>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</si>
  <si>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</si>
  <si>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</si>
  <si>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</si>
  <si>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</si>
  <si>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</si>
  <si>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</si>
  <si>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</si>
  <si>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</si>
  <si>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</si>
  <si>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</si>
  <si>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</si>
  <si>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</si>
  <si>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</si>
  <si>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</si>
  <si>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</si>
  <si>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</si>
  <si>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</si>
  <si>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</si>
  <si>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</si>
  <si>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</si>
  <si>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</si>
  <si>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</si>
  <si>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</si>
  <si>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</si>
  <si>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</si>
  <si>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</si>
  <si>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</si>
  <si>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</si>
  <si>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</si>
  <si>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</si>
  <si>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</si>
  <si>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</si>
  <si>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</si>
  <si>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</si>
  <si>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</si>
  <si>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</si>
  <si>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</si>
  <si>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</si>
  <si>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</si>
  <si>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</si>
  <si>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</si>
  <si>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</si>
  <si>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</si>
  <si>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</si>
  <si>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</si>
  <si>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</si>
  <si>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</si>
  <si>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</si>
  <si>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</si>
  <si>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</si>
  <si>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</si>
  <si>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</si>
  <si>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</si>
  <si>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</si>
  <si>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</si>
  <si>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</si>
  <si>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</si>
  <si>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</si>
  <si>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</si>
  <si>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</si>
  <si>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</si>
  <si>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</si>
  <si>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</si>
  <si>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</si>
  <si>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</si>
  <si>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</si>
  <si>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</si>
  <si>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</si>
  <si>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</si>
  <si>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</si>
  <si>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</si>
  <si>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</si>
  <si>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</si>
  <si>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</si>
  <si>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</si>
  <si>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</si>
  <si>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</si>
  <si>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</si>
  <si>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</si>
  <si>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</si>
  <si>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</si>
  <si>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</si>
  <si>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</si>
  <si>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</si>
  <si>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</si>
  <si>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</si>
  <si>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</si>
  <si>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</si>
  <si>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</si>
  <si>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</si>
  <si>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</si>
  <si>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</si>
  <si>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</si>
  <si>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</si>
  <si>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</si>
  <si>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</si>
  <si>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</si>
  <si>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</si>
  <si>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</si>
  <si>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</si>
  <si>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</si>
  <si>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</si>
  <si>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</si>
  <si>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</si>
  <si>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</si>
  <si>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</si>
  <si>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</si>
  <si>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</si>
  <si>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</si>
  <si>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</si>
  <si>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</si>
  <si>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</si>
  <si>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</si>
  <si>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</si>
  <si>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</si>
  <si>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</si>
  <si>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</si>
  <si>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</si>
  <si>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</si>
  <si>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</si>
  <si>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</si>
  <si>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</si>
  <si>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</si>
  <si>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</si>
  <si>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</si>
  <si>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</si>
  <si>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</si>
  <si>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</si>
  <si>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</si>
  <si>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</si>
  <si>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</si>
  <si>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</si>
  <si>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</si>
  <si>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</si>
  <si>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</si>
  <si>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</si>
  <si>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</si>
  <si>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</si>
  <si>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</si>
  <si>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</si>
  <si>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</si>
  <si>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</si>
  <si>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</si>
  <si>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</si>
  <si>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</si>
  <si>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</si>
  <si>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</si>
  <si>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</si>
  <si>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</si>
  <si>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</si>
  <si>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</si>
  <si>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</si>
  <si>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</si>
  <si>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</si>
  <si>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</si>
  <si>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</si>
  <si>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</si>
  <si>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</si>
  <si>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</si>
  <si>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</si>
  <si>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</si>
  <si>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</si>
  <si>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</si>
  <si>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</si>
  <si>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</si>
  <si>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</si>
  <si>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</si>
  <si>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</si>
  <si>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</si>
  <si>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</si>
  <si>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</si>
  <si>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</si>
  <si>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</si>
  <si>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</si>
  <si>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</si>
  <si>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</si>
  <si>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</si>
  <si>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</si>
  <si>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</si>
  <si>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</si>
  <si>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</si>
  <si>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</si>
  <si>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</si>
  <si>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</si>
  <si>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</si>
  <si>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</si>
  <si>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</si>
  <si>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</si>
  <si>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</si>
  <si>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</si>
  <si>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</si>
  <si>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</si>
  <si>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</si>
  <si>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</si>
  <si>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</si>
  <si>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</si>
  <si>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</si>
  <si>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</si>
  <si>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</si>
  <si>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</si>
  <si>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</si>
  <si>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</si>
  <si>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</si>
  <si>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</si>
  <si>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</si>
  <si>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</si>
  <si>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</si>
  <si>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</si>
  <si>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</si>
  <si>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</si>
  <si>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</si>
  <si>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</si>
  <si>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</si>
  <si>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</si>
  <si>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</si>
  <si>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</si>
  <si>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</si>
  <si>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</si>
  <si>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</si>
  <si>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</si>
  <si>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</si>
  <si>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</si>
  <si>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</si>
  <si>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</si>
  <si>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</si>
  <si>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</si>
  <si>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</si>
  <si>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</si>
  <si>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</si>
  <si>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</si>
  <si>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</si>
  <si>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</si>
  <si>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</si>
  <si>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</si>
  <si>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</si>
  <si>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</si>
  <si>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</si>
  <si>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</si>
  <si>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</si>
  <si>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</si>
  <si>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</si>
  <si>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</si>
  <si>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</si>
  <si>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</si>
  <si>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</si>
  <si>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</si>
  <si>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</si>
  <si>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</si>
  <si>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</si>
  <si>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</si>
  <si>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</si>
  <si>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</si>
  <si>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</si>
  <si>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</si>
  <si>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</si>
  <si>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</si>
  <si>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</si>
  <si>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</si>
  <si>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</si>
  <si>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</si>
  <si>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</si>
  <si>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</si>
  <si>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</si>
  <si>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</si>
  <si>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</si>
  <si>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</si>
  <si>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</si>
  <si>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</si>
  <si>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</si>
  <si>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</si>
  <si>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</si>
  <si>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</si>
  <si>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</si>
  <si>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</si>
  <si>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</si>
  <si>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</si>
  <si>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</si>
  <si>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</si>
  <si>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</si>
  <si>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</si>
  <si>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</si>
  <si>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</si>
  <si>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</si>
  <si>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</si>
  <si>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</si>
  <si>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</si>
  <si>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</si>
  <si>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</si>
  <si>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</si>
  <si>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</si>
  <si>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</si>
  <si>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</si>
  <si>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</si>
  <si>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</si>
  <si>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</si>
  <si>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</si>
  <si>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</si>
  <si>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</si>
  <si>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</si>
  <si>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</si>
  <si>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</si>
  <si>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</si>
  <si>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</si>
  <si>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</si>
  <si>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</si>
  <si>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</si>
  <si>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</si>
  <si>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</si>
  <si>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</si>
  <si>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</si>
  <si>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</si>
  <si>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</si>
  <si>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</si>
  <si>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</si>
  <si>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</si>
  <si>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</si>
  <si>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</si>
  <si>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</si>
  <si>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</si>
  <si>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</si>
  <si>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</si>
  <si>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</si>
  <si>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</si>
  <si>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</si>
  <si>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</si>
  <si>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</si>
  <si>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</si>
  <si>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</si>
  <si>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</si>
  <si>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</si>
  <si>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</si>
  <si>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</si>
  <si>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</si>
  <si>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</si>
  <si>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</si>
  <si>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</si>
  <si>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</si>
  <si>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</si>
  <si>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</si>
  <si>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</si>
  <si>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</si>
  <si>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</si>
  <si>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</si>
  <si>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</si>
  <si>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</si>
  <si>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</si>
  <si>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</si>
  <si>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</si>
  <si>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</si>
  <si>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</si>
  <si>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</si>
  <si>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</si>
  <si>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</si>
  <si>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</si>
  <si>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</si>
  <si>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</si>
  <si>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</si>
  <si>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</si>
  <si>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</si>
  <si>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</si>
  <si>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</si>
  <si>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</si>
  <si>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</si>
  <si>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</si>
  <si>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</si>
  <si>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</si>
  <si>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</si>
  <si>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</si>
  <si>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</si>
  <si>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</si>
  <si>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</si>
  <si>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</si>
  <si>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</si>
  <si>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</si>
  <si>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</si>
  <si>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</si>
  <si>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</si>
  <si>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</si>
  <si>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</si>
  <si>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</si>
  <si>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</si>
  <si>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</si>
  <si>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</si>
  <si>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</si>
  <si>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</si>
  <si>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</si>
  <si>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</si>
  <si>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</si>
  <si>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</si>
  <si>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</si>
  <si>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</si>
  <si>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</si>
  <si>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</si>
  <si>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</si>
  <si>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</si>
  <si>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</si>
  <si>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</si>
  <si>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</si>
  <si>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</si>
  <si>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</si>
  <si>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</si>
  <si>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</si>
  <si>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</si>
  <si>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</si>
  <si>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</si>
  <si>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</si>
  <si>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</si>
  <si>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</si>
  <si>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</si>
  <si>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</si>
  <si>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</si>
  <si>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</si>
  <si>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</si>
  <si>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</si>
  <si>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</si>
  <si>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</si>
  <si>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</si>
  <si>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</si>
  <si>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</si>
  <si>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</si>
  <si>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</si>
  <si>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</si>
  <si>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</si>
  <si>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</si>
  <si>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</si>
  <si>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</si>
  <si>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</si>
  <si>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</si>
  <si>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</si>
  <si>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</si>
  <si>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</si>
  <si>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</si>
  <si>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</si>
  <si>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</si>
  <si>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</si>
  <si>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</si>
  <si>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</si>
  <si>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</si>
  <si>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</si>
  <si>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</si>
  <si>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</si>
  <si>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</si>
  <si>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</si>
  <si>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</si>
  <si>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</si>
  <si>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</si>
  <si>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</si>
  <si>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</si>
  <si>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</si>
  <si>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</si>
  <si>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</si>
  <si>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</si>
  <si>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</si>
  <si>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</si>
  <si>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</si>
  <si>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</si>
  <si>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</si>
  <si>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</si>
  <si>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</si>
  <si>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</si>
  <si>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</si>
  <si>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</si>
  <si>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</si>
  <si>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</si>
  <si>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</si>
  <si>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</si>
  <si>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</si>
  <si>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</si>
  <si>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</si>
  <si>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</si>
  <si>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</si>
  <si>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</si>
  <si>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</si>
  <si>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</si>
  <si>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</si>
  <si>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</si>
  <si>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</si>
  <si>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</si>
  <si>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</si>
  <si>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</si>
  <si>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</si>
  <si>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</si>
  <si>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</si>
  <si>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</si>
  <si>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</si>
  <si>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</si>
  <si>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</si>
  <si>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</si>
  <si>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</si>
  <si>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</si>
  <si>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</si>
  <si>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</si>
  <si>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</si>
  <si>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</si>
  <si>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</si>
  <si>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</si>
  <si>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</si>
  <si>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</si>
  <si>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</si>
  <si>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</si>
  <si>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</si>
  <si>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</si>
  <si>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</si>
  <si>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</si>
  <si>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</si>
  <si>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</si>
  <si>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</si>
  <si>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</si>
  <si>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</si>
  <si>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</si>
  <si>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</si>
  <si>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</si>
  <si>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</si>
  <si>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</si>
  <si>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</si>
  <si>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</si>
  <si>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</si>
  <si>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</si>
  <si>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</si>
  <si>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</si>
  <si>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</si>
  <si>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</si>
  <si>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</si>
  <si>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</si>
  <si>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</si>
  <si>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</si>
  <si>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</si>
  <si>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</si>
  <si>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</si>
  <si>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</si>
  <si>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</si>
  <si>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</si>
  <si>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</si>
  <si>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</si>
  <si>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</si>
  <si>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</si>
  <si>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</si>
  <si>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</si>
  <si>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</si>
  <si>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</si>
  <si>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</si>
  <si>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</si>
  <si>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</si>
  <si>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</si>
  <si>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</si>
  <si>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</si>
  <si>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</si>
  <si>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</si>
  <si>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</si>
  <si>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</si>
  <si>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</si>
  <si>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</si>
  <si>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</si>
  <si>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</si>
  <si>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</si>
  <si>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</si>
  <si>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</si>
  <si>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</si>
  <si>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</si>
  <si>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</si>
  <si>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</si>
  <si>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</si>
  <si>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</si>
  <si>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</si>
  <si>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</si>
  <si>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</si>
  <si>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</si>
  <si>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</si>
  <si>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</si>
  <si>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</si>
  <si>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</si>
  <si>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</si>
  <si>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</si>
  <si>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</si>
  <si>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</si>
  <si>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</si>
  <si>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</si>
  <si>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</si>
  <si>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</si>
  <si>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</si>
  <si>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</si>
  <si>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</si>
  <si>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</si>
  <si>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</si>
  <si>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</si>
  <si>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</si>
  <si>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</si>
  <si>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</si>
  <si>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</si>
  <si>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</si>
  <si>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</si>
  <si>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</si>
  <si>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</si>
  <si>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</si>
  <si>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</si>
  <si>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</si>
  <si>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</si>
  <si>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</si>
  <si>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</si>
  <si>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</si>
  <si>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</si>
  <si>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</si>
  <si>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</si>
  <si>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</si>
  <si>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</si>
  <si>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</si>
  <si>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</si>
  <si>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</si>
  <si>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</si>
  <si>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</si>
  <si>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</si>
  <si>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</si>
  <si>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</si>
  <si>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</si>
  <si>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</si>
  <si>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</si>
  <si>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</si>
  <si>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</si>
  <si>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</si>
  <si>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</si>
  <si>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</si>
  <si>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</si>
  <si>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</si>
  <si>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</si>
  <si>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</si>
  <si>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</si>
  <si>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</si>
  <si>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</si>
  <si>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</si>
  <si>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</si>
  <si>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</si>
  <si>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</si>
  <si>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</si>
  <si>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</si>
  <si>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</si>
  <si>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</si>
  <si>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</si>
  <si>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</si>
  <si>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</si>
  <si>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</si>
  <si>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</si>
  <si>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</si>
  <si>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</si>
  <si>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</si>
  <si>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</si>
  <si>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</si>
  <si>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</si>
  <si>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</si>
  <si>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</si>
  <si>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</si>
  <si>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</si>
  <si>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</si>
  <si>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</si>
  <si>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</si>
  <si>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</si>
  <si>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</si>
  <si>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</si>
  <si>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</si>
  <si>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</si>
  <si>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</si>
  <si>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</si>
  <si>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</si>
  <si>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</si>
  <si>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</si>
  <si>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</si>
  <si>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</si>
  <si>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</si>
  <si>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</si>
  <si>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</si>
  <si>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</si>
  <si>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</si>
  <si>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</si>
  <si>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</si>
  <si>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</si>
  <si>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</si>
  <si>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</si>
  <si>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</si>
  <si>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</si>
  <si>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</si>
  <si>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</si>
  <si>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</si>
  <si>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</si>
  <si>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</si>
  <si>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</si>
  <si>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</si>
  <si>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</si>
  <si>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</si>
  <si>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</si>
  <si>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</si>
  <si>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</si>
  <si>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</si>
  <si>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</si>
  <si>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</si>
  <si>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</si>
  <si>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</si>
  <si>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</si>
  <si>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</si>
  <si>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</si>
  <si>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</si>
  <si>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</si>
  <si>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</si>
  <si>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</si>
  <si>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</si>
  <si>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</si>
  <si>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</si>
  <si>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</si>
  <si>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</si>
  <si>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</si>
  <si>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</si>
  <si>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</si>
  <si>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</si>
  <si>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</si>
  <si>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</si>
  <si>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</si>
  <si>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</si>
  <si>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</si>
  <si>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</si>
  <si>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</si>
  <si>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</si>
  <si>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</si>
  <si>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</si>
  <si>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</si>
  <si>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</si>
  <si>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</si>
  <si>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</si>
  <si>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</si>
  <si>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</si>
  <si>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</si>
  <si>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</si>
  <si>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</si>
  <si>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</si>
  <si>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</si>
  <si>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</si>
  <si>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</si>
  <si>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</si>
  <si>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</si>
  <si>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</si>
  <si>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</si>
  <si>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</si>
  <si>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</si>
  <si>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</si>
  <si>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</si>
  <si>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</si>
  <si>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</si>
  <si>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</si>
  <si>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</si>
  <si>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</si>
  <si>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</si>
  <si>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</si>
  <si>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</si>
  <si>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</si>
  <si>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</si>
  <si>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</si>
  <si>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</si>
  <si>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</si>
  <si>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</si>
  <si>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</si>
  <si>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</si>
  <si>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</si>
  <si>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</si>
  <si>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</si>
  <si>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</si>
  <si>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</si>
  <si>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</si>
  <si>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</si>
  <si>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</si>
  <si>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</si>
  <si>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</si>
  <si>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</si>
  <si>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</si>
  <si>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</si>
  <si>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</si>
  <si>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</si>
  <si>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</si>
  <si>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</si>
  <si>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</si>
  <si>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</si>
  <si>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</si>
  <si>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</si>
  <si>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</si>
  <si>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</si>
  <si>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</si>
  <si>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</si>
  <si>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</si>
  <si>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</si>
  <si>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</si>
  <si>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</si>
  <si>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</si>
  <si>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</si>
  <si>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</si>
  <si>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</si>
  <si>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</si>
  <si>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</si>
  <si>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</si>
  <si>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</si>
  <si>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</si>
  <si>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</si>
  <si>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</si>
  <si>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</si>
  <si>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</si>
  <si>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</si>
  <si>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</si>
  <si>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</si>
  <si>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</si>
  <si>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</si>
  <si>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</si>
  <si>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</si>
  <si>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</si>
  <si>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</si>
  <si>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</si>
  <si>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</si>
  <si>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</si>
  <si>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</si>
  <si>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</si>
  <si>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</si>
  <si>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</si>
  <si>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</si>
  <si>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</si>
  <si>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</si>
  <si>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</si>
  <si>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</si>
  <si>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</si>
  <si>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</si>
  <si>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</si>
  <si>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</si>
  <si>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</si>
  <si>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</si>
  <si>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</si>
  <si>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</si>
  <si>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</si>
  <si>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</si>
  <si>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</si>
  <si>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</si>
  <si>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</si>
  <si>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</si>
  <si>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</si>
  <si>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</si>
  <si>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</si>
  <si>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</si>
  <si>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</si>
  <si>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</si>
  <si>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</si>
  <si>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</si>
  <si>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</si>
  <si>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</si>
  <si>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</si>
  <si>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</si>
  <si>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</si>
  <si>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</si>
  <si>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</si>
  <si>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</si>
  <si>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</si>
  <si>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</si>
  <si>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</si>
  <si>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</si>
  <si>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</si>
  <si>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</si>
  <si>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</si>
  <si>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</si>
  <si>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</si>
  <si>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</si>
  <si>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</si>
  <si>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</si>
  <si>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</si>
  <si>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</si>
  <si>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</si>
  <si>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</si>
  <si>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</si>
  <si>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</si>
  <si>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</si>
  <si>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</si>
  <si>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</si>
  <si>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</si>
  <si>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</si>
  <si>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</si>
  <si>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</si>
  <si>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</si>
  <si>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</si>
  <si>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</si>
  <si>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</si>
  <si>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</si>
  <si>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</si>
  <si>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</si>
  <si>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</si>
  <si>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</si>
  <si>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</si>
  <si>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</si>
  <si>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</si>
  <si>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</si>
  <si>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</si>
  <si>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</si>
  <si>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</si>
  <si>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</si>
  <si>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</si>
  <si>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</si>
  <si>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</si>
  <si>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</si>
  <si>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</si>
  <si>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</si>
  <si>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</si>
  <si>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</si>
  <si>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</si>
  <si>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</si>
  <si>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</si>
  <si>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</si>
  <si>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</si>
  <si>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</si>
  <si>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</si>
  <si>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</si>
  <si>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</si>
  <si>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</si>
  <si>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</si>
  <si>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</si>
  <si>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</si>
  <si>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</si>
  <si>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</si>
  <si>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</si>
  <si>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</si>
  <si>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</si>
  <si>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</si>
  <si>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</si>
  <si>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</si>
  <si>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</si>
  <si>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</si>
  <si>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</si>
  <si>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</si>
  <si>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</si>
  <si>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</si>
  <si>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</si>
  <si>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</si>
  <si>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</si>
  <si>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</si>
  <si>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</si>
  <si>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</si>
  <si>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</si>
  <si>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</si>
  <si>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</si>
  <si>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</si>
  <si>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</si>
  <si>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</si>
  <si>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</si>
  <si>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</si>
  <si>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</si>
  <si>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</si>
  <si>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</si>
  <si>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</si>
  <si>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</si>
  <si>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</si>
  <si>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</si>
  <si>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</si>
  <si>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</si>
  <si>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</si>
  <si>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</si>
  <si>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</si>
  <si>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</si>
  <si>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</si>
  <si>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</si>
  <si>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</si>
  <si>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</si>
  <si>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</si>
  <si>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</si>
  <si>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</si>
  <si>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</si>
  <si>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</si>
  <si>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</si>
  <si>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</si>
  <si>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</si>
  <si>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</si>
  <si>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</si>
  <si>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</si>
  <si>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</si>
  <si>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</si>
  <si>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</si>
  <si>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</si>
  <si>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</si>
  <si>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</si>
  <si>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</si>
  <si>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</si>
  <si>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</si>
  <si>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</si>
  <si>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</si>
  <si>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</si>
  <si>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</si>
  <si>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</si>
  <si>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</si>
  <si>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</si>
  <si>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</si>
  <si>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</si>
  <si>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</si>
  <si>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</si>
  <si>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</si>
  <si>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</si>
  <si>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</si>
  <si>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</si>
  <si>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</si>
  <si>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</si>
  <si>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</si>
  <si>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</si>
  <si>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</si>
  <si>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</si>
  <si>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</si>
  <si>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</si>
  <si>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</si>
  <si>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</si>
  <si>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</si>
  <si>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</si>
  <si>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</si>
  <si>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</si>
  <si>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</si>
  <si>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</si>
  <si>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</si>
  <si>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</si>
  <si>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</si>
  <si>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</si>
  <si>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</si>
  <si>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</si>
  <si>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</si>
  <si>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</si>
  <si>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</si>
  <si>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</si>
  <si>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</si>
  <si>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</si>
  <si>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</si>
  <si>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</si>
  <si>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</si>
  <si>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</si>
  <si>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</si>
  <si>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</si>
  <si>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</si>
  <si>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</si>
  <si>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</si>
  <si>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</si>
  <si>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</si>
  <si>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</si>
  <si>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</si>
  <si>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</si>
  <si>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</si>
  <si>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</si>
  <si>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</si>
  <si>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</si>
  <si>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</si>
  <si>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</si>
  <si>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</si>
  <si>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</si>
  <si>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</si>
  <si>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</si>
  <si>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</si>
  <si>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</si>
  <si>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</si>
  <si>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</si>
  <si>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</si>
  <si>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</si>
  <si>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</si>
  <si>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</si>
  <si>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</si>
  <si>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</si>
  <si>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</si>
  <si>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</si>
  <si>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</si>
  <si>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</si>
  <si>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</si>
  <si>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</si>
  <si>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</si>
  <si>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</si>
  <si>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</si>
  <si>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</si>
  <si>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</si>
  <si>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</si>
  <si>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</si>
  <si>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</si>
  <si>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</si>
  <si>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</si>
  <si>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</si>
  <si>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</si>
  <si>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</si>
  <si>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</si>
  <si>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</si>
  <si>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</si>
  <si>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</si>
  <si>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</si>
  <si>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</si>
  <si>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</si>
  <si>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</si>
  <si>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</si>
  <si>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</si>
  <si>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</si>
  <si>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</si>
  <si>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</si>
  <si>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</si>
  <si>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</si>
  <si>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</si>
  <si>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</si>
  <si>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</si>
  <si>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</si>
  <si>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</si>
  <si>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</si>
  <si>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</si>
  <si>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</si>
  <si>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</si>
  <si>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</si>
  <si>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</si>
  <si>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</si>
  <si>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</si>
  <si>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</si>
  <si>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</si>
  <si>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</si>
  <si>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</si>
  <si>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</si>
  <si>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</si>
  <si>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</si>
  <si>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</si>
  <si>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</si>
  <si>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</si>
  <si>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</si>
  <si>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</si>
  <si>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</si>
  <si>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</si>
  <si>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</si>
  <si>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</si>
  <si>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</si>
  <si>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</si>
  <si>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</si>
  <si>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</si>
  <si>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</si>
  <si>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</si>
  <si>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</si>
  <si>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</si>
  <si>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</si>
  <si>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</si>
  <si>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</si>
  <si>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</si>
  <si>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</si>
  <si>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</si>
  <si>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</si>
  <si>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</si>
  <si>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</si>
  <si>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</si>
  <si>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</si>
  <si>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</si>
  <si>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</si>
  <si>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</si>
  <si>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</si>
  <si>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</si>
  <si>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</si>
  <si>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</si>
  <si>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</si>
  <si>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</si>
  <si>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</si>
  <si>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</si>
  <si>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</si>
  <si>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</si>
  <si>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</si>
  <si>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</si>
  <si>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</si>
  <si>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</si>
  <si>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</si>
  <si>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</si>
  <si>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</si>
  <si>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</si>
  <si>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</si>
  <si>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</si>
  <si>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</si>
  <si>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</si>
  <si>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</si>
  <si>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</si>
  <si>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</si>
  <si>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</si>
  <si>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</si>
  <si>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</si>
  <si>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</si>
  <si>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</si>
  <si>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</si>
  <si>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</si>
  <si>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</si>
  <si>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</si>
  <si>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</si>
  <si>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</si>
  <si>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</si>
  <si>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</si>
  <si>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</si>
  <si>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</si>
  <si>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</si>
  <si>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</si>
  <si>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</si>
  <si>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</si>
  <si>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</si>
  <si>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</si>
  <si>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</si>
  <si>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</si>
  <si>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</si>
  <si>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</si>
  <si>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</si>
  <si>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</si>
  <si>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</si>
  <si>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</si>
  <si>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</si>
  <si>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</si>
  <si>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</si>
  <si>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</si>
  <si>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</si>
  <si>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</si>
  <si>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</si>
  <si>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</si>
  <si>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</si>
  <si>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</si>
  <si>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</si>
  <si>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</si>
  <si>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</si>
  <si>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</si>
  <si>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</si>
  <si>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</si>
  <si>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</si>
  <si>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</si>
  <si>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</si>
  <si>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</si>
  <si>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</si>
  <si>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</si>
  <si>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</si>
  <si>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</si>
  <si>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</si>
  <si>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</si>
  <si>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</si>
  <si>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</si>
  <si>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</si>
  <si>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</si>
  <si>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</si>
  <si>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</si>
  <si>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</si>
  <si>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</si>
  <si>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</si>
  <si>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</si>
  <si>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</si>
  <si>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</si>
  <si>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</si>
  <si>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</si>
  <si>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</si>
  <si>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</si>
  <si>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</si>
  <si>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</si>
  <si>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</si>
  <si>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</si>
  <si>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</si>
  <si>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</si>
  <si>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</si>
  <si>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</si>
  <si>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</si>
  <si>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</si>
  <si>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</si>
  <si>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</si>
  <si>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</si>
  <si>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</si>
  <si>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</si>
  <si>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</si>
  <si>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</si>
  <si>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</si>
  <si>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</si>
  <si>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</si>
  <si>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</si>
  <si>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</si>
  <si>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</si>
  <si>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</si>
  <si>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</si>
  <si>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</si>
  <si>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</si>
  <si>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</si>
  <si>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</si>
  <si>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</si>
  <si>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</si>
  <si>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</si>
  <si>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</si>
  <si>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</si>
  <si>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</si>
  <si>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</si>
  <si>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</si>
  <si>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</si>
  <si>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</si>
  <si>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</si>
  <si>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</si>
  <si>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</si>
  <si>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</si>
  <si>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</si>
  <si>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</si>
  <si>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</si>
  <si>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</si>
  <si>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</si>
  <si>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</si>
  <si>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</si>
  <si>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</si>
  <si>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</si>
  <si>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</si>
  <si>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</si>
  <si>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</si>
  <si>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</si>
  <si>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</si>
  <si>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</si>
  <si>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</si>
  <si>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</si>
  <si>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</si>
  <si>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</si>
  <si>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</si>
  <si>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</si>
  <si>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</si>
  <si>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</si>
  <si>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</si>
  <si>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</si>
  <si>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</si>
  <si>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</si>
  <si>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</si>
  <si>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</si>
  <si>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</si>
  <si>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</si>
  <si>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</si>
  <si>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</si>
  <si>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</si>
  <si>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</si>
  <si>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</si>
  <si>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</si>
  <si>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</si>
  <si>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</si>
  <si>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</si>
  <si>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</si>
  <si>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</si>
  <si>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</si>
  <si>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</si>
  <si>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</si>
  <si>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</si>
  <si>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</si>
  <si>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</si>
  <si>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</si>
  <si>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</si>
  <si>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</si>
  <si>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</si>
  <si>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</si>
  <si>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</si>
  <si>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</si>
  <si>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</si>
  <si>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</si>
  <si>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</si>
  <si>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</si>
  <si>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</si>
  <si>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</si>
  <si>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</si>
  <si>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</si>
  <si>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</si>
  <si>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</si>
  <si>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</si>
  <si>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</si>
  <si>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</si>
  <si>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</si>
  <si>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</si>
  <si>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</si>
  <si>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</si>
  <si>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</si>
  <si>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</si>
  <si>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</si>
  <si>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</si>
  <si>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</si>
  <si>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</si>
  <si>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</si>
  <si>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</si>
  <si>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</si>
  <si>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</si>
  <si>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</si>
  <si>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</si>
  <si>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</si>
  <si>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</si>
  <si>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</si>
  <si>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</si>
  <si>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</si>
  <si>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</si>
  <si>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</si>
  <si>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</si>
  <si>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</si>
  <si>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</si>
  <si>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</si>
  <si>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</si>
  <si>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</si>
  <si>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</si>
  <si>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</si>
  <si>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</si>
  <si>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</si>
  <si>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</si>
  <si>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</si>
  <si>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</si>
  <si>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</si>
  <si>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</si>
  <si>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</si>
  <si>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</si>
  <si>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</si>
  <si>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</si>
  <si>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</si>
  <si>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</si>
  <si>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</si>
  <si>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</si>
  <si>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</si>
  <si>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</si>
  <si>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</si>
  <si>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</si>
  <si>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</si>
  <si>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</si>
  <si>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</si>
  <si>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</si>
  <si>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</si>
  <si>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</si>
  <si>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</si>
  <si>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</si>
  <si>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</si>
  <si>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</si>
  <si>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</si>
  <si>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</si>
  <si>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</si>
  <si>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</si>
  <si>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</si>
  <si>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</si>
  <si>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</si>
  <si>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</si>
  <si>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</si>
  <si>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</si>
  <si>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</si>
  <si>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</si>
  <si>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</si>
  <si>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</si>
  <si>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</si>
  <si>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</si>
  <si>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</si>
  <si>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</si>
  <si>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</si>
  <si>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</si>
  <si>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</si>
  <si>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</si>
  <si>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</si>
  <si>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</si>
  <si>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</si>
  <si>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</si>
  <si>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</si>
  <si>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</si>
  <si>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</si>
  <si>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</si>
  <si>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</si>
  <si>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</si>
  <si>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</si>
  <si>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</si>
  <si>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</si>
  <si>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</si>
  <si>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</si>
  <si>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</si>
  <si>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</si>
  <si>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</si>
  <si>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</si>
  <si>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</si>
  <si>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</si>
  <si>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</si>
  <si>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</si>
  <si>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</si>
  <si>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</si>
  <si>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</si>
  <si>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</si>
  <si>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</si>
  <si>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</si>
  <si>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</si>
  <si>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</si>
  <si>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</si>
  <si>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</si>
  <si>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</si>
  <si>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</si>
  <si>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</si>
  <si>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</si>
  <si>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</si>
  <si>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</si>
  <si>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</si>
  <si>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</si>
  <si>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</si>
  <si>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</si>
  <si>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</si>
  <si>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</si>
  <si>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</si>
  <si>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</si>
  <si>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</si>
  <si>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</si>
  <si>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</si>
  <si>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</si>
  <si>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</si>
  <si>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</si>
  <si>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</si>
  <si>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</si>
  <si>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</si>
  <si>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</si>
  <si>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</si>
  <si>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</si>
  <si>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</si>
  <si>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</si>
  <si>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</si>
  <si>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</si>
  <si>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</si>
  <si>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</si>
  <si>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</si>
  <si>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</si>
  <si>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</si>
  <si>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</si>
  <si>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</si>
  <si>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</si>
  <si>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</si>
  <si>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</si>
  <si>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</si>
  <si>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</si>
  <si>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</si>
  <si>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</si>
  <si>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</si>
  <si>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</si>
  <si>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</si>
  <si>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</si>
  <si>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</si>
  <si>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</si>
  <si>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</si>
  <si>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</si>
  <si>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</si>
  <si>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</si>
  <si>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</si>
  <si>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</si>
  <si>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</si>
  <si>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</si>
  <si>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</si>
  <si>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</si>
  <si>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</si>
  <si>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</si>
  <si>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</si>
  <si>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</si>
  <si>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</si>
  <si>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</si>
  <si>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</si>
  <si>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</si>
  <si>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</si>
  <si>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</si>
  <si>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</si>
  <si>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</si>
  <si>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</si>
  <si>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</si>
  <si>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</si>
  <si>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</si>
  <si>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</si>
  <si>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</si>
  <si>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</si>
  <si>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</si>
  <si>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</si>
  <si>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</si>
  <si>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</si>
  <si>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</si>
  <si>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</si>
  <si>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</si>
  <si>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</si>
  <si>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</si>
  <si>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</si>
  <si>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</si>
  <si>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</si>
  <si>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</si>
  <si>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</si>
  <si>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</si>
  <si>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</si>
  <si>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</si>
  <si>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</si>
  <si>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</si>
  <si>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</si>
  <si>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</si>
  <si>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</si>
  <si>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</si>
  <si>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</si>
  <si>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</si>
  <si>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</si>
  <si>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</si>
  <si>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</si>
  <si>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</si>
  <si>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</si>
  <si>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</si>
  <si>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</si>
  <si>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</si>
  <si>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</si>
  <si>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</si>
  <si>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</si>
  <si>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</si>
  <si>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</si>
  <si>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</si>
  <si>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</si>
  <si>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</si>
  <si>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</si>
  <si>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</si>
  <si>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</si>
  <si>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</si>
  <si>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</si>
  <si>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</si>
  <si>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</si>
  <si>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</si>
  <si>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</si>
  <si>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</si>
  <si>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</si>
  <si>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</si>
  <si>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</si>
  <si>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</si>
  <si>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</si>
  <si>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</si>
  <si>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</si>
  <si>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</si>
  <si>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</si>
  <si>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</si>
  <si>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</si>
  <si>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</si>
  <si>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</si>
  <si>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</si>
  <si>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</si>
  <si>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</si>
  <si>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</si>
  <si>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</si>
  <si>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</si>
  <si>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</si>
  <si>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</si>
  <si>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</si>
  <si>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</si>
  <si>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</si>
  <si>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</si>
  <si>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</si>
  <si>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</si>
  <si>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</si>
  <si>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</si>
  <si>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</si>
  <si>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</si>
  <si>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</si>
  <si>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</si>
  <si>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</si>
  <si>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</si>
  <si>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</si>
  <si>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</si>
  <si>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</si>
  <si>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</si>
  <si>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</si>
  <si>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</si>
  <si>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</si>
  <si>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</si>
  <si>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</si>
  <si>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</si>
  <si>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</si>
  <si>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</si>
  <si>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</si>
  <si>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</si>
  <si>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</si>
  <si>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</si>
  <si>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</si>
  <si>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</si>
  <si>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</si>
  <si>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</si>
  <si>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</si>
  <si>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</si>
  <si>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</si>
  <si>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</si>
  <si>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</si>
  <si>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</si>
  <si>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</si>
  <si>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</si>
  <si>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</si>
  <si>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</si>
  <si>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</si>
  <si>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</si>
  <si>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</si>
  <si>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</si>
  <si>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</si>
  <si>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</si>
  <si>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</si>
  <si>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</si>
  <si>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</si>
  <si>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</si>
  <si>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</si>
  <si>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</si>
  <si>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</si>
  <si>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</si>
  <si>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</si>
  <si>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</si>
  <si>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</si>
  <si>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</si>
  <si>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</si>
  <si>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</si>
  <si>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</si>
  <si>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</si>
  <si>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</si>
  <si>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</si>
  <si>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</si>
  <si>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</si>
  <si>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</si>
  <si>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</si>
  <si>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</si>
  <si>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</si>
  <si>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</si>
  <si>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</si>
  <si>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</si>
  <si>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</si>
  <si>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</si>
  <si>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</si>
  <si>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</si>
  <si>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</si>
  <si>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</si>
  <si>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</si>
  <si>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</si>
  <si>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</si>
  <si>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</si>
  <si>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</si>
  <si>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</si>
  <si>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</si>
  <si>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</si>
  <si>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</si>
  <si>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</si>
  <si>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</si>
  <si>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</si>
  <si>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</si>
  <si>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</si>
  <si>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</si>
  <si>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</si>
  <si>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</si>
  <si>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</si>
  <si>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</si>
  <si>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</si>
  <si>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</si>
  <si>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</si>
  <si>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</si>
  <si>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</si>
  <si>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</si>
  <si>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</si>
  <si>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</si>
  <si>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</si>
  <si>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</si>
  <si>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</si>
  <si>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</si>
  <si>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</si>
  <si>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</si>
  <si>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</si>
  <si>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</si>
  <si>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</si>
  <si>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</si>
  <si>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</si>
  <si>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</si>
  <si>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</si>
  <si>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</si>
  <si>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</si>
  <si>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</si>
  <si>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</si>
  <si>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</si>
  <si>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</si>
  <si>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</si>
  <si>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</si>
  <si>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</si>
  <si>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</si>
  <si>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</si>
  <si>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</si>
  <si>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</si>
  <si>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</si>
  <si>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</si>
  <si>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</si>
  <si>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</si>
  <si>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</si>
  <si>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</si>
  <si>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</si>
  <si>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</si>
  <si>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</si>
  <si>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</si>
  <si>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</si>
  <si>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</si>
  <si>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</si>
  <si>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</si>
  <si>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</si>
  <si>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</si>
  <si>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</si>
  <si>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</si>
  <si>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</si>
  <si>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</si>
  <si>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</si>
  <si>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</si>
  <si>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</si>
  <si>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</si>
  <si>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</si>
  <si>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</si>
  <si>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</si>
  <si>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</si>
  <si>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</si>
  <si>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</si>
  <si>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</si>
  <si>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</si>
  <si>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</si>
  <si>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</si>
  <si>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</si>
  <si>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</si>
  <si>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</si>
  <si>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</si>
  <si>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</si>
  <si>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</si>
  <si>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</si>
  <si>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</si>
  <si>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</si>
  <si>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</si>
  <si>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</si>
  <si>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</si>
  <si>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</si>
  <si>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</si>
  <si>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</si>
  <si>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</si>
  <si>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</si>
  <si>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</si>
  <si>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</si>
  <si>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</si>
  <si>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</si>
  <si>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</si>
  <si>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</si>
  <si>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</si>
  <si>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</si>
  <si>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</si>
  <si>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</si>
  <si>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</si>
  <si>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</si>
  <si>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</si>
  <si>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</si>
  <si>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</si>
  <si>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</si>
  <si>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</si>
  <si>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</si>
  <si>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</si>
  <si>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</si>
  <si>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</si>
  <si>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</si>
  <si>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</si>
  <si>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</si>
  <si>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</si>
  <si>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</si>
  <si>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</si>
  <si>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</si>
  <si>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</si>
  <si>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</si>
  <si>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</si>
  <si>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</si>
  <si>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</si>
  <si>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</si>
  <si>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</si>
  <si>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</si>
  <si>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</si>
  <si>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</si>
  <si>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</si>
  <si>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</si>
  <si>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</si>
  <si>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</si>
  <si>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</si>
  <si>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</si>
  <si>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</si>
  <si>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</si>
  <si>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</si>
  <si>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</si>
  <si>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</si>
  <si>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</si>
  <si>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</si>
  <si>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</si>
  <si>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</si>
  <si>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</si>
  <si>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</si>
  <si>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</si>
  <si>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</si>
  <si>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</si>
  <si>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</si>
  <si>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</si>
  <si>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</si>
  <si>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</si>
  <si>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</si>
  <si>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</si>
  <si>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</si>
  <si>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</si>
  <si>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</si>
  <si>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</si>
  <si>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</si>
  <si>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</si>
  <si>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</si>
  <si>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</si>
  <si>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</si>
  <si>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</si>
  <si>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</si>
  <si>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</si>
  <si>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</si>
  <si>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</si>
  <si>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</si>
  <si>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</si>
  <si>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</si>
  <si>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</si>
  <si>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</si>
  <si>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</si>
  <si>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</si>
  <si>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</si>
  <si>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</si>
  <si>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</si>
  <si>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</si>
  <si>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</si>
  <si>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</si>
  <si>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</si>
  <si>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</si>
  <si>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</si>
  <si>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</si>
  <si>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</si>
  <si>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</si>
  <si>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</si>
  <si>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</si>
  <si>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</si>
  <si>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</si>
  <si>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</si>
  <si>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</si>
  <si>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</si>
  <si>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</si>
  <si>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</si>
  <si>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</si>
  <si>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</si>
  <si>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</si>
  <si>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</si>
  <si>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</si>
  <si>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</si>
  <si>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</si>
  <si>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</si>
  <si>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</si>
  <si>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</si>
  <si>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</si>
  <si>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</si>
  <si>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</si>
  <si>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</si>
  <si>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</si>
  <si>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</si>
  <si>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</si>
  <si>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</si>
  <si>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</si>
  <si>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</si>
  <si>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</si>
  <si>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</si>
  <si>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不用分区数据</t>
  </si>
  <si>
    <t>2022-1</t>
    <phoneticPr fontId="4" type="noConversion"/>
  </si>
  <si>
    <t>2022-2</t>
    <phoneticPr fontId="4" type="noConversion"/>
  </si>
  <si>
    <t>2022-1</t>
    <phoneticPr fontId="4" type="noConversion"/>
  </si>
  <si>
    <t>自定义容积率</t>
  </si>
  <si>
    <t>不临65条商业街</t>
  </si>
  <si>
    <t>通路</t>
  </si>
  <si>
    <t>通电</t>
  </si>
  <si>
    <t>通讯</t>
  </si>
  <si>
    <t>通上水</t>
  </si>
  <si>
    <t>通下水</t>
  </si>
  <si>
    <t>燃气</t>
  </si>
  <si>
    <t>平整</t>
  </si>
  <si>
    <t>按公示增长率计算</t>
  </si>
  <si>
    <t>北京市</t>
  </si>
  <si>
    <t>企业</t>
  </si>
  <si>
    <t>抵押</t>
  </si>
  <si>
    <t>楼层修正</t>
  </si>
  <si>
    <t>较差</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</si>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</sst>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5"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34;&#31168;&#19996;&#34903;38&#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row r="13">
          <cell r="E13">
            <v>57696</v>
          </cell>
        </row>
      </sheetData>
      <sheetData sheetId="11"/>
      <sheetData sheetId="12"/>
      <sheetData sheetId="13">
        <row r="6">
          <cell r="D6">
            <v>9281.75</v>
          </cell>
          <cell r="E6">
            <v>12714.39</v>
          </cell>
          <cell r="F6">
            <v>12729.39</v>
          </cell>
          <cell r="G6">
            <v>12185.89</v>
          </cell>
          <cell r="H6">
            <v>5793.95</v>
          </cell>
        </row>
      </sheetData>
      <sheetData sheetId="14">
        <row r="6">
          <cell r="I6">
            <v>2.79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2022年11月23日</v>
      </c>
    </row>
    <row r="13" spans="1:2" s="2762" customFormat="1">
      <c r="A13" s="2760" t="s">
        <v>742</v>
      </c>
      <c r="B13" s="2761"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44888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3108</v>
      </c>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t="s">
        <v>3106</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3107</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f>[3]项目基本情况!$E$13</f>
        <v>57696</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35.090000000000003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422</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192</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44888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44888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44888</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44888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44888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44888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44888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44888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2022年11月23日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44888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44888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0.5</v>
      </c>
      <c r="D57" s="2221">
        <v>0.25</v>
      </c>
      <c r="E57" s="1156"/>
      <c r="F57" s="1196" t="e">
        <f t="shared" si="15"/>
        <v>#DIV/0!</v>
      </c>
      <c r="G57" s="3258" t="s">
        <v>2128</v>
      </c>
      <c r="H57" s="2222" t="str">
        <f>项目基本情况!B37</f>
        <v>八级</v>
      </c>
      <c r="I57" s="1236">
        <f>SUMIF(修正!A57:A68,H57,修正!B57:B68)</f>
        <v>0.5</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0.2</v>
      </c>
      <c r="D58" s="2221">
        <v>0.25</v>
      </c>
      <c r="E58" s="1156"/>
      <c r="F58" s="1196" t="e">
        <f t="shared" si="15"/>
        <v>#DIV/0!</v>
      </c>
      <c r="G58" s="3258"/>
      <c r="H58" s="2222" t="str">
        <f>项目基本情况!B37</f>
        <v>八级</v>
      </c>
      <c r="I58" s="1236">
        <f>SUMIF(修正!A57:A68,H58,修正!C57:C68)</f>
        <v>0.2</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v>
      </c>
      <c r="D59" s="2221">
        <v>0.25</v>
      </c>
      <c r="E59" s="1156"/>
      <c r="F59" s="1196" t="e">
        <f t="shared" si="15"/>
        <v>#DIV/0!</v>
      </c>
      <c r="G59" s="3258"/>
      <c r="H59" s="2222" t="str">
        <f>项目基本情况!B37</f>
        <v>八级</v>
      </c>
      <c r="I59" s="1236">
        <f>SUMIF(修正!A57:A68,H59,修正!D57:D68)</f>
        <v>0.2</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八级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v>
      </c>
      <c r="D64" s="2221">
        <v>0.25</v>
      </c>
      <c r="E64" s="1157">
        <f>'数据-汇总表'!E14</f>
        <v>0</v>
      </c>
      <c r="F64" s="1196" t="e">
        <f t="shared" si="15"/>
        <v>#DIV/0!</v>
      </c>
      <c r="G64" s="2224" t="s">
        <v>2128</v>
      </c>
      <c r="H64" s="2222" t="str">
        <f>项目基本情况!B37</f>
        <v>八级</v>
      </c>
      <c r="I64" s="1236">
        <f>SUMIF(修正!A57:A68,H64,修正!G57:G68)</f>
        <v>0.1</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44888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0.5</v>
      </c>
      <c r="D52" s="2221">
        <v>0.25</v>
      </c>
      <c r="E52" s="1156"/>
      <c r="F52" s="2249" t="e">
        <f t="shared" si="15"/>
        <v>#DIV/0!</v>
      </c>
      <c r="G52" s="3258" t="s">
        <v>2128</v>
      </c>
      <c r="H52" s="2222" t="str">
        <f>项目基本情况!B37</f>
        <v>八级</v>
      </c>
      <c r="I52" s="1235">
        <f>SUMIF(修正!A57:A68,H52,修正!B57:B68)</f>
        <v>0.5</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0.2</v>
      </c>
      <c r="D53" s="2221">
        <v>0.25</v>
      </c>
      <c r="E53" s="1156"/>
      <c r="F53" s="2249" t="e">
        <f t="shared" si="15"/>
        <v>#DIV/0!</v>
      </c>
      <c r="G53" s="3258"/>
      <c r="H53" s="2222" t="str">
        <f>项目基本情况!B37</f>
        <v>八级</v>
      </c>
      <c r="I53" s="1235">
        <f>SUMIF(修正!A57:A68,H53,修正!C57:C68)</f>
        <v>0.2</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v>
      </c>
      <c r="D54" s="2221">
        <v>0.25</v>
      </c>
      <c r="E54" s="1156"/>
      <c r="F54" s="2249" t="e">
        <f t="shared" si="15"/>
        <v>#DIV/0!</v>
      </c>
      <c r="G54" s="3258"/>
      <c r="H54" s="2222" t="str">
        <f>项目基本情况!B37</f>
        <v>八级</v>
      </c>
      <c r="I54" s="1235">
        <f>SUMIF(修正!A57:A68,H54,修正!D57:D68)</f>
        <v>0.2</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八级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v>
      </c>
      <c r="D59" s="2221">
        <v>0.25</v>
      </c>
      <c r="E59" s="1157">
        <f>'数据-汇总表'!E14</f>
        <v>0</v>
      </c>
      <c r="F59" s="2249" t="e">
        <f t="shared" si="15"/>
        <v>#DIV/0!</v>
      </c>
      <c r="G59" s="2224" t="s">
        <v>2128</v>
      </c>
      <c r="H59" s="2222" t="str">
        <f>项目基本情况!B37</f>
        <v>八级</v>
      </c>
      <c r="I59" s="1235">
        <f>SUMIF(修正!A57:A68,H59,修正!G57:G68)</f>
        <v>0.1</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70" zoomScaleNormal="80" zoomScaleSheetLayoutView="70" workbookViewId="0">
      <selection activeCell="F62" sqref="F6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0</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30442</v>
      </c>
      <c r="C2" s="2266" t="s">
        <v>2172</v>
      </c>
      <c r="D2" s="473" t="s">
        <v>2173</v>
      </c>
      <c r="E2" s="2267" t="s">
        <v>886</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Ⅷ-04</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8362</v>
      </c>
      <c r="U2" s="2269">
        <f>[3]面积!$D$6</f>
        <v>9281.75</v>
      </c>
      <c r="V2" s="477">
        <f>ROUND(T2*U2/10000,0)</f>
        <v>7761</v>
      </c>
      <c r="W2" s="2262"/>
      <c r="X2" s="2262"/>
      <c r="Y2" s="2262"/>
      <c r="Z2" s="2262"/>
      <c r="AA2" s="2262"/>
      <c r="AB2" s="2262"/>
      <c r="AC2" s="2262"/>
      <c r="AD2" s="2263"/>
      <c r="AE2" s="2263"/>
      <c r="AF2" s="2263"/>
      <c r="AG2" s="2263"/>
      <c r="AH2" s="2263"/>
      <c r="AI2" s="2263"/>
      <c r="AJ2" s="2264"/>
    </row>
    <row r="3" spans="1:36" ht="15.75">
      <c r="A3" s="2265" t="s">
        <v>2177</v>
      </c>
      <c r="B3" s="2265" t="e">
        <f>ROUND(B2*10000/D1,0)</f>
        <v>#DIV/0!</v>
      </c>
      <c r="C3" s="2266" t="s">
        <v>2178</v>
      </c>
      <c r="D3" s="473" t="s">
        <v>2179</v>
      </c>
      <c r="E3" s="2267" t="s">
        <v>2823</v>
      </c>
      <c r="F3" s="2270" t="s">
        <v>3096</v>
      </c>
      <c r="G3" s="2271">
        <f>'[3]数据-汇总表'!$I$6</f>
        <v>2.79</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6445</v>
      </c>
      <c r="U3" s="2269">
        <f>[3]面积!$E$6</f>
        <v>12714.39</v>
      </c>
      <c r="V3" s="477">
        <f t="shared" ref="V3:V16" si="1">ROUND(T3*U3/10000,0)</f>
        <v>8194</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5257</v>
      </c>
      <c r="U4" s="2269">
        <f>[3]面积!$F$6</f>
        <v>12729.39</v>
      </c>
      <c r="V4" s="477">
        <f t="shared" si="1"/>
        <v>6692</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5865</v>
      </c>
      <c r="D5" s="2274">
        <f>ROUND(C6*C17+C20,0)</f>
        <v>5865</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4463</v>
      </c>
      <c r="U5" s="2269">
        <f>[3]面积!$G$6</f>
        <v>12185.89</v>
      </c>
      <c r="V5" s="477">
        <f t="shared" si="1"/>
        <v>5439</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5850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4066</v>
      </c>
      <c r="U6" s="2269">
        <f>[3]面积!$H$6</f>
        <v>5793.95</v>
      </c>
      <c r="V6" s="477">
        <f t="shared" si="1"/>
        <v>2356</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2.79</v>
      </c>
      <c r="AA7" s="2262"/>
      <c r="AB7" s="2262"/>
      <c r="AC7" s="2262"/>
      <c r="AD7" s="2263"/>
      <c r="AE7" s="2263"/>
      <c r="AF7" s="2263"/>
      <c r="AG7" s="2263"/>
      <c r="AH7" s="2263"/>
      <c r="AI7" s="2263"/>
      <c r="AJ7" s="2264"/>
    </row>
    <row r="8" spans="1:36" ht="25.5">
      <c r="A8" s="2294"/>
      <c r="B8" s="473" t="s">
        <v>2195</v>
      </c>
      <c r="C8" s="2267" t="s">
        <v>3097</v>
      </c>
      <c r="D8" s="1062" t="s">
        <v>115</v>
      </c>
      <c r="E8" s="2295" t="e">
        <f>ROUND(C11/E7,4)</f>
        <v>#DIV/0!</v>
      </c>
      <c r="F8" s="2296" t="s">
        <v>2196</v>
      </c>
      <c r="G8" s="2297"/>
      <c r="H8" s="2297"/>
      <c r="I8" s="2297"/>
      <c r="J8" s="2298"/>
      <c r="L8" s="2268" t="s">
        <v>2197</v>
      </c>
      <c r="M8" s="475">
        <f>SUMPRODUCT((区片价!B234:B276=I2)*(区片价!C3:G3=E2)*(区片价!C234:G276))</f>
        <v>5850</v>
      </c>
      <c r="N8" s="473">
        <f>SUMPRODUCT((因素修正幅度!B234:B276=I2)*(因素修正幅度!C3:G3=E2)*(因素修正幅度!C234:G276))</f>
        <v>0.15</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15</v>
      </c>
      <c r="D20" s="3269" t="s">
        <v>2237</v>
      </c>
      <c r="E20" s="3270"/>
      <c r="F20" s="3269" t="s">
        <v>2234</v>
      </c>
      <c r="G20" s="3270"/>
      <c r="H20" s="2347" t="s">
        <v>3098</v>
      </c>
      <c r="I20" s="2347" t="s">
        <v>3099</v>
      </c>
      <c r="J20" s="2989" t="s">
        <v>3100</v>
      </c>
      <c r="K20" s="2347" t="s">
        <v>3101</v>
      </c>
      <c r="L20" s="2347" t="s">
        <v>3102</v>
      </c>
      <c r="M20" s="2347" t="s">
        <v>3103</v>
      </c>
      <c r="N20" s="2347" t="s">
        <v>3104</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五通一平</v>
      </c>
      <c r="E21" s="484">
        <f>SUMPRODUCT((修正!B1:M1=G2)*(修正!B17:M17))</f>
        <v>185</v>
      </c>
      <c r="F21" s="2351" t="s">
        <v>3090</v>
      </c>
      <c r="G21" s="485">
        <f>SUM(H21:O21)</f>
        <v>215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30</v>
      </c>
      <c r="N21" s="482">
        <f>SUMPRODUCT((七通一平=N20)*(修正!B1:M1=G2)*(修正!B8:M16))</f>
        <v>10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44888</v>
      </c>
      <c r="H23" s="2361" t="s">
        <v>3105</v>
      </c>
      <c r="I23" s="2360" t="str">
        <f>IF(H23="季度增幅（自定义）",SUMIF(N25:N28,E2,O25:O28),"")</f>
        <v/>
      </c>
      <c r="J23" s="2982" t="s">
        <v>3092</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0.96</v>
      </c>
      <c r="D24" s="2365" t="s">
        <v>2246</v>
      </c>
      <c r="E24" s="2365">
        <f>存贷款利率!E20/100</f>
        <v>4.3499999999999997E-2</v>
      </c>
      <c r="F24" s="2365" t="s">
        <v>2238</v>
      </c>
      <c r="G24" s="2366">
        <f>SUMIF(M30:Q30,E2,M33:Q33)</f>
        <v>5.5E-2</v>
      </c>
      <c r="H24" s="2365" t="s">
        <v>2247</v>
      </c>
      <c r="I24" s="2367">
        <f>项目基本情况!E15</f>
        <v>35.090000000000003</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3109</v>
      </c>
      <c r="C25" s="491">
        <f>IF(B25="容积率修正",IF(G3&lt;10,D26,J26),C27)</f>
        <v>0</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0.92149999999999999</v>
      </c>
      <c r="E26" s="493">
        <f>ROUNDDOWN(G3,1)</f>
        <v>2.7</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0.92859999999999998</v>
      </c>
      <c r="G26" s="493">
        <f>ROUNDUP(G3,1)</f>
        <v>2.8000000000000003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0.92069999999999996</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0.9446</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30442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7611</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0</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7611</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2712</v>
      </c>
      <c r="D37" s="2420"/>
      <c r="E37" s="473">
        <f>ROUND(C37*D37/10000,0)</f>
        <v>0</v>
      </c>
      <c r="F37" s="473">
        <f>SUMIF(修正!A57:A68,G2,修正!B57:B68)</f>
        <v>0.5</v>
      </c>
      <c r="G37" s="473">
        <f>ROUND(IF(E2="工业",C37*$M$42,C37*$M$41),0)</f>
        <v>678</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1085</v>
      </c>
      <c r="D38" s="2420"/>
      <c r="E38" s="473">
        <f t="shared" ref="E38:E42" si="4">ROUND(C38*D38/10000,0)</f>
        <v>0</v>
      </c>
      <c r="F38" s="473">
        <f>SUMIF(修正!A57:A68,G2,修正!C57:C68)</f>
        <v>0.2</v>
      </c>
      <c r="G38" s="473">
        <f>ROUND(IF(E2="工业",C38*$M$42,C38*$M$41),0)</f>
        <v>271</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1085</v>
      </c>
      <c r="D39" s="2420"/>
      <c r="E39" s="473">
        <f t="shared" si="4"/>
        <v>0</v>
      </c>
      <c r="F39" s="473">
        <f>SUMIF(修正!A57:A68,G2,修正!D57:D68)</f>
        <v>0.2</v>
      </c>
      <c r="G39" s="473">
        <f>ROUND(IF(E2="工业",C39*$M$42,C39*$M$41),0)</f>
        <v>271</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1085</v>
      </c>
      <c r="D40" s="2420"/>
      <c r="E40" s="473">
        <f t="shared" si="4"/>
        <v>0</v>
      </c>
      <c r="F40" s="495">
        <f>SUMIF(修正!A57:A68,G2,修正!E57:E68)</f>
        <v>0.2</v>
      </c>
      <c r="G40" s="473">
        <f>ROUND(IF(E2="工业",C40*$M$42,C40*$M$41),0)</f>
        <v>271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0.9446</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3110</v>
      </c>
      <c r="D51" s="499">
        <f t="shared" ref="D51:D59" si="7">SUMIF($J$50:$N$50,C51,J51:N51)</f>
        <v>-2.2499999999999999E-2</v>
      </c>
      <c r="E51" s="2458">
        <f>ROUND(SUM(D51:D59),4)</f>
        <v>-5.5399999999999998E-2</v>
      </c>
      <c r="F51" s="2329">
        <f>IF(E2="商业",SUMIF(L1:L12,G2,N1:N12),"——")</f>
        <v>0.15</v>
      </c>
      <c r="G51" s="2459">
        <v>2.2499999999999999E-2</v>
      </c>
      <c r="H51" s="2460">
        <f t="shared" ref="H51:H59" si="8">IFERROR(ROUNDDOWN($F$51*I51/2,4),"——")</f>
        <v>2.2499999999999999E-2</v>
      </c>
      <c r="I51" s="499">
        <v>0.3</v>
      </c>
      <c r="J51" s="493">
        <f t="shared" ref="J51:J59" si="9">K51+$G51</f>
        <v>4.4999999999999998E-2</v>
      </c>
      <c r="K51" s="493">
        <f t="shared" ref="K51:K59" si="10">$L51+$G51</f>
        <v>2.2499999999999999E-2</v>
      </c>
      <c r="L51" s="493">
        <v>0</v>
      </c>
      <c r="M51" s="493">
        <f t="shared" ref="M51:N59" si="11">L51-$G51</f>
        <v>-2.2499999999999999E-2</v>
      </c>
      <c r="N51" s="493">
        <f t="shared" si="11"/>
        <v>-4.4999999999999998E-2</v>
      </c>
    </row>
    <row r="52" spans="1:14" s="2259" customFormat="1" ht="38.25">
      <c r="A52" s="2455" t="s">
        <v>2292</v>
      </c>
      <c r="B52" s="499" t="str">
        <f>估价对象房地状况!C18</f>
        <v>估价对象周边道路状况、公共交通通达情况、停车便捷程度，综合评价交通便捷度较好</v>
      </c>
      <c r="C52" s="2325" t="s">
        <v>3110</v>
      </c>
      <c r="D52" s="499">
        <f t="shared" si="7"/>
        <v>-1.6500000000000001E-2</v>
      </c>
      <c r="E52" s="2461"/>
      <c r="F52" s="2402"/>
      <c r="G52" s="2459">
        <v>1.6500000000000001E-2</v>
      </c>
      <c r="H52" s="2460">
        <f t="shared" si="8"/>
        <v>1.6500000000000001E-2</v>
      </c>
      <c r="I52" s="499">
        <v>0.22</v>
      </c>
      <c r="J52" s="493">
        <f t="shared" si="9"/>
        <v>3.3000000000000002E-2</v>
      </c>
      <c r="K52" s="493">
        <f t="shared" si="10"/>
        <v>1.6500000000000001E-2</v>
      </c>
      <c r="L52" s="493">
        <v>0</v>
      </c>
      <c r="M52" s="493">
        <f t="shared" si="11"/>
        <v>-1.6500000000000001E-2</v>
      </c>
      <c r="N52" s="493">
        <f t="shared" si="11"/>
        <v>-3.3000000000000002E-2</v>
      </c>
    </row>
    <row r="53" spans="1:14" s="2259" customFormat="1" ht="36">
      <c r="A53" s="2462" t="s">
        <v>2814</v>
      </c>
      <c r="B53" s="499">
        <f>估价对象房地状况!C19</f>
        <v>0</v>
      </c>
      <c r="C53" s="2325" t="s">
        <v>3110</v>
      </c>
      <c r="D53" s="499">
        <f t="shared" si="7"/>
        <v>-8.9999999999999993E-3</v>
      </c>
      <c r="E53" s="2461"/>
      <c r="F53" s="2402"/>
      <c r="G53" s="2459">
        <v>8.9999999999999993E-3</v>
      </c>
      <c r="H53" s="2460">
        <f t="shared" si="8"/>
        <v>8.9999999999999993E-3</v>
      </c>
      <c r="I53" s="499">
        <v>0.12</v>
      </c>
      <c r="J53" s="493">
        <f t="shared" si="9"/>
        <v>1.7999999999999999E-2</v>
      </c>
      <c r="K53" s="493">
        <f t="shared" si="10"/>
        <v>8.9999999999999993E-3</v>
      </c>
      <c r="L53" s="493">
        <v>0</v>
      </c>
      <c r="M53" s="493">
        <f t="shared" si="11"/>
        <v>-8.9999999999999993E-3</v>
      </c>
      <c r="N53" s="493">
        <f t="shared" si="11"/>
        <v>-1.7999999999999999E-2</v>
      </c>
    </row>
    <row r="54" spans="1:14" s="2259" customFormat="1" ht="36.75">
      <c r="A54" s="2455" t="s">
        <v>2293</v>
      </c>
      <c r="B54" s="2463" t="s">
        <v>2294</v>
      </c>
      <c r="C54" s="2325" t="s">
        <v>3111</v>
      </c>
      <c r="D54" s="499">
        <f t="shared" si="7"/>
        <v>0</v>
      </c>
      <c r="E54" s="2461"/>
      <c r="F54" s="2402"/>
      <c r="G54" s="2459">
        <v>3.7000000000000002E-3</v>
      </c>
      <c r="H54" s="2460">
        <f t="shared" si="8"/>
        <v>3.7000000000000002E-3</v>
      </c>
      <c r="I54" s="499">
        <v>0.05</v>
      </c>
      <c r="J54" s="493">
        <f t="shared" si="9"/>
        <v>7.4000000000000003E-3</v>
      </c>
      <c r="K54" s="493">
        <f t="shared" si="10"/>
        <v>3.7000000000000002E-3</v>
      </c>
      <c r="L54" s="493">
        <v>0</v>
      </c>
      <c r="M54" s="493">
        <f t="shared" si="11"/>
        <v>-3.7000000000000002E-3</v>
      </c>
      <c r="N54" s="493">
        <f t="shared" si="11"/>
        <v>-7.4000000000000003E-3</v>
      </c>
    </row>
    <row r="55" spans="1:14" s="2259" customFormat="1" ht="24">
      <c r="A55" s="2455" t="s">
        <v>2295</v>
      </c>
      <c r="B55" s="499">
        <f>估价对象房地状况!C24</f>
        <v>0</v>
      </c>
      <c r="C55" s="2325" t="s">
        <v>3110</v>
      </c>
      <c r="D55" s="499">
        <f t="shared" si="7"/>
        <v>-6.0000000000000001E-3</v>
      </c>
      <c r="E55" s="2461"/>
      <c r="F55" s="2402"/>
      <c r="G55" s="2459">
        <v>6.0000000000000001E-3</v>
      </c>
      <c r="H55" s="2460">
        <f t="shared" si="8"/>
        <v>6.0000000000000001E-3</v>
      </c>
      <c r="I55" s="499">
        <v>0.08</v>
      </c>
      <c r="J55" s="493">
        <f t="shared" si="9"/>
        <v>1.2E-2</v>
      </c>
      <c r="K55" s="493">
        <f t="shared" si="10"/>
        <v>6.0000000000000001E-3</v>
      </c>
      <c r="L55" s="493">
        <v>0</v>
      </c>
      <c r="M55" s="493">
        <f t="shared" si="11"/>
        <v>-6.0000000000000001E-3</v>
      </c>
      <c r="N55" s="493">
        <f t="shared" si="11"/>
        <v>-1.2E-2</v>
      </c>
    </row>
    <row r="56" spans="1:14" s="2259" customFormat="1" ht="24">
      <c r="A56" s="2455" t="s">
        <v>2296</v>
      </c>
      <c r="B56" s="2464" t="s">
        <v>2297</v>
      </c>
      <c r="C56" s="2325" t="s">
        <v>3111</v>
      </c>
      <c r="D56" s="499">
        <f t="shared" si="7"/>
        <v>0</v>
      </c>
      <c r="E56" s="2461"/>
      <c r="F56" s="2402"/>
      <c r="G56" s="2459">
        <v>3.7000000000000002E-3</v>
      </c>
      <c r="H56" s="2460">
        <f t="shared" si="8"/>
        <v>3.7000000000000002E-3</v>
      </c>
      <c r="I56" s="499">
        <v>0.05</v>
      </c>
      <c r="J56" s="493">
        <f t="shared" si="9"/>
        <v>7.4000000000000003E-3</v>
      </c>
      <c r="K56" s="493">
        <f t="shared" si="10"/>
        <v>3.7000000000000002E-3</v>
      </c>
      <c r="L56" s="493">
        <v>0</v>
      </c>
      <c r="M56" s="493">
        <f t="shared" si="11"/>
        <v>-3.7000000000000002E-3</v>
      </c>
      <c r="N56" s="493">
        <f t="shared" si="11"/>
        <v>-7.4000000000000003E-3</v>
      </c>
    </row>
    <row r="57" spans="1:14" s="2259" customFormat="1" ht="25.5">
      <c r="A57" s="2465" t="s">
        <v>2298</v>
      </c>
      <c r="B57" s="999" t="str">
        <f>估价对象房地状况!C21</f>
        <v>估价对象所在区域公共配套设施齐备情况</v>
      </c>
      <c r="C57" s="2325" t="s">
        <v>3110</v>
      </c>
      <c r="D57" s="499">
        <f t="shared" si="7"/>
        <v>-3.7000000000000002E-3</v>
      </c>
      <c r="E57" s="2461"/>
      <c r="F57" s="2402"/>
      <c r="G57" s="2459">
        <v>3.7000000000000002E-3</v>
      </c>
      <c r="H57" s="2460">
        <f t="shared" si="8"/>
        <v>3.7000000000000002E-3</v>
      </c>
      <c r="I57" s="499">
        <v>0.05</v>
      </c>
      <c r="J57" s="493">
        <f t="shared" si="9"/>
        <v>7.4000000000000003E-3</v>
      </c>
      <c r="K57" s="493">
        <f t="shared" si="10"/>
        <v>3.7000000000000002E-3</v>
      </c>
      <c r="L57" s="493">
        <v>0</v>
      </c>
      <c r="M57" s="493">
        <f t="shared" si="11"/>
        <v>-3.7000000000000002E-3</v>
      </c>
      <c r="N57" s="493">
        <f t="shared" si="11"/>
        <v>-7.4000000000000003E-3</v>
      </c>
    </row>
    <row r="58" spans="1:14" s="2259" customFormat="1" ht="24">
      <c r="A58" s="2465" t="s">
        <v>2299</v>
      </c>
      <c r="B58" s="499" t="str">
        <f>估价对象房地状况!C22</f>
        <v>估价对象所在区域基础设施水平</v>
      </c>
      <c r="C58" s="2325" t="s">
        <v>3112</v>
      </c>
      <c r="D58" s="499">
        <f t="shared" si="7"/>
        <v>6.0000000000000001E-3</v>
      </c>
      <c r="E58" s="2461"/>
      <c r="F58" s="2402"/>
      <c r="G58" s="2459">
        <v>6.0000000000000001E-3</v>
      </c>
      <c r="H58" s="2460">
        <f t="shared" si="8"/>
        <v>6.0000000000000001E-3</v>
      </c>
      <c r="I58" s="499">
        <v>0.08</v>
      </c>
      <c r="J58" s="493">
        <f t="shared" si="9"/>
        <v>1.2E-2</v>
      </c>
      <c r="K58" s="493">
        <f t="shared" si="10"/>
        <v>6.0000000000000001E-3</v>
      </c>
      <c r="L58" s="493">
        <v>0</v>
      </c>
      <c r="M58" s="493">
        <f t="shared" si="11"/>
        <v>-6.0000000000000001E-3</v>
      </c>
      <c r="N58" s="493">
        <f t="shared" si="11"/>
        <v>-1.2E-2</v>
      </c>
    </row>
    <row r="59" spans="1:14" s="2259" customFormat="1" ht="26.25" thickBot="1">
      <c r="A59" s="2466" t="s">
        <v>2300</v>
      </c>
      <c r="B59" s="2467" t="str">
        <f>估价对象房地状况!C20</f>
        <v>区域自然环境：；人文环境；综合评价环境状况一般</v>
      </c>
      <c r="C59" s="2325" t="s">
        <v>3110</v>
      </c>
      <c r="D59" s="499">
        <f t="shared" si="7"/>
        <v>-3.7000000000000002E-3</v>
      </c>
      <c r="E59" s="487"/>
      <c r="F59" s="2402"/>
      <c r="G59" s="2459">
        <v>3.7000000000000002E-3</v>
      </c>
      <c r="H59" s="2460">
        <f t="shared" si="8"/>
        <v>3.7000000000000002E-3</v>
      </c>
      <c r="I59" s="2468">
        <v>0.05</v>
      </c>
      <c r="J59" s="493">
        <f t="shared" si="9"/>
        <v>7.4000000000000003E-3</v>
      </c>
      <c r="K59" s="493">
        <f t="shared" si="10"/>
        <v>3.7000000000000002E-3</v>
      </c>
      <c r="L59" s="493">
        <v>0</v>
      </c>
      <c r="M59" s="493">
        <f t="shared" si="11"/>
        <v>-3.7000000000000002E-3</v>
      </c>
      <c r="N59" s="493">
        <f t="shared" si="11"/>
        <v>-7.4000000000000003E-3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2.79</v>
      </c>
      <c r="C117" s="2365" t="s">
        <v>2318</v>
      </c>
      <c r="D117" s="500">
        <f>SUMPRODUCT((A119:A123=F117)*(B118:M118=H117)*B119:M123)</f>
        <v>0.7984</v>
      </c>
      <c r="E117" s="473" t="s">
        <v>2173</v>
      </c>
      <c r="F117" s="501" t="str">
        <f>E2</f>
        <v>商业</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0.96609999999999996</v>
      </c>
      <c r="C119" s="502">
        <f>B119</f>
        <v>0.96609999999999996</v>
      </c>
      <c r="D119" s="502">
        <f>ROUND(0.949-0.014*B117,4)</f>
        <v>0.90990000000000004</v>
      </c>
      <c r="E119" s="502">
        <f>D119</f>
        <v>0.90990000000000004</v>
      </c>
      <c r="F119" s="502">
        <f>E119</f>
        <v>0.90990000000000004</v>
      </c>
      <c r="G119" s="502">
        <f>F119</f>
        <v>0.90990000000000004</v>
      </c>
      <c r="H119" s="502">
        <f>G119</f>
        <v>0.90990000000000004</v>
      </c>
      <c r="I119" s="502">
        <f>ROUND(0.8486-0.018*B117,4)</f>
        <v>0.7984</v>
      </c>
      <c r="J119" s="502">
        <f t="shared" ref="J119:M122" si="36">I119</f>
        <v>0.7984</v>
      </c>
      <c r="K119" s="502">
        <f t="shared" si="36"/>
        <v>0.7984</v>
      </c>
      <c r="L119" s="502">
        <f t="shared" si="36"/>
        <v>0.7984</v>
      </c>
      <c r="M119" s="504">
        <f t="shared" si="36"/>
        <v>0.7984</v>
      </c>
    </row>
    <row r="120" spans="1:14">
      <c r="A120" s="2413" t="s">
        <v>2230</v>
      </c>
      <c r="B120" s="502">
        <f>ROUND(0.993-0.0112*B117,4)</f>
        <v>0.96179999999999999</v>
      </c>
      <c r="C120" s="502">
        <f>B120</f>
        <v>0.96179999999999999</v>
      </c>
      <c r="D120" s="502">
        <f>ROUND(0.9415-0.0142*B117,4)</f>
        <v>0.90190000000000003</v>
      </c>
      <c r="E120" s="502">
        <f t="shared" ref="E120:H121" si="37">D120</f>
        <v>0.90190000000000003</v>
      </c>
      <c r="F120" s="502">
        <f t="shared" si="37"/>
        <v>0.90190000000000003</v>
      </c>
      <c r="G120" s="502">
        <f t="shared" si="37"/>
        <v>0.90190000000000003</v>
      </c>
      <c r="H120" s="502">
        <f t="shared" si="37"/>
        <v>0.90190000000000003</v>
      </c>
      <c r="I120" s="502">
        <f>ROUND(0.838-0.0182*B117,4)</f>
        <v>0.78720000000000001</v>
      </c>
      <c r="J120" s="502">
        <f t="shared" si="36"/>
        <v>0.78720000000000001</v>
      </c>
      <c r="K120" s="502">
        <f t="shared" si="36"/>
        <v>0.78720000000000001</v>
      </c>
      <c r="L120" s="502">
        <f t="shared" si="36"/>
        <v>0.78720000000000001</v>
      </c>
      <c r="M120" s="504">
        <f t="shared" si="36"/>
        <v>0.78720000000000001</v>
      </c>
    </row>
    <row r="121" spans="1:14">
      <c r="A121" s="2413" t="s">
        <v>2231</v>
      </c>
      <c r="B121" s="502">
        <f>ROUND(0.9448-0.0115*B117,4)</f>
        <v>0.91269999999999996</v>
      </c>
      <c r="C121" s="502">
        <f>B121</f>
        <v>0.91269999999999996</v>
      </c>
      <c r="D121" s="502">
        <f>ROUND(0.937-0.0145*B117,4)</f>
        <v>0.89649999999999996</v>
      </c>
      <c r="E121" s="502">
        <f t="shared" si="37"/>
        <v>0.89649999999999996</v>
      </c>
      <c r="F121" s="502">
        <f t="shared" si="37"/>
        <v>0.89649999999999996</v>
      </c>
      <c r="G121" s="502">
        <f t="shared" si="37"/>
        <v>0.89649999999999996</v>
      </c>
      <c r="H121" s="502">
        <f t="shared" si="37"/>
        <v>0.89649999999999996</v>
      </c>
      <c r="I121" s="502">
        <f>ROUND(0.7965-0.0185*B117,4)</f>
        <v>0.74490000000000001</v>
      </c>
      <c r="J121" s="502">
        <f t="shared" si="36"/>
        <v>0.74490000000000001</v>
      </c>
      <c r="K121" s="502">
        <f t="shared" si="36"/>
        <v>0.74490000000000001</v>
      </c>
      <c r="L121" s="502">
        <f t="shared" si="36"/>
        <v>0.74490000000000001</v>
      </c>
      <c r="M121" s="504">
        <f t="shared" si="36"/>
        <v>0.74490000000000001</v>
      </c>
    </row>
    <row r="122" spans="1:14" ht="13.5" thickBot="1">
      <c r="A122" s="2417" t="s">
        <v>2232</v>
      </c>
      <c r="B122" s="503">
        <f>ROUND(0.7836-0.012*B117,4)</f>
        <v>0.75009999999999999</v>
      </c>
      <c r="C122" s="503">
        <f>B122</f>
        <v>0.75009999999999999</v>
      </c>
      <c r="D122" s="503">
        <f>ROUND(0.753-0.015*B117,4)</f>
        <v>0.71120000000000005</v>
      </c>
      <c r="E122" s="503">
        <f>D122</f>
        <v>0.71120000000000005</v>
      </c>
      <c r="F122" s="503">
        <f>E122</f>
        <v>0.71120000000000005</v>
      </c>
      <c r="G122" s="503">
        <f>ROUND(0.6612-0.018*B117,4)</f>
        <v>0.61099999999999999</v>
      </c>
      <c r="H122" s="503">
        <f>G122</f>
        <v>0.61099999999999999</v>
      </c>
      <c r="I122" s="503">
        <f>ROUND(0.5905-0.019*B117,4)</f>
        <v>0.53749999999999998</v>
      </c>
      <c r="J122" s="503">
        <f t="shared" si="36"/>
        <v>0.53749999999999998</v>
      </c>
      <c r="K122" s="503">
        <f t="shared" si="36"/>
        <v>0.53749999999999998</v>
      </c>
      <c r="L122" s="503">
        <f t="shared" si="36"/>
        <v>0.53749999999999998</v>
      </c>
      <c r="M122" s="505">
        <f t="shared" si="36"/>
        <v>0.53749999999999998</v>
      </c>
    </row>
    <row r="123" spans="1:14">
      <c r="A123" s="2492" t="s">
        <v>2901</v>
      </c>
      <c r="B123" s="502">
        <f>ROUND(0.9404-0.0106*B117,4)</f>
        <v>0.91080000000000005</v>
      </c>
      <c r="C123" s="502">
        <f>B123</f>
        <v>0.91080000000000005</v>
      </c>
      <c r="D123" s="502">
        <f>ROUND(0.8955-0.0135*B117,4)</f>
        <v>0.85780000000000001</v>
      </c>
      <c r="E123" s="502">
        <f t="shared" ref="E123" si="38">D123</f>
        <v>0.85780000000000001</v>
      </c>
      <c r="F123" s="502">
        <f t="shared" ref="F123" si="39">E123</f>
        <v>0.85780000000000001</v>
      </c>
      <c r="G123" s="502">
        <f t="shared" ref="G123" si="40">F123</f>
        <v>0.85780000000000001</v>
      </c>
      <c r="H123" s="502">
        <f t="shared" ref="H123" si="41">G123</f>
        <v>0.85780000000000001</v>
      </c>
      <c r="I123" s="502">
        <f>ROUND(0.7632-0.0166*B117,4)</f>
        <v>0.71689999999999998</v>
      </c>
      <c r="J123" s="502">
        <f t="shared" ref="J123" si="42">I123</f>
        <v>0.71689999999999998</v>
      </c>
      <c r="K123" s="502">
        <f t="shared" ref="K123" si="43">J123</f>
        <v>0.71689999999999998</v>
      </c>
      <c r="L123" s="502">
        <f t="shared" ref="L123" si="44">K123</f>
        <v>0.71689999999999998</v>
      </c>
      <c r="M123" s="504">
        <f t="shared" ref="M123" si="45">L123</f>
        <v>0.71689999999999998</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0.90429999999999999</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0.82320000000000004</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30442</v>
      </c>
      <c r="C2" s="2543" t="s">
        <v>2332</v>
      </c>
      <c r="D2" s="2543" t="s">
        <v>2333</v>
      </c>
      <c r="E2" s="2544">
        <f ca="1">SUMIF(E6:E13,"&lt;&gt;#ref!",E6:E13)</f>
        <v>0</v>
      </c>
      <c r="F2" s="2542"/>
      <c r="G2" s="2542"/>
      <c r="H2" s="2542"/>
      <c r="I2" s="2542"/>
      <c r="J2" s="2542"/>
      <c r="K2" s="2542"/>
      <c r="L2" s="2542"/>
      <c r="M2" s="2542"/>
      <c r="N2" s="2542"/>
      <c r="O2" s="2542"/>
      <c r="P2" s="2542"/>
    </row>
    <row r="3" spans="1:16" ht="15.75">
      <c r="A3" s="2543" t="s">
        <v>2334</v>
      </c>
      <c r="B3" s="1704" t="e">
        <f ca="1">ROUND(B2*10000/E2,0)</f>
        <v>#DIV/0!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30442</v>
      </c>
      <c r="C6" s="2543" t="s">
        <v>2332</v>
      </c>
      <c r="D6" s="2542"/>
      <c r="E6" s="2544">
        <f ca="1">SUMIF(INDIRECT("'"&amp;A6&amp;"'"&amp;"!C:C"),"建筑面积",INDIRECT("'"&amp;A6&amp;"'"&amp;"!D:D"))</f>
        <v>0</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44888</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44888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44889</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t="str">
        <f ca="1">IF(C4&lt;B2,"已过期",1119970066)</f>
        <v>已过期</v>
      </c>
      <c r="C4" s="2806">
        <v>44876</v>
      </c>
      <c r="D4" s="573" t="str">
        <f ca="1">A4&amp;"（注册号："&amp;B4&amp;"）"</f>
        <v>梁津（注册号：已过期）</v>
      </c>
      <c r="E4" s="574" t="s">
        <v>2406</v>
      </c>
      <c r="F4" s="572">
        <f ca="1">IF(G4&lt;B2,"已过期",96010014)</f>
        <v>96010014</v>
      </c>
      <c r="G4" s="2806">
        <v>47118</v>
      </c>
      <c r="H4" s="575" t="str">
        <f ca="1">E4&amp;"（注册号："&amp;F4&amp;"）"</f>
        <v>梁津（注册号：96010014）</v>
      </c>
    </row>
    <row r="5" spans="1:8" ht="24" customHeight="1">
      <c r="A5" s="572" t="s">
        <v>2407</v>
      </c>
      <c r="B5" s="572" t="str">
        <f ca="1">IF(C5&lt;B2,"已过期",1119970111)</f>
        <v>已过期</v>
      </c>
      <c r="C5" s="2806">
        <v>44876</v>
      </c>
      <c r="D5" s="573" t="str">
        <f t="shared" ref="D5:D15" ca="1" si="0">A5&amp;"（注册号："&amp;B5&amp;"）"</f>
        <v>叶凌（注册号：已过期）</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t="str">
        <f ca="1">IF(C7&lt;B2,"已过期",1120000080)</f>
        <v>已过期</v>
      </c>
      <c r="C7" s="2806">
        <v>44876</v>
      </c>
      <c r="D7" s="573" t="str">
        <f t="shared" ca="1" si="0"/>
        <v>欧红伟（注册号：已过期）</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2022-03-25T05:42:40Z</cp:lastPrinted>
  <dcterms:created xsi:type="dcterms:W3CDTF">2015-07-13T07:17:23Z</dcterms:created>
  <dcterms:modified xsi:type="dcterms:W3CDTF">2022-11-24T07:19:46Z</dcterms:modified>
</cp:coreProperties>
</file>