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<sst xmlns="http://schemas.openxmlformats.org/spreadsheetml/2006/main" count="7730" uniqueCount="2652">
  <si>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</si>
  <si>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</si>
  <si>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</si>
  <si>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</si>
  <si>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</si>
  <si>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</si>
  <si>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</si>
  <si>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</si>
  <si>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</si>
  <si>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</si>
  <si>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</si>
  <si>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</si>
  <si>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</si>
  <si>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</si>
  <si>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</si>
  <si>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</si>
  <si>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</si>
  <si>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</si>
  <si>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</si>
  <si>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</si>
  <si>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</si>
  <si>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</si>
  <si>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</si>
  <si>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</si>
  <si>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</si>
  <si>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</si>
  <si>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</si>
  <si>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</si>
  <si>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</si>
  <si>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</si>
  <si>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</si>
  <si>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</si>
  <si>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</si>
  <si>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</si>
  <si>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</si>
  <si>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</si>
  <si>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</si>
  <si>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</si>
  <si>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</si>
  <si>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</si>
  <si>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</si>
  <si>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</si>
  <si>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</si>
  <si>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</si>
  <si>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</si>
  <si>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</si>
  <si>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</si>
  <si>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</si>
  <si>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</si>
  <si>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</si>
  <si>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</si>
  <si>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</si>
  <si>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</si>
  <si>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</si>
  <si>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</si>
  <si>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</si>
  <si>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</si>
  <si>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</si>
  <si>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</si>
  <si>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</si>
  <si>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</si>
  <si>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</si>
  <si>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</si>
  <si>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</si>
  <si>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</si>
  <si>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</si>
  <si>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</si>
  <si>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</si>
  <si>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</si>
  <si>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</si>
  <si>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</si>
  <si>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</si>
  <si>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</si>
  <si>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</si>
  <si>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</si>
  <si>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</si>
  <si>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</si>
  <si>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</si>
  <si>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</si>
  <si>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</si>
  <si>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</si>
  <si>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</si>
  <si>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</si>
  <si>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</si>
  <si>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</si>
  <si>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</si>
  <si>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</si>
  <si>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</si>
  <si>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</si>
  <si>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</si>
  <si>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</si>
  <si>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</si>
  <si>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</si>
  <si>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</si>
  <si>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</si>
  <si>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</si>
  <si>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</si>
  <si>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</si>
  <si>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</si>
  <si>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</si>
  <si>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</si>
  <si>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</si>
  <si>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</si>
  <si>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</si>
  <si>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</si>
  <si>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</si>
  <si>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</si>
  <si>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</si>
  <si>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</si>
  <si>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</si>
  <si>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</si>
  <si>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</si>
  <si>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</si>
  <si>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</si>
  <si>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</si>
  <si>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</si>
  <si>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</si>
  <si>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</si>
  <si>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</si>
  <si>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</si>
  <si>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</si>
  <si>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</si>
  <si>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</si>
  <si>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</si>
  <si>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</si>
  <si>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</si>
  <si>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</si>
  <si>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</si>
  <si>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</si>
  <si>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</si>
  <si>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</si>
  <si>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</si>
  <si>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</si>
  <si>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</si>
  <si>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</si>
  <si>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</si>
  <si>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</si>
  <si>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</si>
  <si>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</si>
  <si>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</si>
  <si>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</si>
  <si>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</si>
  <si>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</si>
  <si>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</si>
  <si>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</si>
  <si>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</si>
  <si>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</si>
  <si>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</si>
  <si>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</si>
  <si>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</si>
  <si>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</si>
  <si>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</si>
  <si>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</si>
  <si>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</si>
  <si>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</si>
  <si>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</si>
  <si>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</si>
  <si>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</si>
  <si>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</si>
  <si>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</si>
  <si>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</si>
  <si>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</si>
  <si>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</si>
  <si>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</si>
  <si>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</si>
  <si>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</si>
  <si>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</si>
  <si>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</si>
  <si>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</si>
  <si>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</si>
  <si>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</si>
  <si>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</si>
  <si>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</si>
  <si>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</si>
  <si>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</si>
  <si>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</si>
  <si>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</si>
  <si>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</si>
  <si>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</si>
  <si>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</si>
  <si>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</si>
  <si>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</si>
  <si>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</si>
  <si>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</si>
  <si>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</si>
  <si>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</si>
  <si>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</si>
  <si>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</si>
  <si>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</si>
  <si>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</si>
  <si>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</si>
  <si>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</si>
  <si>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</si>
  <si>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</si>
  <si>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</si>
  <si>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</si>
  <si>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</si>
  <si>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</si>
  <si>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</si>
  <si>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</si>
  <si>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</si>
  <si>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</si>
  <si>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</si>
  <si>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</si>
  <si>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</si>
  <si>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</si>
  <si>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</si>
  <si>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</si>
  <si>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</si>
  <si>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</si>
  <si>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</si>
  <si>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</si>
  <si>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</si>
  <si>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</si>
  <si>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</si>
  <si>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</si>
  <si>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</si>
  <si>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</si>
  <si>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</si>
  <si>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</si>
  <si>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</si>
  <si>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</si>
  <si>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</si>
  <si>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</si>
  <si>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</si>
  <si>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</si>
  <si>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</si>
  <si>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</si>
  <si>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</si>
  <si>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</si>
  <si>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</si>
  <si>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</si>
  <si>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</si>
  <si>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</si>
  <si>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</si>
  <si>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</si>
  <si>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</si>
  <si>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</si>
  <si>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</si>
  <si>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</si>
  <si>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</si>
  <si>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</si>
  <si>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</si>
  <si>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</si>
  <si>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</si>
  <si>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</si>
  <si>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</si>
  <si>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</si>
  <si>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</si>
  <si>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</si>
  <si>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</si>
  <si>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</si>
  <si>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</si>
  <si>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</si>
  <si>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</si>
  <si>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</si>
  <si>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</si>
  <si>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</si>
  <si>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</si>
  <si>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</si>
  <si>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</si>
  <si>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</si>
  <si>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</si>
  <si>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</si>
  <si>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</si>
  <si>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</si>
  <si>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</si>
  <si>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</si>
  <si>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</si>
  <si>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</si>
  <si>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</si>
  <si>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</si>
  <si>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</si>
  <si>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</si>
  <si>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</si>
  <si>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</si>
  <si>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</si>
  <si>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</si>
  <si>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</si>
  <si>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</si>
  <si>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</si>
  <si>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</si>
  <si>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</si>
  <si>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</si>
  <si>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</si>
  <si>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</si>
  <si>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</si>
  <si>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</si>
  <si>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</si>
  <si>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</si>
  <si>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</si>
  <si>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</si>
  <si>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</si>
  <si>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</si>
  <si>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</si>
  <si>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</si>
  <si>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</si>
  <si>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</si>
  <si>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</si>
  <si>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</si>
  <si>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</si>
  <si>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</si>
  <si>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</si>
  <si>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</si>
  <si>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</si>
  <si>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</si>
  <si>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</si>
  <si>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</si>
  <si>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</si>
  <si>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</si>
  <si>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</si>
  <si>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</si>
  <si>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</si>
  <si>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</si>
  <si>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</si>
  <si>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</si>
  <si>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</si>
  <si>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</si>
  <si>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</si>
  <si>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</si>
  <si>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</si>
  <si>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</si>
  <si>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</si>
  <si>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</si>
  <si>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</si>
  <si>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</si>
  <si>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</si>
  <si>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</si>
  <si>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</si>
  <si>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</si>
  <si>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</si>
  <si>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</si>
  <si>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</si>
  <si>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</si>
  <si>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</si>
  <si>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</si>
  <si>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</si>
  <si>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</si>
  <si>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</si>
  <si>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</si>
  <si>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</si>
  <si>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</si>
  <si>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</si>
  <si>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</si>
  <si>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</si>
  <si>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</si>
  <si>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</si>
  <si>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</si>
  <si>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</si>
  <si>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</si>
  <si>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</si>
  <si>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</si>
  <si>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</si>
  <si>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</si>
  <si>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</si>
  <si>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</si>
  <si>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</si>
  <si>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</si>
  <si>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</si>
  <si>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</si>
  <si>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</si>
  <si>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</si>
  <si>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</si>
  <si>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</si>
  <si>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</si>
  <si>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</si>
  <si>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</si>
  <si>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</si>
  <si>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</si>
  <si>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</si>
  <si>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</si>
  <si>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</si>
  <si>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</si>
  <si>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</si>
  <si>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</si>
  <si>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</si>
  <si>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</si>
  <si>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</si>
  <si>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</si>
  <si>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</si>
  <si>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</si>
  <si>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</si>
  <si>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</si>
  <si>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</si>
  <si>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</si>
  <si>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</si>
  <si>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</si>
  <si>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</si>
  <si>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</si>
  <si>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</si>
  <si>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</si>
  <si>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</si>
  <si>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</si>
  <si>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</si>
  <si>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</si>
  <si>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</si>
  <si>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</si>
  <si>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</si>
  <si>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</si>
  <si>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</si>
  <si>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</si>
  <si>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</si>
  <si>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</si>
  <si>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</si>
  <si>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</si>
  <si>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</si>
  <si>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</si>
  <si>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</si>
  <si>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</si>
  <si>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</si>
  <si>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</si>
  <si>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</si>
  <si>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</si>
  <si>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</si>
  <si>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</si>
  <si>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</si>
  <si>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</si>
  <si>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</si>
  <si>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</si>
  <si>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</si>
  <si>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</si>
  <si>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</si>
  <si>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</si>
  <si>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</si>
  <si>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</si>
  <si>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</si>
  <si>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</si>
  <si>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</si>
  <si>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</si>
  <si>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</si>
  <si>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</si>
  <si>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</si>
  <si>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</si>
  <si>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</si>
  <si>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</si>
  <si>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</si>
  <si>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</si>
  <si>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</si>
  <si>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</si>
  <si>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</si>
  <si>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</si>
  <si>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</si>
  <si>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</si>
  <si>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</si>
  <si>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</si>
  <si>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</si>
  <si>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</si>
  <si>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</si>
  <si>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</si>
  <si>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</si>
  <si>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</si>
  <si>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</si>
  <si>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</si>
  <si>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</si>
  <si>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</si>
  <si>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</si>
  <si>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</si>
  <si>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</si>
  <si>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</si>
  <si>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</si>
  <si>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</si>
  <si>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</si>
  <si>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</si>
  <si>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</si>
  <si>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</si>
  <si>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</si>
  <si>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</si>
  <si>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</si>
  <si>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</si>
  <si>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</si>
  <si>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</si>
  <si>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</si>
  <si>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</si>
  <si>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</si>
  <si>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</si>
  <si>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</si>
  <si>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</si>
  <si>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</si>
  <si>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</si>
  <si>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</si>
  <si>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</si>
  <si>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</si>
  <si>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</si>
  <si>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</si>
  <si>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</si>
  <si>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</si>
  <si>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</si>
  <si>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</si>
  <si>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</si>
  <si>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</si>
  <si>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</si>
  <si>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</si>
  <si>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</si>
  <si>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</si>
  <si>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</si>
  <si>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</si>
  <si>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</si>
  <si>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</si>
  <si>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</si>
  <si>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</si>
  <si>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</si>
  <si>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</si>
  <si>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</si>
  <si>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</si>
  <si>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</si>
  <si>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</si>
  <si>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</si>
  <si>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</si>
  <si>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</si>
  <si>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</si>
  <si>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</si>
  <si>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</si>
  <si>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</si>
  <si>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</si>
  <si>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</si>
  <si>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</si>
  <si>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</si>
  <si>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</si>
  <si>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</si>
  <si>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</si>
  <si>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</si>
  <si>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</si>
  <si>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</si>
  <si>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</si>
  <si>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</si>
  <si>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</si>
  <si>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</si>
  <si>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</si>
  <si>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</si>
  <si>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</si>
  <si>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</si>
  <si>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</si>
  <si>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</si>
  <si>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</si>
  <si>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</si>
  <si>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</si>
  <si>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</si>
  <si>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</si>
  <si>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</si>
  <si>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</si>
  <si>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</si>
  <si>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</si>
  <si>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</si>
  <si>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</si>
  <si>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</si>
  <si>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</si>
  <si>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</si>
  <si>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</si>
  <si>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</si>
  <si>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</si>
  <si>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</si>
  <si>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</si>
  <si>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</si>
  <si>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</si>
  <si>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</si>
  <si>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</si>
  <si>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</si>
  <si>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</si>
  <si>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</si>
  <si>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</si>
  <si>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</si>
  <si>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</si>
  <si>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</si>
  <si>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</si>
  <si>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</si>
  <si>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</si>
  <si>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</si>
  <si>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</si>
  <si>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</si>
  <si>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</si>
  <si>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</si>
  <si>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</si>
  <si>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</si>
  <si>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</si>
  <si>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</si>
  <si>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</si>
  <si>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</si>
  <si>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</si>
  <si>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</si>
  <si>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</si>
  <si>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</si>
  <si>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</si>
  <si>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</si>
  <si>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</si>
  <si>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</si>
  <si>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</si>
  <si>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</si>
  <si>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</si>
  <si>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</si>
  <si>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</si>
  <si>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</si>
  <si>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</si>
  <si>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</si>
  <si>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</si>
  <si>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</si>
  <si>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</si>
  <si>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</si>
  <si>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</si>
  <si>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</si>
  <si>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</si>
  <si>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</si>
  <si>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</si>
  <si>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</si>
  <si>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</si>
  <si>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</si>
  <si>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</si>
  <si>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</si>
  <si>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</si>
  <si>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</si>
  <si>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</si>
  <si>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</si>
  <si>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</si>
  <si>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</si>
  <si>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</si>
  <si>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</si>
  <si>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</si>
  <si>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</si>
  <si>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</si>
  <si>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</si>
  <si>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</si>
  <si>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</si>
  <si>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</si>
  <si>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</si>
  <si>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</si>
  <si>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</si>
  <si>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</si>
  <si>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</si>
  <si>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</si>
  <si>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</si>
  <si>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</si>
  <si>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</si>
  <si>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</si>
  <si>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</si>
  <si>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</si>
  <si>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</si>
  <si>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</si>
  <si>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</si>
  <si>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</si>
  <si>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</si>
  <si>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</si>
  <si>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</si>
  <si>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</si>
  <si>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</si>
  <si>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</si>
  <si>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</si>
  <si>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</si>
  <si>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</si>
  <si>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</si>
  <si>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</si>
  <si>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</si>
  <si>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</si>
  <si>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</si>
  <si>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</si>
  <si>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</si>
  <si>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</si>
  <si>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</si>
  <si>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</si>
  <si>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</si>
  <si>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</si>
  <si>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</si>
  <si>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</si>
  <si>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</si>
  <si>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</si>
  <si>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</si>
  <si>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</si>
  <si>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</si>
  <si>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</si>
  <si>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</si>
  <si>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</si>
  <si>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</si>
  <si>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</si>
  <si>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</si>
  <si>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</si>
  <si>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</si>
  <si>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</si>
  <si>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</si>
  <si>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</si>
  <si>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</si>
  <si>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</si>
  <si>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</si>
  <si>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</si>
  <si>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</si>
  <si>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</si>
  <si>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</si>
  <si>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</si>
  <si>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</si>
  <si>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</si>
  <si>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</si>
  <si>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</si>
  <si>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</si>
  <si>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</si>
  <si>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</si>
  <si>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</si>
  <si>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</si>
  <si>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</si>
  <si>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</si>
  <si>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</si>
  <si>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</si>
  <si>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</si>
  <si>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</si>
  <si>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</si>
  <si>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</si>
  <si>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</si>
  <si>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</si>
  <si>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</si>
  <si>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</si>
  <si>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</si>
  <si>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</si>
  <si>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</si>
  <si>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</si>
  <si>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</si>
  <si>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</si>
  <si>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</si>
  <si>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</si>
  <si>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</si>
  <si>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</si>
  <si>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</si>
  <si>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</si>
  <si>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</si>
  <si>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</si>
  <si>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</si>
  <si>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</si>
  <si>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</si>
  <si>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</si>
  <si>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</si>
  <si>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</si>
  <si>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</si>
  <si>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</si>
  <si>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</si>
  <si>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</si>
  <si>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</si>
  <si>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</si>
  <si>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</si>
  <si>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</si>
  <si>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</si>
  <si>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</si>
  <si>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</si>
  <si>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</si>
  <si>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</si>
  <si>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</si>
  <si>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</si>
  <si>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</si>
  <si>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</si>
  <si>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</si>
  <si>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</si>
  <si>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</si>
  <si>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</si>
  <si>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</si>
  <si>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</si>
  <si>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</si>
  <si>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</si>
  <si>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</si>
  <si>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</si>
  <si>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</si>
  <si>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</si>
  <si>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</si>
  <si>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</si>
  <si>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</si>
  <si>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</si>
  <si>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</si>
  <si>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</si>
  <si>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</si>
  <si>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</si>
  <si>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</si>
  <si>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</si>
  <si>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</si>
  <si>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</si>
  <si>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</si>
  <si>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</si>
  <si>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</si>
  <si>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</si>
  <si>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</si>
  <si>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</si>
  <si>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</si>
  <si>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</si>
  <si>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</si>
  <si>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</si>
  <si>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</si>
  <si>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</si>
  <si>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</si>
  <si>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</si>
  <si>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</si>
  <si>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</si>
  <si>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</si>
  <si>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</si>
  <si>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</si>
  <si>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</si>
  <si>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</si>
  <si>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</si>
  <si>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</si>
  <si>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</si>
  <si>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</si>
  <si>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</si>
  <si>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</si>
  <si>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</si>
  <si>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</si>
  <si>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</si>
  <si>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</si>
  <si>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</si>
  <si>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</si>
  <si>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</si>
  <si>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</si>
  <si>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</si>
  <si>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</si>
  <si>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</si>
  <si>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</si>
  <si>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</si>
  <si>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</si>
  <si>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</si>
  <si>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</si>
  <si>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</si>
  <si>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</si>
  <si>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</si>
  <si>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</si>
  <si>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</si>
  <si>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</si>
  <si>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</si>
  <si>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</si>
  <si>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</si>
  <si>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</si>
  <si>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</si>
  <si>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</si>
  <si>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</si>
  <si>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</si>
  <si>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</si>
  <si>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</si>
  <si>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</si>
  <si>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</si>
  <si>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</si>
  <si>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</si>
  <si>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</si>
  <si>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</si>
  <si>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</si>
  <si>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</si>
  <si>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</si>
  <si>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</si>
  <si>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</si>
  <si>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</si>
  <si>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</si>
  <si>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</si>
  <si>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</si>
  <si>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</si>
  <si>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</si>
  <si>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</si>
  <si>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</si>
  <si>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</si>
  <si>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</si>
  <si>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</si>
  <si>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</si>
  <si>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</si>
  <si>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</si>
  <si>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</si>
  <si>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</si>
  <si>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</si>
  <si>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</si>
  <si>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</si>
  <si>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</si>
  <si>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</si>
  <si>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</si>
  <si>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</si>
  <si>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</si>
  <si>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</si>
  <si>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</si>
  <si>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</si>
  <si>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</si>
  <si>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</si>
  <si>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</si>
  <si>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</si>
  <si>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</si>
  <si>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</si>
  <si>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</si>
  <si>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</si>
  <si>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</si>
  <si>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</si>
  <si>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</si>
  <si>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</si>
  <si>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</si>
  <si>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</si>
  <si>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</si>
  <si>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</si>
  <si>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</si>
  <si>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</si>
  <si>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</si>
  <si>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</si>
  <si>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</si>
  <si>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</si>
  <si>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</si>
  <si>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</si>
  <si>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</si>
  <si>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</si>
  <si>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</si>
  <si>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</si>
  <si>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</si>
  <si>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</si>
  <si>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</si>
  <si>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</si>
  <si>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</si>
  <si>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</si>
  <si>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</si>
  <si>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</si>
  <si>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</si>
  <si>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</si>
  <si>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</si>
  <si>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</si>
  <si>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</si>
  <si>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</si>
  <si>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</si>
  <si>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</si>
  <si>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</si>
  <si>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</si>
  <si>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</si>
  <si>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</si>
  <si>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</si>
  <si>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</si>
  <si>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</si>
  <si>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</si>
  <si>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</si>
  <si>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</si>
  <si>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</si>
  <si>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</si>
  <si>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</si>
  <si>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</si>
  <si>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</si>
  <si>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</si>
  <si>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</si>
  <si>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</si>
  <si>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</si>
  <si>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</si>
  <si>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</si>
  <si>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</si>
  <si>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</si>
  <si>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</si>
  <si>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</si>
  <si>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</si>
  <si>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</si>
  <si>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</si>
  <si>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</si>
  <si>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</si>
  <si>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</si>
  <si>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</si>
  <si>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</si>
  <si>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</si>
  <si>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</si>
  <si>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</si>
  <si>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</si>
  <si>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</si>
  <si>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</si>
  <si>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</si>
  <si>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</si>
  <si>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</si>
  <si>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</si>
  <si>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</si>
  <si>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</si>
  <si>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</si>
  <si>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</si>
  <si>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</si>
  <si>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</si>
  <si>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</si>
  <si>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</si>
  <si>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</si>
  <si>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</si>
  <si>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</si>
  <si>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</si>
  <si>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</si>
  <si>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</si>
  <si>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</si>
  <si>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</si>
  <si>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</si>
  <si>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</si>
  <si>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</si>
  <si>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</si>
  <si>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</si>
  <si>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</si>
  <si>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</si>
  <si>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</si>
  <si>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</si>
  <si>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</si>
  <si>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</si>
  <si>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</si>
  <si>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</si>
  <si>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</si>
  <si>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</si>
  <si>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</si>
  <si>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</si>
  <si>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</si>
  <si>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</si>
  <si>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</si>
  <si>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</si>
  <si>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</si>
  <si>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</si>
  <si>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</si>
  <si>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</si>
  <si>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</si>
  <si>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</si>
  <si>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</si>
  <si>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</si>
  <si>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</si>
  <si>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</si>
  <si>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</si>
  <si>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</si>
  <si>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</si>
  <si>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</si>
  <si>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</si>
  <si>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</si>
  <si>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</si>
  <si>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</si>
  <si>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</si>
  <si>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</si>
  <si>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</si>
  <si>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</si>
  <si>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</si>
  <si>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</si>
  <si>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</si>
  <si>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</si>
  <si>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</si>
  <si>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</si>
  <si>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</si>
  <si>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</si>
  <si>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</si>
  <si>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</si>
  <si>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</si>
  <si>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</si>
  <si>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</si>
  <si>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</si>
  <si>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</si>
  <si>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</si>
  <si>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</si>
  <si>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</si>
  <si>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</si>
  <si>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</si>
  <si>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</si>
  <si>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</si>
  <si>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</si>
  <si>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</si>
  <si>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</si>
  <si>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</si>
  <si>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</si>
  <si>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</si>
  <si>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</si>
  <si>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</si>
  <si>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</si>
  <si>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</si>
  <si>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</si>
  <si>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</si>
  <si>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</si>
  <si>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</si>
  <si>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</si>
  <si>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</si>
  <si>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</si>
  <si>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</si>
  <si>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</si>
  <si>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</si>
  <si>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</si>
  <si>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</si>
  <si>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</si>
  <si>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</si>
  <si>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</si>
  <si>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</si>
  <si>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</si>
  <si>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</si>
  <si>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</si>
  <si>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</si>
  <si>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</si>
  <si>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</si>
  <si>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</si>
  <si>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</si>
  <si>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</si>
  <si>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</si>
  <si>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</si>
  <si>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</si>
  <si>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</si>
  <si>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</si>
  <si>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</si>
  <si>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</si>
  <si>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</si>
  <si>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</si>
  <si>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</si>
  <si>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</si>
  <si>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</si>
  <si>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</si>
  <si>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</si>
  <si>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</si>
  <si>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</si>
  <si>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</si>
  <si>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</si>
  <si>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</si>
  <si>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</si>
  <si>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</si>
  <si>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</si>
  <si>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</si>
  <si>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</si>
  <si>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</si>
  <si>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</si>
  <si>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</si>
  <si>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</si>
  <si>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</si>
  <si>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</si>
  <si>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</si>
  <si>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</si>
  <si>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</si>
  <si>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</si>
  <si>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</si>
  <si>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</si>
  <si>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</si>
  <si>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</si>
  <si>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</si>
  <si>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</si>
  <si>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</si>
  <si>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</si>
  <si>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</si>
  <si>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</si>
  <si>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</si>
  <si>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</si>
  <si>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</si>
  <si>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</si>
  <si>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</si>
  <si>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</si>
  <si>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</si>
  <si>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</si>
  <si>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</si>
  <si>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</si>
  <si>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</si>
  <si>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</si>
  <si>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</si>
  <si>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</si>
  <si>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</si>
  <si>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</si>
  <si>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</si>
  <si>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</si>
  <si>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</si>
  <si>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</si>
  <si>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</si>
  <si>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</si>
  <si>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</si>
  <si>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</si>
  <si>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</si>
  <si>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</si>
  <si>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</si>
  <si>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</si>
  <si>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</si>
  <si>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</si>
  <si>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</si>
  <si>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</si>
  <si>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</si>
  <si>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</si>
  <si>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</si>
  <si>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</si>
  <si>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</si>
  <si>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</si>
  <si>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</si>
  <si>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</si>
  <si>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</si>
  <si>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</si>
  <si>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</si>
  <si>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</si>
  <si>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</si>
  <si>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</si>
  <si>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</si>
  <si>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</si>
  <si>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</si>
  <si>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</si>
  <si>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</si>
  <si>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</si>
  <si>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</si>
  <si>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</si>
  <si>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</si>
  <si>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</si>
  <si>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</si>
  <si>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</si>
  <si>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</si>
  <si>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</si>
  <si>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</si>
  <si>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</si>
  <si>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</si>
  <si>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</si>
  <si>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</si>
  <si>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</si>
  <si>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</si>
  <si>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</si>
  <si>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</si>
  <si>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</si>
  <si>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</si>
  <si>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</si>
  <si>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</si>
  <si>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</si>
  <si>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</si>
  <si>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</si>
  <si>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</si>
  <si>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</si>
  <si>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</si>
  <si>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</si>
  <si>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</si>
  <si>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</si>
  <si>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</si>
  <si>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</si>
  <si>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</si>
  <si>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</si>
  <si>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</si>
  <si>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</si>
  <si>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</si>
  <si>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</si>
  <si>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</si>
  <si>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</si>
  <si>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</si>
  <si>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</si>
  <si>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</si>
  <si>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</si>
  <si>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</si>
  <si>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</si>
  <si>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</si>
  <si>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</si>
  <si>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</si>
  <si>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</si>
  <si>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</si>
  <si>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</si>
  <si>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</si>
  <si>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</si>
  <si>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</si>
  <si>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</si>
  <si>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</si>
  <si>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</si>
  <si>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</si>
  <si>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</si>
  <si>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</si>
  <si>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</si>
  <si>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</si>
  <si>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</si>
  <si>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</si>
  <si>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</si>
  <si>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</si>
  <si>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</si>
  <si>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</si>
  <si>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</si>
  <si>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</si>
  <si>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</si>
  <si>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</si>
  <si>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</si>
  <si>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</si>
  <si>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</si>
  <si>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</si>
  <si>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</si>
  <si>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</si>
  <si>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</si>
  <si>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</si>
  <si>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</si>
  <si>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</si>
  <si>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</si>
  <si>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</si>
  <si>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</si>
  <si>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</si>
  <si>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</si>
  <si>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</si>
  <si>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</si>
  <si>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</si>
  <si>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</si>
  <si>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</si>
  <si>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</si>
  <si>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</si>
  <si>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</si>
  <si>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</si>
  <si>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</si>
  <si>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</si>
  <si>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</si>
  <si>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</si>
  <si>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</si>
  <si>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</si>
  <si>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</si>
  <si>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</si>
  <si>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</si>
  <si>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</si>
  <si>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</si>
  <si>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</si>
  <si>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</si>
  <si>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</si>
  <si>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</si>
  <si>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</si>
  <si>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</si>
  <si>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</si>
  <si>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</si>
  <si>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</si>
  <si>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</si>
  <si>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</si>
  <si>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</si>
  <si>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</si>
  <si>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</si>
  <si>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</si>
  <si>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</si>
  <si>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</si>
  <si>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</si>
  <si>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</si>
  <si>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</si>
  <si>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</si>
  <si>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</si>
  <si>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</si>
  <si>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</si>
  <si>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</si>
  <si>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</si>
  <si>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</si>
  <si>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</si>
  <si>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</si>
  <si>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</si>
  <si>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</si>
  <si>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</si>
  <si>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</si>
  <si>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</si>
  <si>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</si>
  <si>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</si>
  <si>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</si>
  <si>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</si>
  <si>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</si>
  <si>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</si>
  <si>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</si>
  <si>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</si>
  <si>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</si>
  <si>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</si>
  <si>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</si>
  <si>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</si>
  <si>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</si>
  <si>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</si>
  <si>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</si>
  <si>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</si>
  <si>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</si>
  <si>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</si>
  <si>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</si>
  <si>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</si>
  <si>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</si>
  <si>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</si>
  <si>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</si>
  <si>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</si>
  <si>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</si>
  <si>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</si>
  <si>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</si>
  <si>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</si>
  <si>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</si>
  <si>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</si>
  <si>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</si>
  <si>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</si>
  <si>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</si>
  <si>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</si>
  <si>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</si>
  <si>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</si>
  <si>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</si>
  <si>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</si>
  <si>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</si>
  <si>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</si>
  <si>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</si>
  <si>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</si>
  <si>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</si>
  <si>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</si>
  <si>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</si>
  <si>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</si>
  <si>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</si>
  <si>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</si>
  <si>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</si>
  <si>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</si>
  <si>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</si>
  <si>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</si>
  <si>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</si>
  <si>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</si>
  <si>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</si>
  <si>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</si>
  <si>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</si>
  <si>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</si>
  <si>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</si>
  <si>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</si>
  <si>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</si>
  <si>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</si>
  <si>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</si>
  <si>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</si>
  <si>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</si>
  <si>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</si>
  <si>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</si>
  <si>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</si>
  <si>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</si>
  <si>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</si>
  <si>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</si>
  <si>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</si>
  <si>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</si>
  <si>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</si>
  <si>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</si>
  <si>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</si>
  <si>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</si>
  <si>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</si>
  <si>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</si>
  <si>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</si>
  <si>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</si>
  <si>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</si>
  <si>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</si>
  <si>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</si>
  <si>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</si>
  <si>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</si>
  <si>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</si>
  <si>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</si>
  <si>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</si>
  <si>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</si>
  <si>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</si>
  <si>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</si>
  <si>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</si>
  <si>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</si>
  <si>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</si>
  <si>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</si>
  <si>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</si>
  <si>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</si>
  <si>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</si>
  <si>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</si>
  <si>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</si>
  <si>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</si>
  <si>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</si>
  <si>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</si>
  <si>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</si>
  <si>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</si>
  <si>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</si>
  <si>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</si>
  <si>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</si>
  <si>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</si>
  <si>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</si>
  <si>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</si>
  <si>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</si>
  <si>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</si>
  <si>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</si>
  <si>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</si>
  <si>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</si>
  <si>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</si>
  <si>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</si>
  <si>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</si>
  <si>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</si>
  <si>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</si>
  <si>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</si>
  <si>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</si>
  <si>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</si>
  <si>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</si>
  <si>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</si>
  <si>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</si>
  <si>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</si>
  <si>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</si>
  <si>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</si>
  <si>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</si>
  <si>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</si>
  <si>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</si>
  <si>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</si>
  <si>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</si>
  <si>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</si>
  <si>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</si>
  <si>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</si>
  <si>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</si>
  <si>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</si>
  <si>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</si>
  <si>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</si>
  <si>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</si>
  <si>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</si>
  <si>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</si>
  <si>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</si>
  <si>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</si>
  <si>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</si>
  <si>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</si>
  <si>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</si>
  <si>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</si>
  <si>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</si>
  <si>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</si>
  <si>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</si>
  <si>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</si>
  <si>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</si>
  <si>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</si>
  <si>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</si>
  <si>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</si>
  <si>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</si>
  <si>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</si>
  <si>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</si>
  <si>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</si>
  <si>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</si>
  <si>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</si>
  <si>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</si>
  <si>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</si>
  <si>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</si>
  <si>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</si>
  <si>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</si>
  <si>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</si>
  <si>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</si>
  <si>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</si>
  <si>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</si>
  <si>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</si>
  <si>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</si>
  <si>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</si>
  <si>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</si>
  <si>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</si>
  <si>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</si>
  <si>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</si>
  <si>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</si>
  <si>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</si>
  <si>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</si>
  <si>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</si>
  <si>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</si>
  <si>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</si>
  <si>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</si>
  <si>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</si>
  <si>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</si>
  <si>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</si>
  <si>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</si>
  <si>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</si>
  <si>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</si>
  <si>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</si>
  <si>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</si>
  <si>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</si>
  <si>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</si>
  <si>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</si>
  <si>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</si>
  <si>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</si>
  <si>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</si>
  <si>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</si>
  <si>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</si>
  <si>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</si>
  <si>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</si>
  <si>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</si>
  <si>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</si>
  <si>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</si>
  <si>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</si>
  <si>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</si>
  <si>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</si>
  <si>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</si>
  <si>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</si>
  <si>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</si>
  <si>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</si>
  <si>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</si>
  <si>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</si>
  <si>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</si>
  <si>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</si>
  <si>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</si>
  <si>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</si>
  <si>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</si>
  <si>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</si>
  <si>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</si>
  <si>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</si>
  <si>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</si>
  <si>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</si>
  <si>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</si>
  <si>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</si>
  <si>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</si>
  <si>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</si>
  <si>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</si>
  <si>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</si>
  <si>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</si>
  <si>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</si>
  <si>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</si>
  <si>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</si>
  <si>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</si>
  <si>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</si>
  <si>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</si>
  <si>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</si>
  <si>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</si>
  <si>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</si>
  <si>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</si>
  <si>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</si>
  <si>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</si>
  <si>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</si>
  <si>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</si>
  <si>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</si>
  <si>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</si>
  <si>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</si>
  <si>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</si>
  <si>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</si>
  <si>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</si>
  <si>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</si>
  <si>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</si>
  <si>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</si>
  <si>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</si>
  <si>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</si>
  <si>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</si>
  <si>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</si>
  <si>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</si>
  <si>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</si>
  <si>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</si>
  <si>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</si>
  <si>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</si>
  <si>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</si>
  <si>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</si>
  <si>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</si>
  <si>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</si>
  <si>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</si>
  <si>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</si>
  <si>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</si>
  <si>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</si>
  <si>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</si>
  <si>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</si>
  <si>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</si>
  <si>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</si>
  <si>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</si>
  <si>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</si>
  <si>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</si>
  <si>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</si>
  <si>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</si>
  <si>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</si>
  <si>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</si>
  <si>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</si>
  <si>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</si>
  <si>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</si>
  <si>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</si>
  <si>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</si>
  <si>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</si>
  <si>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</si>
  <si>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</si>
  <si>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</si>
  <si>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</si>
  <si>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</si>
  <si>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</si>
  <si>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</si>
  <si>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</si>
  <si>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</si>
  <si>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</si>
  <si>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</si>
  <si>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</si>
  <si>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</si>
  <si>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</si>
  <si>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</si>
  <si>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</si>
  <si>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</si>
  <si>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</si>
  <si>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</si>
  <si>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</si>
  <si>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</si>
  <si>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</si>
  <si>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</si>
  <si>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</si>
  <si>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</si>
  <si>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</si>
  <si>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</si>
  <si>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</si>
  <si>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</si>
  <si>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</si>
  <si>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</si>
  <si>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</si>
  <si>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</si>
  <si>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</si>
  <si>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</si>
  <si>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</si>
  <si>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</si>
  <si>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</si>
  <si>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</si>
  <si>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</si>
  <si>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</si>
  <si>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</si>
  <si>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</si>
  <si>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</si>
  <si>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</si>
  <si>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</si>
  <si>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</si>
  <si>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</si>
  <si>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</si>
  <si>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</si>
  <si>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</si>
  <si>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</si>
  <si>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</si>
  <si>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</si>
  <si>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</si>
  <si>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</si>
  <si>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</si>
  <si>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</si>
  <si>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</si>
  <si>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</si>
  <si>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</si>
  <si>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</si>
  <si>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</si>
  <si>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</si>
  <si>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</si>
  <si>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</si>
  <si>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</si>
  <si>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</si>
  <si>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</si>
  <si>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</si>
  <si>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</si>
  <si>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</si>
  <si>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</si>
  <si>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</si>
  <si>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</si>
  <si>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</si>
  <si>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</si>
  <si>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</si>
  <si>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</si>
  <si>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</si>
  <si>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</si>
  <si>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</si>
  <si>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</si>
  <si>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</si>
  <si>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</si>
  <si>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</si>
  <si>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</si>
  <si>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</si>
  <si>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</si>
  <si>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</si>
  <si>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</si>
  <si>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</si>
  <si>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</si>
  <si>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</si>
  <si>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</si>
  <si>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</si>
  <si>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</si>
  <si>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</si>
  <si>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</si>
  <si>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</si>
  <si>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</si>
  <si>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</si>
  <si>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</si>
  <si>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</si>
  <si>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</si>
  <si>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</si>
  <si>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</si>
  <si>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</si>
  <si>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</si>
  <si>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</si>
  <si>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</si>
  <si>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</si>
  <si>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</si>
  <si>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</si>
  <si>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</si>
  <si>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</si>
  <si>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</si>
  <si>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</si>
  <si>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</si>
  <si>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</si>
  <si>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</si>
  <si>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</si>
  <si>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</si>
  <si>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</si>
  <si>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</si>
  <si>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</si>
  <si>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</si>
  <si>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</si>
  <si>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</si>
  <si>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</si>
  <si>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</si>
  <si>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</si>
  <si>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</si>
  <si>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</si>
  <si>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</si>
  <si>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</si>
  <si>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</si>
  <si>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</si>
  <si>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</si>
  <si>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</si>
  <si>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</si>
  <si>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</si>
  <si>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</si>
  <si>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</si>
  <si>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</si>
  <si>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</si>
  <si>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</si>
  <si>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</si>
  <si>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</si>
  <si>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</si>
  <si>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</si>
  <si>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</si>
  <si>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</si>
  <si>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</si>
  <si>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</si>
  <si>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</si>
  <si>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</si>
  <si>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</si>
  <si>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</si>
  <si>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</si>
  <si>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</si>
  <si>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</si>
  <si>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</si>
  <si>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</si>
  <si>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</si>
  <si>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</si>
  <si>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</si>
  <si>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</si>
  <si>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</si>
  <si>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</si>
  <si>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</si>
  <si>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</si>
  <si>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</si>
  <si>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</si>
  <si>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</si>
  <si>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</si>
  <si>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通热</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</si>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</sst>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_);[Red]\(0.00\)"/>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8" tint="0.4"/>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5" borderId="175" applyNumberFormat="0" applyFont="0" applyAlignment="0" applyProtection="0">
      <alignment vertical="center"/>
    </xf>
    <xf numFmtId="176" fontId="0" fillId="0" borderId="0"/>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6" fontId="157" fillId="0" borderId="0">
      <alignment vertical="center"/>
    </xf>
    <xf numFmtId="0" fontId="158" fillId="0" borderId="176" applyNumberFormat="0" applyFill="0" applyAlignment="0" applyProtection="0">
      <alignment vertical="center"/>
    </xf>
    <xf numFmtId="0" fontId="159" fillId="0" borderId="176" applyNumberFormat="0" applyFill="0" applyAlignment="0" applyProtection="0">
      <alignment vertical="center"/>
    </xf>
    <xf numFmtId="0" fontId="150" fillId="27" borderId="0" applyNumberFormat="0" applyBorder="0" applyAlignment="0" applyProtection="0">
      <alignment vertical="center"/>
    </xf>
    <xf numFmtId="0" fontId="153" fillId="0" borderId="177" applyNumberFormat="0" applyFill="0" applyAlignment="0" applyProtection="0">
      <alignment vertical="center"/>
    </xf>
    <xf numFmtId="0" fontId="150" fillId="10" borderId="0" applyNumberFormat="0" applyBorder="0" applyAlignment="0" applyProtection="0">
      <alignment vertical="center"/>
    </xf>
    <xf numFmtId="0" fontId="160" fillId="28" borderId="178" applyNumberFormat="0" applyAlignment="0" applyProtection="0">
      <alignment vertical="center"/>
    </xf>
    <xf numFmtId="0" fontId="161" fillId="28" borderId="174" applyNumberFormat="0" applyAlignment="0" applyProtection="0">
      <alignment vertical="center"/>
    </xf>
    <xf numFmtId="0" fontId="162" fillId="29" borderId="179" applyNumberFormat="0" applyAlignment="0" applyProtection="0">
      <alignment vertical="center"/>
    </xf>
    <xf numFmtId="0" fontId="163" fillId="0" borderId="180" applyNumberFormat="0" applyFill="0" applyAlignment="0" applyProtection="0">
      <alignment vertical="center"/>
    </xf>
    <xf numFmtId="176"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1" applyNumberFormat="0" applyFill="0" applyAlignment="0" applyProtection="0">
      <alignment vertical="center"/>
    </xf>
    <xf numFmtId="0" fontId="165" fillId="32" borderId="0" applyNumberFormat="0" applyBorder="0" applyAlignment="0" applyProtection="0">
      <alignment vertical="center"/>
    </xf>
    <xf numFmtId="176" fontId="0" fillId="0" borderId="0">
      <alignment vertical="center"/>
    </xf>
    <xf numFmtId="176" fontId="0" fillId="0" borderId="0">
      <alignment vertical="center"/>
    </xf>
    <xf numFmtId="0" fontId="166" fillId="33" borderId="0" applyNumberFormat="0" applyBorder="0" applyAlignment="0" applyProtection="0">
      <alignment vertical="center"/>
    </xf>
    <xf numFmtId="176"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176"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0" fillId="6" borderId="0" applyNumberFormat="0" applyBorder="0" applyAlignment="0" applyProtection="0">
      <alignment vertical="center"/>
    </xf>
    <xf numFmtId="0" fontId="150" fillId="45" borderId="0" applyNumberFormat="0" applyBorder="0" applyAlignment="0" applyProtection="0">
      <alignment vertical="center"/>
    </xf>
    <xf numFmtId="176" fontId="0" fillId="0" borderId="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16"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7" borderId="134" xfId="62" applyNumberFormat="1" applyFont="1" applyFill="1" applyBorder="1" applyAlignment="1" applyProtection="1">
      <alignment vertical="center"/>
      <protection locked="0"/>
    </xf>
    <xf numFmtId="0" fontId="42" fillId="17"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6" fillId="2" borderId="2" xfId="60" applyNumberFormat="1" applyFont="1" applyFill="1" applyBorder="1" applyAlignment="1" applyProtection="1">
      <alignment vertical="center"/>
    </xf>
    <xf numFmtId="177" fontId="76"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left" vertical="center" wrapText="1"/>
      <protection locked="0"/>
    </xf>
    <xf numFmtId="177" fontId="76" fillId="2" borderId="14" xfId="60" applyNumberFormat="1" applyFont="1" applyFill="1" applyBorder="1" applyAlignment="1" applyProtection="1">
      <alignment vertical="center"/>
    </xf>
    <xf numFmtId="182"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2"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8" fontId="76"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9" fontId="93"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9"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7"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60" applyNumberFormat="1" applyFont="1" applyFill="1" applyBorder="1" applyAlignment="1" applyProtection="1">
      <alignment horizontal="center" vertical="center"/>
    </xf>
    <xf numFmtId="179"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8" fontId="76" fillId="2" borderId="2" xfId="0" applyNumberFormat="1" applyFont="1" applyFill="1" applyBorder="1" applyAlignment="1" applyProtection="1">
      <alignment horizontal="center" vertical="center" wrapText="1"/>
    </xf>
    <xf numFmtId="178" fontId="76" fillId="0" borderId="17" xfId="0" applyNumberFormat="1" applyFont="1" applyFill="1" applyBorder="1" applyAlignment="1" applyProtection="1">
      <alignment horizontal="center" vertical="center" wrapText="1"/>
      <protection locked="0"/>
    </xf>
    <xf numFmtId="178" fontId="76" fillId="2" borderId="17" xfId="0" applyNumberFormat="1" applyFont="1" applyFill="1" applyBorder="1" applyAlignment="1" applyProtection="1">
      <alignment horizontal="center" vertical="center" wrapText="1"/>
    </xf>
    <xf numFmtId="178"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6"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6" fillId="2" borderId="9" xfId="0" applyNumberFormat="1"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8"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8"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8"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9"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0"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1"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1"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北京市房地产抵押价值预评估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受贵公司委托，我公司对北京市房地产抵押价值进行了预评估。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19" customFormat="1" spans="1:2">
      <c r="A12" s="3227" t="s">
        <v>12</v>
      </c>
      <c r="B12" s="3228" t="str">
        <f>'预评函-1'!A15</f>
        <v>2022年11月23日</v>
      </c>
    </row>
    <row r="13" s="3219" customFormat="1" spans="1:2">
      <c r="A13" s="3227" t="s">
        <v>13</v>
      </c>
      <c r="B13" s="3228"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2.本《评估意见函》仅供金融机构进行内部审核使用，不做其他目的之用。</v>
      </c>
    </row>
    <row r="59" s="3219" customFormat="1" spans="1:2">
      <c r="A59" s="3227" t="s">
        <v>59</v>
      </c>
      <c r="B59" s="3228" t="str">
        <f>'预评函-4'!A13</f>
        <v>3.抵押双方在办理抵押登记手续时，应使用本公司出具的正式《房地产评估报告》，特提醒报告使用者注意。</v>
      </c>
    </row>
    <row r="60" s="3219" customFormat="1" spans="1:2">
      <c r="A60" s="3227" t="s">
        <v>60</v>
      </c>
      <c r="B60" s="3228" t="str">
        <f>'预评函-4'!A14</f>
        <v>4.本次评估估价师所知悉的法定优先受偿款情况说明如下：</v>
      </c>
    </row>
    <row r="61" s="3219" customFormat="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故，本次评估不存在估价师知悉的法定优先受偿款</v>
      </c>
    </row>
    <row r="65" s="3219" customFormat="1"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12962962963"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796296296296" style="2919" customWidth="1"/>
    <col min="2" max="2" width="10" style="2919" customWidth="1"/>
    <col min="3" max="3" width="11.4444444444444" style="2919" customWidth="1"/>
    <col min="4" max="4" width="12.212962962963"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北京市房地产抵押价值预评估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44888</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t="s">
        <v>322</v>
      </c>
      <c r="C8" s="2947"/>
      <c r="D8" s="2948" t="s">
        <v>344</v>
      </c>
      <c r="E8" s="2949" t="s">
        <v>327</v>
      </c>
      <c r="F8" s="2950"/>
      <c r="G8" s="2930"/>
      <c r="H8" s="2930"/>
      <c r="I8" s="2930"/>
      <c r="J8" s="2476"/>
      <c r="K8" s="3040"/>
      <c r="L8" s="3039"/>
      <c r="M8" s="3039"/>
      <c r="N8" s="2476"/>
      <c r="O8" s="3039"/>
      <c r="P8" s="2476"/>
      <c r="Q8" s="2476"/>
      <c r="R8" s="2476"/>
    </row>
    <row r="9" ht="13.95" spans="1:18">
      <c r="A9" s="2951" t="s">
        <v>345</v>
      </c>
      <c r="B9" s="2952" t="s">
        <v>327</v>
      </c>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6"/>
      <c r="B13" s="2969"/>
      <c r="C13" s="2970" t="s">
        <v>360</v>
      </c>
      <c r="D13" s="2971"/>
      <c r="E13" s="2971"/>
      <c r="F13" s="2972">
        <v>56957</v>
      </c>
      <c r="G13" s="2971"/>
      <c r="H13" s="2971"/>
      <c r="I13" s="2971"/>
      <c r="J13" s="2476"/>
      <c r="K13" s="3038"/>
      <c r="L13" s="3039"/>
      <c r="M13" s="3039"/>
      <c r="N13" s="2476"/>
      <c r="O13" s="3039"/>
      <c r="P13" s="2476"/>
      <c r="Q13" s="2476"/>
      <c r="R13" s="2476"/>
    </row>
    <row r="14" spans="1:18">
      <c r="A14" s="1796"/>
      <c r="B14" s="2969"/>
      <c r="C14" s="2970" t="s">
        <v>361</v>
      </c>
      <c r="D14" s="2973"/>
      <c r="E14" s="2973"/>
      <c r="F14" s="2973">
        <v>50</v>
      </c>
      <c r="G14" s="2973"/>
      <c r="H14" s="2973"/>
      <c r="I14" s="2973"/>
      <c r="J14" s="2476"/>
      <c r="K14" s="3038"/>
      <c r="L14" s="3039"/>
      <c r="M14" s="3039"/>
      <c r="N14" s="2476"/>
      <c r="O14" s="3039"/>
      <c r="P14" s="2476"/>
      <c r="Q14" s="2476"/>
      <c r="R14" s="2476"/>
    </row>
    <row r="15" spans="1:18">
      <c r="A15" s="1803"/>
      <c r="B15" s="2974"/>
      <c r="C15" s="2975" t="s">
        <v>362</v>
      </c>
      <c r="D15" s="378" t="str">
        <f>IF(B12="出让",IF(D13="","",ROUNDDOWN(MIN((D13-$D$3)/365,D14),2)),D14)</f>
        <v/>
      </c>
      <c r="E15" s="378" t="str">
        <f>IF(B12="出让",IF(E13="","",ROUNDDOWN(MIN((E13-$D$3)/365,E14),2)),E14)</f>
        <v/>
      </c>
      <c r="F15" s="378">
        <f>IF(B12="出让",IF(F13="","",ROUNDDOWN(MIN((F13-$D$3)/365,F14),2)),F14)</f>
        <v>33.06</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8" t="s">
        <v>364</v>
      </c>
      <c r="F16" s="2979"/>
      <c r="G16" s="2980"/>
      <c r="H16" s="2980"/>
      <c r="I16" s="3042"/>
      <c r="J16" s="2476"/>
      <c r="K16" s="3038"/>
      <c r="L16" s="3039"/>
      <c r="M16" s="3039"/>
      <c r="N16" s="2476"/>
      <c r="O16" s="3039"/>
      <c r="P16" s="2476"/>
      <c r="Q16" s="2476"/>
      <c r="R16" s="2476"/>
    </row>
    <row r="17" spans="1:22">
      <c r="A17" s="1780" t="s">
        <v>365</v>
      </c>
      <c r="B17" s="1768" t="s">
        <v>366</v>
      </c>
      <c r="C17" s="378">
        <f>'数据-汇总表'!E3</f>
        <v>0</v>
      </c>
      <c r="D17" s="1821"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1" t="s">
        <v>370</v>
      </c>
      <c r="C18" s="2984" t="e">
        <f>'数据-汇总表'!D3</f>
        <v>#DIV/0!</v>
      </c>
      <c r="D18" s="1814"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3"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2"/>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2"/>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6" t="s">
        <v>390</v>
      </c>
      <c r="B27" s="1803"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6"/>
      <c r="B28" s="1768"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6"/>
      <c r="B29" s="1768"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3"/>
      <c r="B30" s="1768"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4" t="str">
        <f>IF(B31="现房","成新及维护状况正常否",IF(B31="在建","工程状态是否正常",IF(B31="土地","是否闲置","-")))</f>
        <v>-</v>
      </c>
      <c r="D31" s="2003"/>
      <c r="E31" s="3022"/>
      <c r="F31" s="2939"/>
      <c r="G31" s="2939"/>
      <c r="H31" s="2939"/>
      <c r="I31" s="2939"/>
      <c r="J31" s="2476"/>
      <c r="K31" s="3038"/>
      <c r="L31" s="3039"/>
      <c r="M31" s="3039"/>
      <c r="N31" s="2476"/>
      <c r="O31" s="3039"/>
      <c r="P31" s="2476"/>
      <c r="Q31" s="2476"/>
      <c r="R31" s="2476"/>
      <c r="S31" s="2476"/>
      <c r="T31" s="2476"/>
      <c r="U31" s="2476"/>
      <c r="V31" s="2476"/>
    </row>
    <row r="32" spans="1:22">
      <c r="A32" s="1770"/>
      <c r="B32" s="3021"/>
      <c r="C32" s="1914" t="str">
        <f>IF(B32="现房","成新及维护状况是否正常",IF(B32="在建","工程状态是否正常",IF(B32="土地","是否闲置","-")))</f>
        <v>-</v>
      </c>
      <c r="D32" s="2003"/>
      <c r="E32" s="3022"/>
      <c r="F32" s="2939"/>
      <c r="G32" s="2939"/>
      <c r="H32" s="2939"/>
      <c r="I32" s="2939"/>
      <c r="J32" s="2476"/>
      <c r="K32" s="3038"/>
      <c r="L32" s="3039"/>
      <c r="M32" s="3039"/>
      <c r="N32" s="2476"/>
      <c r="O32" s="3039"/>
      <c r="P32" s="2476"/>
      <c r="Q32" s="2476"/>
      <c r="R32" s="2476"/>
      <c r="S32" s="2476"/>
      <c r="T32" s="2476"/>
      <c r="U32" s="2476"/>
      <c r="V32" s="2476"/>
    </row>
    <row r="33" spans="1:22">
      <c r="A33" s="1770"/>
      <c r="B33" s="3023"/>
      <c r="C33" s="2219" t="str">
        <f>IF(B33="现房","成新及维护状况是否正常",IF(B33="在建","工程状态是否正常",IF(B33="土地","是否闲置","-")))</f>
        <v>-</v>
      </c>
      <c r="D33" s="1778"/>
      <c r="E33" s="3024"/>
      <c r="F33" s="2939"/>
      <c r="G33" s="2939"/>
      <c r="H33" s="2939"/>
      <c r="I33" s="2939"/>
      <c r="J33" s="2476"/>
      <c r="K33" s="3038"/>
      <c r="L33" s="3039"/>
      <c r="M33" s="3039"/>
      <c r="N33" s="2476"/>
      <c r="O33" s="3039"/>
      <c r="P33" s="2476"/>
      <c r="Q33" s="2476"/>
      <c r="R33" s="2476"/>
      <c r="S33" s="2476"/>
      <c r="T33" s="2476"/>
      <c r="U33" s="2476"/>
      <c r="V33" s="2476"/>
    </row>
    <row r="34" spans="1:22">
      <c r="A34" s="1768" t="s">
        <v>396</v>
      </c>
      <c r="B34" s="3025"/>
      <c r="C34" s="3025"/>
      <c r="D34" s="3025"/>
      <c r="E34" s="3025"/>
      <c r="F34" s="3025"/>
      <c r="G34" s="3025"/>
      <c r="H34" s="3025"/>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6"/>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7"/>
      <c r="C37" s="2027" t="s">
        <v>261</v>
      </c>
      <c r="D37" s="2027"/>
      <c r="E37" s="2027"/>
      <c r="F37" s="2027"/>
      <c r="G37" s="2939"/>
      <c r="H37" s="2939"/>
      <c r="I37" s="2939"/>
      <c r="J37" s="2476"/>
      <c r="K37" s="3038"/>
      <c r="L37" s="3039"/>
      <c r="M37" s="3039"/>
      <c r="N37" s="2476"/>
      <c r="O37" s="3039"/>
      <c r="P37" s="2476"/>
      <c r="Q37" s="2476"/>
      <c r="R37" s="2476"/>
      <c r="S37" s="2476"/>
      <c r="T37" s="2476"/>
      <c r="U37" s="2476"/>
      <c r="V37" s="2476"/>
    </row>
    <row r="38" spans="1:22">
      <c r="A38" s="3029" t="s">
        <v>407</v>
      </c>
      <c r="B38" s="3030"/>
      <c r="C38" s="3030" t="s">
        <v>408</v>
      </c>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2"/>
      <c r="J40" s="2476"/>
      <c r="K40" s="3038"/>
      <c r="L40" s="3039"/>
      <c r="M40" s="3039"/>
      <c r="N40" s="2476"/>
      <c r="O40" s="3039"/>
      <c r="P40" s="2476"/>
      <c r="Q40" s="2476"/>
      <c r="R40" s="2476"/>
      <c r="S40" s="2476"/>
      <c r="T40" s="2476"/>
      <c r="U40" s="2476"/>
      <c r="V40" s="2476"/>
    </row>
    <row r="41" spans="1:22">
      <c r="A41" s="3033" t="s">
        <v>410</v>
      </c>
      <c r="B41" s="2116"/>
      <c r="C41" s="2003"/>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7962962962963" style="2804" customWidth="1"/>
    <col min="16" max="16" width="9.77777777777778" style="2804" customWidth="1"/>
    <col min="17" max="17" width="9.33333333333333" style="2804" customWidth="1"/>
    <col min="18" max="18" width="9.21296296296296" style="2804" customWidth="1"/>
    <col min="19" max="19" width="10.8796296296296" style="2804" customWidth="1"/>
    <col min="20" max="21" width="10.7777777777778" style="2804" customWidth="1"/>
    <col min="22" max="22" width="10.8796296296296" style="2804" customWidth="1"/>
    <col min="23" max="27" width="10.7777777777778" style="2804" customWidth="1"/>
    <col min="28" max="28" width="10.8796296296296"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7962962962963"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70" zoomScaleNormal="100" workbookViewId="0">
      <selection activeCell="F19" sqref="F19"/>
    </sheetView>
  </sheetViews>
  <sheetFormatPr defaultColWidth="9.21296296296296" defaultRowHeight="13.8"/>
  <cols>
    <col min="1" max="1" width="12.1111111111111" style="2709" customWidth="1"/>
    <col min="2" max="2" width="10.212962962963"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1296296296296"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796296296296" style="2486" customWidth="1"/>
    <col min="2" max="2" width="19.4444444444444" style="2487" customWidth="1"/>
    <col min="3" max="3" width="12.7777777777778" style="2487" customWidth="1"/>
    <col min="4" max="4" width="9.11111111111111" style="2488" customWidth="1"/>
    <col min="5" max="5" width="15" style="2487" customWidth="1"/>
    <col min="6" max="10" width="8.87962962962963" style="2487" customWidth="1"/>
    <col min="11" max="12" width="12.3333333333333" style="2489" customWidth="1"/>
    <col min="13" max="13" width="13.3333333333333" style="2487" customWidth="1"/>
    <col min="14" max="14" width="11.8796296296296" style="2487" customWidth="1"/>
    <col min="15" max="15" width="8.44444444444444" style="2487" customWidth="1"/>
    <col min="16" max="17" width="10.8796296296296"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1296296296296"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44888</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7962962962963" style="2428" customWidth="1"/>
    <col min="6" max="6" width="27" style="2427" customWidth="1"/>
    <col min="7" max="7" width="27" style="2428" customWidth="1"/>
    <col min="8" max="8" width="11.8796296296296" style="2429" customWidth="1"/>
    <col min="9" max="9" width="16.7777777777778" style="2429" customWidth="1"/>
    <col min="10" max="10" width="2.66666666666667" style="2429" customWidth="1"/>
    <col min="11" max="11" width="11.8796296296296" style="2429" customWidth="1"/>
    <col min="12" max="12" width="16.7777777777778" style="2429" customWidth="1"/>
    <col min="13" max="13" width="2.66666666666667" style="2429" customWidth="1"/>
    <col min="14" max="14" width="11.8796296296296" style="2429" customWidth="1"/>
    <col min="15" max="15" width="16.7777777777778" style="2429" customWidth="1"/>
    <col min="16" max="16" width="2.66666666666667" style="2429" customWidth="1"/>
    <col min="17" max="17" width="11.8796296296296"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44888</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44888</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12962962963" style="241" customWidth="1"/>
    <col min="3" max="3" width="12.1111111111111" style="241" customWidth="1"/>
    <col min="4" max="5" width="11.212962962963" style="242" customWidth="1"/>
    <col min="6" max="6" width="9.44444444444444" style="241" customWidth="1"/>
    <col min="7" max="7" width="31.8796296296296"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12962962963" style="241" customWidth="1"/>
    <col min="3" max="3" width="12.1111111111111" style="241" customWidth="1"/>
    <col min="4" max="5" width="11.212962962963" style="242" customWidth="1"/>
    <col min="6" max="6" width="9.44444444444444" style="241" customWidth="1"/>
    <col min="7" max="7" width="31.8796296296296"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北京市房地产抵押价值预评估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7962962962963"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796296296296" style="312" customWidth="1"/>
    <col min="4" max="4" width="40.4444444444444" style="239" customWidth="1"/>
    <col min="5" max="5" width="15.7777777777778" style="239" customWidth="1"/>
    <col min="6" max="6" width="10.6666666666667" style="239" customWidth="1"/>
    <col min="7" max="7" width="4.87962962962963" style="239" customWidth="1"/>
    <col min="8" max="8" width="8.44444444444444" style="239" customWidth="1"/>
    <col min="9" max="9" width="21.212962962963" style="239" customWidth="1"/>
    <col min="10" max="10" width="12.212962962963"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12962962963"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796296296296" style="312" customWidth="1"/>
    <col min="4" max="4" width="40.4444444444444" style="239" customWidth="1"/>
    <col min="5" max="5" width="15.7777777777778" style="239" customWidth="1"/>
    <col min="6" max="6" width="10.6666666666667" style="239" customWidth="1"/>
    <col min="7" max="7" width="4.87962962962963" style="239" customWidth="1"/>
    <col min="8" max="8" width="8.44444444444444" style="239" customWidth="1"/>
    <col min="9" max="9" width="21.212962962963" style="239" customWidth="1"/>
    <col min="10" max="10" width="12.212962962963"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12962962963"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7962962962963" style="1581"/>
    <col min="3" max="5" width="12.8796296296296" style="1581" customWidth="1"/>
    <col min="6" max="6" width="47.4444444444444" style="1581" customWidth="1"/>
    <col min="7" max="7" width="13" style="1582" customWidth="1"/>
    <col min="8" max="8" width="8.87962962962963" style="1583"/>
    <col min="9" max="9" width="8.87962962962963"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7962962962963" style="1585"/>
    <col min="22" max="22" width="8.87962962962963" style="1584"/>
    <col min="23" max="256" width="8.87962962962963" style="1581"/>
    <col min="257" max="257" width="9.44444444444444" style="1581" customWidth="1"/>
    <col min="258" max="258" width="8.87962962962963" style="1581"/>
    <col min="259" max="261" width="12.8796296296296" style="1581" customWidth="1"/>
    <col min="262" max="262" width="47.4444444444444" style="1581" customWidth="1"/>
    <col min="263" max="263" width="13" style="1581" customWidth="1"/>
    <col min="264" max="265" width="8.87962962962963"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7962962962963" style="1581"/>
    <col min="513" max="513" width="9.44444444444444" style="1581" customWidth="1"/>
    <col min="514" max="514" width="8.87962962962963" style="1581"/>
    <col min="515" max="517" width="12.8796296296296" style="1581" customWidth="1"/>
    <col min="518" max="518" width="47.4444444444444" style="1581" customWidth="1"/>
    <col min="519" max="519" width="13" style="1581" customWidth="1"/>
    <col min="520" max="521" width="8.87962962962963"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7962962962963" style="1581"/>
    <col min="769" max="769" width="9.44444444444444" style="1581" customWidth="1"/>
    <col min="770" max="770" width="8.87962962962963" style="1581"/>
    <col min="771" max="773" width="12.8796296296296" style="1581" customWidth="1"/>
    <col min="774" max="774" width="47.4444444444444" style="1581" customWidth="1"/>
    <col min="775" max="775" width="13" style="1581" customWidth="1"/>
    <col min="776" max="777" width="8.87962962962963"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7962962962963" style="1581"/>
    <col min="1025" max="1025" width="9.44444444444444" style="1581" customWidth="1"/>
    <col min="1026" max="1026" width="8.87962962962963" style="1581"/>
    <col min="1027" max="1029" width="12.8796296296296" style="1581" customWidth="1"/>
    <col min="1030" max="1030" width="47.4444444444444" style="1581" customWidth="1"/>
    <col min="1031" max="1031" width="13" style="1581" customWidth="1"/>
    <col min="1032" max="1033" width="8.87962962962963"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7962962962963" style="1581"/>
    <col min="1281" max="1281" width="9.44444444444444" style="1581" customWidth="1"/>
    <col min="1282" max="1282" width="8.87962962962963" style="1581"/>
    <col min="1283" max="1285" width="12.8796296296296" style="1581" customWidth="1"/>
    <col min="1286" max="1286" width="47.4444444444444" style="1581" customWidth="1"/>
    <col min="1287" max="1287" width="13" style="1581" customWidth="1"/>
    <col min="1288" max="1289" width="8.87962962962963"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7962962962963" style="1581"/>
    <col min="1537" max="1537" width="9.44444444444444" style="1581" customWidth="1"/>
    <col min="1538" max="1538" width="8.87962962962963" style="1581"/>
    <col min="1539" max="1541" width="12.8796296296296" style="1581" customWidth="1"/>
    <col min="1542" max="1542" width="47.4444444444444" style="1581" customWidth="1"/>
    <col min="1543" max="1543" width="13" style="1581" customWidth="1"/>
    <col min="1544" max="1545" width="8.87962962962963"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7962962962963" style="1581"/>
    <col min="1793" max="1793" width="9.44444444444444" style="1581" customWidth="1"/>
    <col min="1794" max="1794" width="8.87962962962963" style="1581"/>
    <col min="1795" max="1797" width="12.8796296296296" style="1581" customWidth="1"/>
    <col min="1798" max="1798" width="47.4444444444444" style="1581" customWidth="1"/>
    <col min="1799" max="1799" width="13" style="1581" customWidth="1"/>
    <col min="1800" max="1801" width="8.87962962962963"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7962962962963" style="1581"/>
    <col min="2049" max="2049" width="9.44444444444444" style="1581" customWidth="1"/>
    <col min="2050" max="2050" width="8.87962962962963" style="1581"/>
    <col min="2051" max="2053" width="12.8796296296296" style="1581" customWidth="1"/>
    <col min="2054" max="2054" width="47.4444444444444" style="1581" customWidth="1"/>
    <col min="2055" max="2055" width="13" style="1581" customWidth="1"/>
    <col min="2056" max="2057" width="8.87962962962963"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7962962962963" style="1581"/>
    <col min="2305" max="2305" width="9.44444444444444" style="1581" customWidth="1"/>
    <col min="2306" max="2306" width="8.87962962962963" style="1581"/>
    <col min="2307" max="2309" width="12.8796296296296" style="1581" customWidth="1"/>
    <col min="2310" max="2310" width="47.4444444444444" style="1581" customWidth="1"/>
    <col min="2311" max="2311" width="13" style="1581" customWidth="1"/>
    <col min="2312" max="2313" width="8.87962962962963"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7962962962963" style="1581"/>
    <col min="2561" max="2561" width="9.44444444444444" style="1581" customWidth="1"/>
    <col min="2562" max="2562" width="8.87962962962963" style="1581"/>
    <col min="2563" max="2565" width="12.8796296296296" style="1581" customWidth="1"/>
    <col min="2566" max="2566" width="47.4444444444444" style="1581" customWidth="1"/>
    <col min="2567" max="2567" width="13" style="1581" customWidth="1"/>
    <col min="2568" max="2569" width="8.87962962962963"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7962962962963" style="1581"/>
    <col min="2817" max="2817" width="9.44444444444444" style="1581" customWidth="1"/>
    <col min="2818" max="2818" width="8.87962962962963" style="1581"/>
    <col min="2819" max="2821" width="12.8796296296296" style="1581" customWidth="1"/>
    <col min="2822" max="2822" width="47.4444444444444" style="1581" customWidth="1"/>
    <col min="2823" max="2823" width="13" style="1581" customWidth="1"/>
    <col min="2824" max="2825" width="8.87962962962963"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7962962962963" style="1581"/>
    <col min="3073" max="3073" width="9.44444444444444" style="1581" customWidth="1"/>
    <col min="3074" max="3074" width="8.87962962962963" style="1581"/>
    <col min="3075" max="3077" width="12.8796296296296" style="1581" customWidth="1"/>
    <col min="3078" max="3078" width="47.4444444444444" style="1581" customWidth="1"/>
    <col min="3079" max="3079" width="13" style="1581" customWidth="1"/>
    <col min="3080" max="3081" width="8.87962962962963"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7962962962963" style="1581"/>
    <col min="3329" max="3329" width="9.44444444444444" style="1581" customWidth="1"/>
    <col min="3330" max="3330" width="8.87962962962963" style="1581"/>
    <col min="3331" max="3333" width="12.8796296296296" style="1581" customWidth="1"/>
    <col min="3334" max="3334" width="47.4444444444444" style="1581" customWidth="1"/>
    <col min="3335" max="3335" width="13" style="1581" customWidth="1"/>
    <col min="3336" max="3337" width="8.87962962962963"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7962962962963" style="1581"/>
    <col min="3585" max="3585" width="9.44444444444444" style="1581" customWidth="1"/>
    <col min="3586" max="3586" width="8.87962962962963" style="1581"/>
    <col min="3587" max="3589" width="12.8796296296296" style="1581" customWidth="1"/>
    <col min="3590" max="3590" width="47.4444444444444" style="1581" customWidth="1"/>
    <col min="3591" max="3591" width="13" style="1581" customWidth="1"/>
    <col min="3592" max="3593" width="8.87962962962963"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7962962962963" style="1581"/>
    <col min="3841" max="3841" width="9.44444444444444" style="1581" customWidth="1"/>
    <col min="3842" max="3842" width="8.87962962962963" style="1581"/>
    <col min="3843" max="3845" width="12.8796296296296" style="1581" customWidth="1"/>
    <col min="3846" max="3846" width="47.4444444444444" style="1581" customWidth="1"/>
    <col min="3847" max="3847" width="13" style="1581" customWidth="1"/>
    <col min="3848" max="3849" width="8.87962962962963"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7962962962963" style="1581"/>
    <col min="4097" max="4097" width="9.44444444444444" style="1581" customWidth="1"/>
    <col min="4098" max="4098" width="8.87962962962963" style="1581"/>
    <col min="4099" max="4101" width="12.8796296296296" style="1581" customWidth="1"/>
    <col min="4102" max="4102" width="47.4444444444444" style="1581" customWidth="1"/>
    <col min="4103" max="4103" width="13" style="1581" customWidth="1"/>
    <col min="4104" max="4105" width="8.87962962962963"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7962962962963" style="1581"/>
    <col min="4353" max="4353" width="9.44444444444444" style="1581" customWidth="1"/>
    <col min="4354" max="4354" width="8.87962962962963" style="1581"/>
    <col min="4355" max="4357" width="12.8796296296296" style="1581" customWidth="1"/>
    <col min="4358" max="4358" width="47.4444444444444" style="1581" customWidth="1"/>
    <col min="4359" max="4359" width="13" style="1581" customWidth="1"/>
    <col min="4360" max="4361" width="8.87962962962963"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7962962962963" style="1581"/>
    <col min="4609" max="4609" width="9.44444444444444" style="1581" customWidth="1"/>
    <col min="4610" max="4610" width="8.87962962962963" style="1581"/>
    <col min="4611" max="4613" width="12.8796296296296" style="1581" customWidth="1"/>
    <col min="4614" max="4614" width="47.4444444444444" style="1581" customWidth="1"/>
    <col min="4615" max="4615" width="13" style="1581" customWidth="1"/>
    <col min="4616" max="4617" width="8.87962962962963"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7962962962963" style="1581"/>
    <col min="4865" max="4865" width="9.44444444444444" style="1581" customWidth="1"/>
    <col min="4866" max="4866" width="8.87962962962963" style="1581"/>
    <col min="4867" max="4869" width="12.8796296296296" style="1581" customWidth="1"/>
    <col min="4870" max="4870" width="47.4444444444444" style="1581" customWidth="1"/>
    <col min="4871" max="4871" width="13" style="1581" customWidth="1"/>
    <col min="4872" max="4873" width="8.87962962962963"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7962962962963" style="1581"/>
    <col min="5121" max="5121" width="9.44444444444444" style="1581" customWidth="1"/>
    <col min="5122" max="5122" width="8.87962962962963" style="1581"/>
    <col min="5123" max="5125" width="12.8796296296296" style="1581" customWidth="1"/>
    <col min="5126" max="5126" width="47.4444444444444" style="1581" customWidth="1"/>
    <col min="5127" max="5127" width="13" style="1581" customWidth="1"/>
    <col min="5128" max="5129" width="8.87962962962963"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7962962962963" style="1581"/>
    <col min="5377" max="5377" width="9.44444444444444" style="1581" customWidth="1"/>
    <col min="5378" max="5378" width="8.87962962962963" style="1581"/>
    <col min="5379" max="5381" width="12.8796296296296" style="1581" customWidth="1"/>
    <col min="5382" max="5382" width="47.4444444444444" style="1581" customWidth="1"/>
    <col min="5383" max="5383" width="13" style="1581" customWidth="1"/>
    <col min="5384" max="5385" width="8.87962962962963"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7962962962963" style="1581"/>
    <col min="5633" max="5633" width="9.44444444444444" style="1581" customWidth="1"/>
    <col min="5634" max="5634" width="8.87962962962963" style="1581"/>
    <col min="5635" max="5637" width="12.8796296296296" style="1581" customWidth="1"/>
    <col min="5638" max="5638" width="47.4444444444444" style="1581" customWidth="1"/>
    <col min="5639" max="5639" width="13" style="1581" customWidth="1"/>
    <col min="5640" max="5641" width="8.87962962962963"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7962962962963" style="1581"/>
    <col min="5889" max="5889" width="9.44444444444444" style="1581" customWidth="1"/>
    <col min="5890" max="5890" width="8.87962962962963" style="1581"/>
    <col min="5891" max="5893" width="12.8796296296296" style="1581" customWidth="1"/>
    <col min="5894" max="5894" width="47.4444444444444" style="1581" customWidth="1"/>
    <col min="5895" max="5895" width="13" style="1581" customWidth="1"/>
    <col min="5896" max="5897" width="8.87962962962963"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7962962962963" style="1581"/>
    <col min="6145" max="6145" width="9.44444444444444" style="1581" customWidth="1"/>
    <col min="6146" max="6146" width="8.87962962962963" style="1581"/>
    <col min="6147" max="6149" width="12.8796296296296" style="1581" customWidth="1"/>
    <col min="6150" max="6150" width="47.4444444444444" style="1581" customWidth="1"/>
    <col min="6151" max="6151" width="13" style="1581" customWidth="1"/>
    <col min="6152" max="6153" width="8.87962962962963"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7962962962963" style="1581"/>
    <col min="6401" max="6401" width="9.44444444444444" style="1581" customWidth="1"/>
    <col min="6402" max="6402" width="8.87962962962963" style="1581"/>
    <col min="6403" max="6405" width="12.8796296296296" style="1581" customWidth="1"/>
    <col min="6406" max="6406" width="47.4444444444444" style="1581" customWidth="1"/>
    <col min="6407" max="6407" width="13" style="1581" customWidth="1"/>
    <col min="6408" max="6409" width="8.87962962962963"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7962962962963" style="1581"/>
    <col min="6657" max="6657" width="9.44444444444444" style="1581" customWidth="1"/>
    <col min="6658" max="6658" width="8.87962962962963" style="1581"/>
    <col min="6659" max="6661" width="12.8796296296296" style="1581" customWidth="1"/>
    <col min="6662" max="6662" width="47.4444444444444" style="1581" customWidth="1"/>
    <col min="6663" max="6663" width="13" style="1581" customWidth="1"/>
    <col min="6664" max="6665" width="8.87962962962963"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7962962962963" style="1581"/>
    <col min="6913" max="6913" width="9.44444444444444" style="1581" customWidth="1"/>
    <col min="6914" max="6914" width="8.87962962962963" style="1581"/>
    <col min="6915" max="6917" width="12.8796296296296" style="1581" customWidth="1"/>
    <col min="6918" max="6918" width="47.4444444444444" style="1581" customWidth="1"/>
    <col min="6919" max="6919" width="13" style="1581" customWidth="1"/>
    <col min="6920" max="6921" width="8.87962962962963"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7962962962963" style="1581"/>
    <col min="7169" max="7169" width="9.44444444444444" style="1581" customWidth="1"/>
    <col min="7170" max="7170" width="8.87962962962963" style="1581"/>
    <col min="7171" max="7173" width="12.8796296296296" style="1581" customWidth="1"/>
    <col min="7174" max="7174" width="47.4444444444444" style="1581" customWidth="1"/>
    <col min="7175" max="7175" width="13" style="1581" customWidth="1"/>
    <col min="7176" max="7177" width="8.87962962962963"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7962962962963" style="1581"/>
    <col min="7425" max="7425" width="9.44444444444444" style="1581" customWidth="1"/>
    <col min="7426" max="7426" width="8.87962962962963" style="1581"/>
    <col min="7427" max="7429" width="12.8796296296296" style="1581" customWidth="1"/>
    <col min="7430" max="7430" width="47.4444444444444" style="1581" customWidth="1"/>
    <col min="7431" max="7431" width="13" style="1581" customWidth="1"/>
    <col min="7432" max="7433" width="8.87962962962963"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7962962962963" style="1581"/>
    <col min="7681" max="7681" width="9.44444444444444" style="1581" customWidth="1"/>
    <col min="7682" max="7682" width="8.87962962962963" style="1581"/>
    <col min="7683" max="7685" width="12.8796296296296" style="1581" customWidth="1"/>
    <col min="7686" max="7686" width="47.4444444444444" style="1581" customWidth="1"/>
    <col min="7687" max="7687" width="13" style="1581" customWidth="1"/>
    <col min="7688" max="7689" width="8.87962962962963"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7962962962963" style="1581"/>
    <col min="7937" max="7937" width="9.44444444444444" style="1581" customWidth="1"/>
    <col min="7938" max="7938" width="8.87962962962963" style="1581"/>
    <col min="7939" max="7941" width="12.8796296296296" style="1581" customWidth="1"/>
    <col min="7942" max="7942" width="47.4444444444444" style="1581" customWidth="1"/>
    <col min="7943" max="7943" width="13" style="1581" customWidth="1"/>
    <col min="7944" max="7945" width="8.87962962962963"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7962962962963" style="1581"/>
    <col min="8193" max="8193" width="9.44444444444444" style="1581" customWidth="1"/>
    <col min="8194" max="8194" width="8.87962962962963" style="1581"/>
    <col min="8195" max="8197" width="12.8796296296296" style="1581" customWidth="1"/>
    <col min="8198" max="8198" width="47.4444444444444" style="1581" customWidth="1"/>
    <col min="8199" max="8199" width="13" style="1581" customWidth="1"/>
    <col min="8200" max="8201" width="8.87962962962963"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7962962962963" style="1581"/>
    <col min="8449" max="8449" width="9.44444444444444" style="1581" customWidth="1"/>
    <col min="8450" max="8450" width="8.87962962962963" style="1581"/>
    <col min="8451" max="8453" width="12.8796296296296" style="1581" customWidth="1"/>
    <col min="8454" max="8454" width="47.4444444444444" style="1581" customWidth="1"/>
    <col min="8455" max="8455" width="13" style="1581" customWidth="1"/>
    <col min="8456" max="8457" width="8.87962962962963"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7962962962963" style="1581"/>
    <col min="8705" max="8705" width="9.44444444444444" style="1581" customWidth="1"/>
    <col min="8706" max="8706" width="8.87962962962963" style="1581"/>
    <col min="8707" max="8709" width="12.8796296296296" style="1581" customWidth="1"/>
    <col min="8710" max="8710" width="47.4444444444444" style="1581" customWidth="1"/>
    <col min="8711" max="8711" width="13" style="1581" customWidth="1"/>
    <col min="8712" max="8713" width="8.87962962962963"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7962962962963" style="1581"/>
    <col min="8961" max="8961" width="9.44444444444444" style="1581" customWidth="1"/>
    <col min="8962" max="8962" width="8.87962962962963" style="1581"/>
    <col min="8963" max="8965" width="12.8796296296296" style="1581" customWidth="1"/>
    <col min="8966" max="8966" width="47.4444444444444" style="1581" customWidth="1"/>
    <col min="8967" max="8967" width="13" style="1581" customWidth="1"/>
    <col min="8968" max="8969" width="8.87962962962963"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7962962962963" style="1581"/>
    <col min="9217" max="9217" width="9.44444444444444" style="1581" customWidth="1"/>
    <col min="9218" max="9218" width="8.87962962962963" style="1581"/>
    <col min="9219" max="9221" width="12.8796296296296" style="1581" customWidth="1"/>
    <col min="9222" max="9222" width="47.4444444444444" style="1581" customWidth="1"/>
    <col min="9223" max="9223" width="13" style="1581" customWidth="1"/>
    <col min="9224" max="9225" width="8.87962962962963"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7962962962963" style="1581"/>
    <col min="9473" max="9473" width="9.44444444444444" style="1581" customWidth="1"/>
    <col min="9474" max="9474" width="8.87962962962963" style="1581"/>
    <col min="9475" max="9477" width="12.8796296296296" style="1581" customWidth="1"/>
    <col min="9478" max="9478" width="47.4444444444444" style="1581" customWidth="1"/>
    <col min="9479" max="9479" width="13" style="1581" customWidth="1"/>
    <col min="9480" max="9481" width="8.87962962962963"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7962962962963" style="1581"/>
    <col min="9729" max="9729" width="9.44444444444444" style="1581" customWidth="1"/>
    <col min="9730" max="9730" width="8.87962962962963" style="1581"/>
    <col min="9731" max="9733" width="12.8796296296296" style="1581" customWidth="1"/>
    <col min="9734" max="9734" width="47.4444444444444" style="1581" customWidth="1"/>
    <col min="9735" max="9735" width="13" style="1581" customWidth="1"/>
    <col min="9736" max="9737" width="8.87962962962963"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7962962962963" style="1581"/>
    <col min="9985" max="9985" width="9.44444444444444" style="1581" customWidth="1"/>
    <col min="9986" max="9986" width="8.87962962962963" style="1581"/>
    <col min="9987" max="9989" width="12.8796296296296" style="1581" customWidth="1"/>
    <col min="9990" max="9990" width="47.4444444444444" style="1581" customWidth="1"/>
    <col min="9991" max="9991" width="13" style="1581" customWidth="1"/>
    <col min="9992" max="9993" width="8.87962962962963"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7962962962963" style="1581"/>
    <col min="10241" max="10241" width="9.44444444444444" style="1581" customWidth="1"/>
    <col min="10242" max="10242" width="8.87962962962963" style="1581"/>
    <col min="10243" max="10245" width="12.8796296296296" style="1581" customWidth="1"/>
    <col min="10246" max="10246" width="47.4444444444444" style="1581" customWidth="1"/>
    <col min="10247" max="10247" width="13" style="1581" customWidth="1"/>
    <col min="10248" max="10249" width="8.87962962962963"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7962962962963" style="1581"/>
    <col min="10497" max="10497" width="9.44444444444444" style="1581" customWidth="1"/>
    <col min="10498" max="10498" width="8.87962962962963" style="1581"/>
    <col min="10499" max="10501" width="12.8796296296296" style="1581" customWidth="1"/>
    <col min="10502" max="10502" width="47.4444444444444" style="1581" customWidth="1"/>
    <col min="10503" max="10503" width="13" style="1581" customWidth="1"/>
    <col min="10504" max="10505" width="8.87962962962963"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7962962962963" style="1581"/>
    <col min="10753" max="10753" width="9.44444444444444" style="1581" customWidth="1"/>
    <col min="10754" max="10754" width="8.87962962962963" style="1581"/>
    <col min="10755" max="10757" width="12.8796296296296" style="1581" customWidth="1"/>
    <col min="10758" max="10758" width="47.4444444444444" style="1581" customWidth="1"/>
    <col min="10759" max="10759" width="13" style="1581" customWidth="1"/>
    <col min="10760" max="10761" width="8.87962962962963"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7962962962963" style="1581"/>
    <col min="11009" max="11009" width="9.44444444444444" style="1581" customWidth="1"/>
    <col min="11010" max="11010" width="8.87962962962963" style="1581"/>
    <col min="11011" max="11013" width="12.8796296296296" style="1581" customWidth="1"/>
    <col min="11014" max="11014" width="47.4444444444444" style="1581" customWidth="1"/>
    <col min="11015" max="11015" width="13" style="1581" customWidth="1"/>
    <col min="11016" max="11017" width="8.87962962962963"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7962962962963" style="1581"/>
    <col min="11265" max="11265" width="9.44444444444444" style="1581" customWidth="1"/>
    <col min="11266" max="11266" width="8.87962962962963" style="1581"/>
    <col min="11267" max="11269" width="12.8796296296296" style="1581" customWidth="1"/>
    <col min="11270" max="11270" width="47.4444444444444" style="1581" customWidth="1"/>
    <col min="11271" max="11271" width="13" style="1581" customWidth="1"/>
    <col min="11272" max="11273" width="8.87962962962963"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7962962962963" style="1581"/>
    <col min="11521" max="11521" width="9.44444444444444" style="1581" customWidth="1"/>
    <col min="11522" max="11522" width="8.87962962962963" style="1581"/>
    <col min="11523" max="11525" width="12.8796296296296" style="1581" customWidth="1"/>
    <col min="11526" max="11526" width="47.4444444444444" style="1581" customWidth="1"/>
    <col min="11527" max="11527" width="13" style="1581" customWidth="1"/>
    <col min="11528" max="11529" width="8.87962962962963"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7962962962963" style="1581"/>
    <col min="11777" max="11777" width="9.44444444444444" style="1581" customWidth="1"/>
    <col min="11778" max="11778" width="8.87962962962963" style="1581"/>
    <col min="11779" max="11781" width="12.8796296296296" style="1581" customWidth="1"/>
    <col min="11782" max="11782" width="47.4444444444444" style="1581" customWidth="1"/>
    <col min="11783" max="11783" width="13" style="1581" customWidth="1"/>
    <col min="11784" max="11785" width="8.87962962962963"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7962962962963" style="1581"/>
    <col min="12033" max="12033" width="9.44444444444444" style="1581" customWidth="1"/>
    <col min="12034" max="12034" width="8.87962962962963" style="1581"/>
    <col min="12035" max="12037" width="12.8796296296296" style="1581" customWidth="1"/>
    <col min="12038" max="12038" width="47.4444444444444" style="1581" customWidth="1"/>
    <col min="12039" max="12039" width="13" style="1581" customWidth="1"/>
    <col min="12040" max="12041" width="8.87962962962963"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7962962962963" style="1581"/>
    <col min="12289" max="12289" width="9.44444444444444" style="1581" customWidth="1"/>
    <col min="12290" max="12290" width="8.87962962962963" style="1581"/>
    <col min="12291" max="12293" width="12.8796296296296" style="1581" customWidth="1"/>
    <col min="12294" max="12294" width="47.4444444444444" style="1581" customWidth="1"/>
    <col min="12295" max="12295" width="13" style="1581" customWidth="1"/>
    <col min="12296" max="12297" width="8.87962962962963"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7962962962963" style="1581"/>
    <col min="12545" max="12545" width="9.44444444444444" style="1581" customWidth="1"/>
    <col min="12546" max="12546" width="8.87962962962963" style="1581"/>
    <col min="12547" max="12549" width="12.8796296296296" style="1581" customWidth="1"/>
    <col min="12550" max="12550" width="47.4444444444444" style="1581" customWidth="1"/>
    <col min="12551" max="12551" width="13" style="1581" customWidth="1"/>
    <col min="12552" max="12553" width="8.87962962962963"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7962962962963" style="1581"/>
    <col min="12801" max="12801" width="9.44444444444444" style="1581" customWidth="1"/>
    <col min="12802" max="12802" width="8.87962962962963" style="1581"/>
    <col min="12803" max="12805" width="12.8796296296296" style="1581" customWidth="1"/>
    <col min="12806" max="12806" width="47.4444444444444" style="1581" customWidth="1"/>
    <col min="12807" max="12807" width="13" style="1581" customWidth="1"/>
    <col min="12808" max="12809" width="8.87962962962963"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7962962962963" style="1581"/>
    <col min="13057" max="13057" width="9.44444444444444" style="1581" customWidth="1"/>
    <col min="13058" max="13058" width="8.87962962962963" style="1581"/>
    <col min="13059" max="13061" width="12.8796296296296" style="1581" customWidth="1"/>
    <col min="13062" max="13062" width="47.4444444444444" style="1581" customWidth="1"/>
    <col min="13063" max="13063" width="13" style="1581" customWidth="1"/>
    <col min="13064" max="13065" width="8.87962962962963"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7962962962963" style="1581"/>
    <col min="13313" max="13313" width="9.44444444444444" style="1581" customWidth="1"/>
    <col min="13314" max="13314" width="8.87962962962963" style="1581"/>
    <col min="13315" max="13317" width="12.8796296296296" style="1581" customWidth="1"/>
    <col min="13318" max="13318" width="47.4444444444444" style="1581" customWidth="1"/>
    <col min="13319" max="13319" width="13" style="1581" customWidth="1"/>
    <col min="13320" max="13321" width="8.87962962962963"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7962962962963" style="1581"/>
    <col min="13569" max="13569" width="9.44444444444444" style="1581" customWidth="1"/>
    <col min="13570" max="13570" width="8.87962962962963" style="1581"/>
    <col min="13571" max="13573" width="12.8796296296296" style="1581" customWidth="1"/>
    <col min="13574" max="13574" width="47.4444444444444" style="1581" customWidth="1"/>
    <col min="13575" max="13575" width="13" style="1581" customWidth="1"/>
    <col min="13576" max="13577" width="8.87962962962963"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7962962962963" style="1581"/>
    <col min="13825" max="13825" width="9.44444444444444" style="1581" customWidth="1"/>
    <col min="13826" max="13826" width="8.87962962962963" style="1581"/>
    <col min="13827" max="13829" width="12.8796296296296" style="1581" customWidth="1"/>
    <col min="13830" max="13830" width="47.4444444444444" style="1581" customWidth="1"/>
    <col min="13831" max="13831" width="13" style="1581" customWidth="1"/>
    <col min="13832" max="13833" width="8.87962962962963"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7962962962963" style="1581"/>
    <col min="14081" max="14081" width="9.44444444444444" style="1581" customWidth="1"/>
    <col min="14082" max="14082" width="8.87962962962963" style="1581"/>
    <col min="14083" max="14085" width="12.8796296296296" style="1581" customWidth="1"/>
    <col min="14086" max="14086" width="47.4444444444444" style="1581" customWidth="1"/>
    <col min="14087" max="14087" width="13" style="1581" customWidth="1"/>
    <col min="14088" max="14089" width="8.87962962962963"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7962962962963" style="1581"/>
    <col min="14337" max="14337" width="9.44444444444444" style="1581" customWidth="1"/>
    <col min="14338" max="14338" width="8.87962962962963" style="1581"/>
    <col min="14339" max="14341" width="12.8796296296296" style="1581" customWidth="1"/>
    <col min="14342" max="14342" width="47.4444444444444" style="1581" customWidth="1"/>
    <col min="14343" max="14343" width="13" style="1581" customWidth="1"/>
    <col min="14344" max="14345" width="8.87962962962963"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7962962962963" style="1581"/>
    <col min="14593" max="14593" width="9.44444444444444" style="1581" customWidth="1"/>
    <col min="14594" max="14594" width="8.87962962962963" style="1581"/>
    <col min="14595" max="14597" width="12.8796296296296" style="1581" customWidth="1"/>
    <col min="14598" max="14598" width="47.4444444444444" style="1581" customWidth="1"/>
    <col min="14599" max="14599" width="13" style="1581" customWidth="1"/>
    <col min="14600" max="14601" width="8.87962962962963"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7962962962963" style="1581"/>
    <col min="14849" max="14849" width="9.44444444444444" style="1581" customWidth="1"/>
    <col min="14850" max="14850" width="8.87962962962963" style="1581"/>
    <col min="14851" max="14853" width="12.8796296296296" style="1581" customWidth="1"/>
    <col min="14854" max="14854" width="47.4444444444444" style="1581" customWidth="1"/>
    <col min="14855" max="14855" width="13" style="1581" customWidth="1"/>
    <col min="14856" max="14857" width="8.87962962962963"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7962962962963" style="1581"/>
    <col min="15105" max="15105" width="9.44444444444444" style="1581" customWidth="1"/>
    <col min="15106" max="15106" width="8.87962962962963" style="1581"/>
    <col min="15107" max="15109" width="12.8796296296296" style="1581" customWidth="1"/>
    <col min="15110" max="15110" width="47.4444444444444" style="1581" customWidth="1"/>
    <col min="15111" max="15111" width="13" style="1581" customWidth="1"/>
    <col min="15112" max="15113" width="8.87962962962963"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7962962962963" style="1581"/>
    <col min="15361" max="15361" width="9.44444444444444" style="1581" customWidth="1"/>
    <col min="15362" max="15362" width="8.87962962962963" style="1581"/>
    <col min="15363" max="15365" width="12.8796296296296" style="1581" customWidth="1"/>
    <col min="15366" max="15366" width="47.4444444444444" style="1581" customWidth="1"/>
    <col min="15367" max="15367" width="13" style="1581" customWidth="1"/>
    <col min="15368" max="15369" width="8.87962962962963"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7962962962963" style="1581"/>
    <col min="15617" max="15617" width="9.44444444444444" style="1581" customWidth="1"/>
    <col min="15618" max="15618" width="8.87962962962963" style="1581"/>
    <col min="15619" max="15621" width="12.8796296296296" style="1581" customWidth="1"/>
    <col min="15622" max="15622" width="47.4444444444444" style="1581" customWidth="1"/>
    <col min="15623" max="15623" width="13" style="1581" customWidth="1"/>
    <col min="15624" max="15625" width="8.87962962962963"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7962962962963" style="1581"/>
    <col min="15873" max="15873" width="9.44444444444444" style="1581" customWidth="1"/>
    <col min="15874" max="15874" width="8.87962962962963" style="1581"/>
    <col min="15875" max="15877" width="12.8796296296296" style="1581" customWidth="1"/>
    <col min="15878" max="15878" width="47.4444444444444" style="1581" customWidth="1"/>
    <col min="15879" max="15879" width="13" style="1581" customWidth="1"/>
    <col min="15880" max="15881" width="8.87962962962963"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7962962962963" style="1581"/>
    <col min="16129" max="16129" width="9.44444444444444" style="1581" customWidth="1"/>
    <col min="16130" max="16130" width="8.87962962962963" style="1581"/>
    <col min="16131" max="16133" width="12.8796296296296" style="1581" customWidth="1"/>
    <col min="16134" max="16134" width="47.4444444444444" style="1581" customWidth="1"/>
    <col min="16135" max="16135" width="13" style="1581" customWidth="1"/>
    <col min="16136" max="16137" width="8.87962962962963"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7962962962963"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796296296296"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2022-11</v>
      </c>
      <c r="D58" s="1219">
        <f>EDATE(C58,-1)</f>
        <v>44835</v>
      </c>
      <c r="E58" s="1219">
        <f>EDATE(D58,-1)</f>
        <v>44805</v>
      </c>
      <c r="F58" s="1219">
        <f t="shared" ref="F58:O58" si="19">EDATE(E58,-1)</f>
        <v>44774</v>
      </c>
      <c r="G58" s="1219">
        <f t="shared" si="19"/>
        <v>44743</v>
      </c>
      <c r="H58" s="1219">
        <f t="shared" si="19"/>
        <v>44713</v>
      </c>
      <c r="I58" s="1219">
        <f t="shared" si="19"/>
        <v>44682</v>
      </c>
      <c r="J58" s="1219">
        <f t="shared" si="19"/>
        <v>44652</v>
      </c>
      <c r="K58" s="1219">
        <f t="shared" si="19"/>
        <v>44621</v>
      </c>
      <c r="L58" s="1219">
        <f t="shared" si="19"/>
        <v>44593</v>
      </c>
      <c r="M58" s="1219">
        <f t="shared" si="19"/>
        <v>44562</v>
      </c>
      <c r="N58" s="1219">
        <f t="shared" si="19"/>
        <v>44531</v>
      </c>
      <c r="O58" s="1219">
        <f t="shared" si="19"/>
        <v>44501</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44888</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2022-11</v>
      </c>
      <c r="D58" s="1219">
        <f>EDATE(C58,-1)</f>
        <v>44835</v>
      </c>
      <c r="E58" s="1219">
        <f t="shared" ref="E58:O58" si="16">EDATE(D58,-1)</f>
        <v>44805</v>
      </c>
      <c r="F58" s="1219">
        <f t="shared" si="16"/>
        <v>44774</v>
      </c>
      <c r="G58" s="1219">
        <f t="shared" si="16"/>
        <v>44743</v>
      </c>
      <c r="H58" s="1219">
        <f t="shared" si="16"/>
        <v>44713</v>
      </c>
      <c r="I58" s="1219">
        <f t="shared" si="16"/>
        <v>44682</v>
      </c>
      <c r="J58" s="1219">
        <f t="shared" si="16"/>
        <v>44652</v>
      </c>
      <c r="K58" s="1219">
        <f t="shared" si="16"/>
        <v>44621</v>
      </c>
      <c r="L58" s="1219">
        <f t="shared" si="16"/>
        <v>44593</v>
      </c>
      <c r="M58" s="1219">
        <f t="shared" si="16"/>
        <v>44562</v>
      </c>
      <c r="N58" s="1219">
        <f t="shared" si="16"/>
        <v>44531</v>
      </c>
      <c r="O58" s="1219">
        <f t="shared" si="16"/>
        <v>44501</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44888</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2022-11</v>
      </c>
      <c r="D59" s="1219">
        <f>EDATE(C59,-1)</f>
        <v>44835</v>
      </c>
      <c r="E59" s="1219">
        <f>EDATE(D59,-1)</f>
        <v>44805</v>
      </c>
      <c r="F59" s="1219">
        <f t="shared" ref="F59:O59" si="16">EDATE(E59,-1)</f>
        <v>44774</v>
      </c>
      <c r="G59" s="1219">
        <f t="shared" si="16"/>
        <v>44743</v>
      </c>
      <c r="H59" s="1219">
        <f t="shared" si="16"/>
        <v>44713</v>
      </c>
      <c r="I59" s="1219">
        <f t="shared" si="16"/>
        <v>44682</v>
      </c>
      <c r="J59" s="1219">
        <f t="shared" si="16"/>
        <v>44652</v>
      </c>
      <c r="K59" s="1219">
        <f t="shared" si="16"/>
        <v>44621</v>
      </c>
      <c r="L59" s="1219">
        <f t="shared" si="16"/>
        <v>44593</v>
      </c>
      <c r="M59" s="1219">
        <f t="shared" si="16"/>
        <v>44562</v>
      </c>
      <c r="N59" s="1219">
        <f t="shared" si="16"/>
        <v>44531</v>
      </c>
      <c r="O59" s="1219">
        <f t="shared" si="16"/>
        <v>44501</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2022-11</v>
      </c>
      <c r="D52" s="1219">
        <f>EDATE(C52,-1)</f>
        <v>44835</v>
      </c>
      <c r="E52" s="1219">
        <f t="shared" ref="E52:O52" si="16">EDATE(D52,-1)</f>
        <v>44805</v>
      </c>
      <c r="F52" s="1219">
        <f t="shared" si="16"/>
        <v>44774</v>
      </c>
      <c r="G52" s="1219">
        <f t="shared" si="16"/>
        <v>44743</v>
      </c>
      <c r="H52" s="1219">
        <f t="shared" si="16"/>
        <v>44713</v>
      </c>
      <c r="I52" s="1219">
        <f t="shared" si="16"/>
        <v>44682</v>
      </c>
      <c r="J52" s="1219">
        <f t="shared" si="16"/>
        <v>44652</v>
      </c>
      <c r="K52" s="1219">
        <f t="shared" si="16"/>
        <v>44621</v>
      </c>
      <c r="L52" s="1219">
        <f t="shared" si="16"/>
        <v>44593</v>
      </c>
      <c r="M52" s="1219">
        <f t="shared" si="16"/>
        <v>44562</v>
      </c>
      <c r="N52" s="1219">
        <f t="shared" si="16"/>
        <v>44531</v>
      </c>
      <c r="O52" s="1219">
        <f t="shared" si="16"/>
        <v>44501</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5.4444444444444" style="957" customWidth="1"/>
    <col min="10" max="15" width="12.212962962963"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2022-11</v>
      </c>
      <c r="D48" s="1219">
        <f>EDATE(C48,-1)</f>
        <v>44835</v>
      </c>
      <c r="E48" s="1219">
        <f t="shared" ref="E48:O48" si="16">EDATE(D48,-1)</f>
        <v>44805</v>
      </c>
      <c r="F48" s="1219">
        <f t="shared" si="16"/>
        <v>44774</v>
      </c>
      <c r="G48" s="1219">
        <f t="shared" si="16"/>
        <v>44743</v>
      </c>
      <c r="H48" s="1219">
        <f t="shared" si="16"/>
        <v>44713</v>
      </c>
      <c r="I48" s="1219">
        <f t="shared" si="16"/>
        <v>44682</v>
      </c>
      <c r="J48" s="1219">
        <f t="shared" si="16"/>
        <v>44652</v>
      </c>
      <c r="K48" s="1219">
        <f t="shared" si="16"/>
        <v>44621</v>
      </c>
      <c r="L48" s="1219">
        <f t="shared" si="16"/>
        <v>44593</v>
      </c>
      <c r="M48" s="1219">
        <f t="shared" si="16"/>
        <v>44562</v>
      </c>
      <c r="N48" s="1219">
        <f t="shared" si="16"/>
        <v>44531</v>
      </c>
      <c r="O48" s="1219">
        <f t="shared" si="16"/>
        <v>44501</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受贵公司委托，我公司对北京市房地产抵押价值进行了预评估。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07" t="s">
        <v>89</v>
      </c>
    </row>
    <row r="15" ht="17.4" spans="1:1">
      <c r="A15" s="3208" t="str">
        <f>TEXT(项目基本情况!D3,"yyyy年m月d日;;")&amp;IF(项目基本情况!D3=项目基本情况!B3,"（评估专业人员实地查勘之日）","")</f>
        <v>2022年11月23日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2022-11</v>
      </c>
      <c r="D46" s="1219">
        <f>EDATE(C46,-1)</f>
        <v>44835</v>
      </c>
      <c r="E46" s="1219">
        <f t="shared" ref="E46:O46" si="16">EDATE(D46,-1)</f>
        <v>44805</v>
      </c>
      <c r="F46" s="1219">
        <f t="shared" si="16"/>
        <v>44774</v>
      </c>
      <c r="G46" s="1219">
        <f t="shared" si="16"/>
        <v>44743</v>
      </c>
      <c r="H46" s="1219">
        <f t="shared" si="16"/>
        <v>44713</v>
      </c>
      <c r="I46" s="1219">
        <f t="shared" si="16"/>
        <v>44682</v>
      </c>
      <c r="J46" s="1219">
        <f t="shared" si="16"/>
        <v>44652</v>
      </c>
      <c r="K46" s="1219">
        <f t="shared" si="16"/>
        <v>44621</v>
      </c>
      <c r="L46" s="1219">
        <f t="shared" si="16"/>
        <v>44593</v>
      </c>
      <c r="M46" s="1219">
        <f t="shared" si="16"/>
        <v>44562</v>
      </c>
      <c r="N46" s="1219">
        <f t="shared" si="16"/>
        <v>44531</v>
      </c>
      <c r="O46" s="1219">
        <f t="shared" si="16"/>
        <v>44501</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v>
      </c>
      <c r="D57" s="1095">
        <v>0.25</v>
      </c>
      <c r="E57" s="261"/>
      <c r="F57" s="297" t="e">
        <f t="shared" si="15"/>
        <v>#DIV/0!</v>
      </c>
      <c r="G57" s="1096" t="s">
        <v>1531</v>
      </c>
      <c r="H57" s="1097">
        <f>项目基本情况!B37</f>
        <v>0</v>
      </c>
      <c r="I57" s="1296">
        <f>SUMIF(修正!A57:A68,H57,修正!B57:B68)</f>
        <v>0</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v>
      </c>
      <c r="D58" s="1095">
        <v>0.25</v>
      </c>
      <c r="E58" s="261"/>
      <c r="F58" s="297" t="e">
        <f t="shared" si="15"/>
        <v>#DIV/0!</v>
      </c>
      <c r="G58" s="1096"/>
      <c r="H58" s="1097">
        <f>项目基本情况!B37</f>
        <v>0</v>
      </c>
      <c r="I58" s="1296">
        <f>SUMIF(修正!A57:A68,H58,修正!C57:C68)</f>
        <v>0</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v>
      </c>
      <c r="D59" s="1095">
        <v>0.25</v>
      </c>
      <c r="E59" s="261"/>
      <c r="F59" s="297" t="e">
        <f t="shared" si="15"/>
        <v>#DIV/0!</v>
      </c>
      <c r="G59" s="1096"/>
      <c r="H59" s="1097">
        <f>项目基本情况!B37</f>
        <v>0</v>
      </c>
      <c r="I59" s="1296">
        <f>SUMIF(修正!A57:A68,H59,修正!D57:D68)</f>
        <v>0</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f>项目基本情况!B37</f>
        <v>0</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0.25</v>
      </c>
      <c r="D61" s="1095">
        <v>0.25</v>
      </c>
      <c r="E61" s="262">
        <f>'数据-汇总表'!E11</f>
        <v>0</v>
      </c>
      <c r="F61" s="297" t="e">
        <f t="shared" si="15"/>
        <v>#DIV/0!</v>
      </c>
      <c r="G61" s="1096" t="s">
        <v>1536</v>
      </c>
      <c r="H61" s="1097" t="str">
        <f>项目基本情况!C37</f>
        <v>四级</v>
      </c>
      <c r="I61" s="1296">
        <f>SUMIF(修正!A57:A68,H61,修正!E57:E68)</f>
        <v>0.25</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0.25</v>
      </c>
      <c r="D62" s="1095">
        <v>0.25</v>
      </c>
      <c r="E62" s="262">
        <f>'数据-汇总表'!E12</f>
        <v>0</v>
      </c>
      <c r="F62" s="297" t="e">
        <f t="shared" si="15"/>
        <v>#DIV/0!</v>
      </c>
      <c r="G62" s="1098" t="s">
        <v>1538</v>
      </c>
      <c r="H62" s="1097" t="str">
        <f>IF(G62="商业",项目基本情况!B37,IF(G62="办公",项目基本情况!C37,IF(G62="住宅",项目基本情况!D37,项目基本情况!E37)))</f>
        <v>四级</v>
      </c>
      <c r="I62" s="1296">
        <f>SUMIF(修正!A57:A68,H62,修正!F57:F68)</f>
        <v>0.25</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v>
      </c>
      <c r="D64" s="1095">
        <v>0.25</v>
      </c>
      <c r="E64" s="262">
        <f>'数据-汇总表'!E14</f>
        <v>0</v>
      </c>
      <c r="F64" s="297" t="e">
        <f t="shared" si="15"/>
        <v>#DIV/0!</v>
      </c>
      <c r="G64" s="1096" t="s">
        <v>1531</v>
      </c>
      <c r="H64" s="1097">
        <f>项目基本情况!B37</f>
        <v>0</v>
      </c>
      <c r="I64" s="1296">
        <f>SUMIF(修正!A57:A68,H64,修正!G57:G68)</f>
        <v>0</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0.15</v>
      </c>
      <c r="D65" s="1095">
        <v>0.25</v>
      </c>
      <c r="E65" s="262">
        <f>'数据-汇总表'!E15</f>
        <v>0</v>
      </c>
      <c r="F65" s="297" t="e">
        <f t="shared" si="15"/>
        <v>#DIV/0!</v>
      </c>
      <c r="G65" s="1099" t="s">
        <v>1536</v>
      </c>
      <c r="H65" s="1100" t="str">
        <f>项目基本情况!C37</f>
        <v>四级</v>
      </c>
      <c r="I65" s="1302">
        <f>SUMIF(修正!A57:A68,H65,修正!G57:G68)</f>
        <v>0.15</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2022-11-1</v>
      </c>
      <c r="D68" s="1080">
        <f>EDATE(C68,-3)</f>
        <v>44774</v>
      </c>
      <c r="E68" s="1080">
        <f>EDATE(D68,-3)</f>
        <v>44682</v>
      </c>
      <c r="F68" s="1080">
        <f t="shared" ref="F68:O68" si="18">EDATE(E68,-3)</f>
        <v>44593</v>
      </c>
      <c r="G68" s="1080">
        <f t="shared" si="18"/>
        <v>44501</v>
      </c>
      <c r="H68" s="1080">
        <f t="shared" si="18"/>
        <v>44409</v>
      </c>
      <c r="I68" s="1080">
        <f t="shared" si="18"/>
        <v>44317</v>
      </c>
      <c r="J68" s="1080">
        <f t="shared" si="18"/>
        <v>44228</v>
      </c>
      <c r="K68" s="1080">
        <f t="shared" si="18"/>
        <v>44136</v>
      </c>
      <c r="L68" s="1080">
        <f t="shared" si="18"/>
        <v>44044</v>
      </c>
      <c r="M68" s="1080">
        <f t="shared" si="18"/>
        <v>43952</v>
      </c>
      <c r="N68" s="1080">
        <f t="shared" si="18"/>
        <v>43862</v>
      </c>
      <c r="O68" s="1080">
        <f t="shared" si="18"/>
        <v>43770</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2022-4</v>
      </c>
      <c r="D70" s="1185" t="str">
        <f>YEAR(D68)&amp;"-"&amp;ROUNDUP(MONTH(D68)/3,0)</f>
        <v>2022-3</v>
      </c>
      <c r="E70" s="1185" t="str">
        <f t="shared" ref="E70:O70" si="19">YEAR(E68)&amp;"-"&amp;ROUNDUP(MONTH(E68)/3,0)</f>
        <v>2022-2</v>
      </c>
      <c r="F70" s="1185" t="str">
        <f t="shared" si="19"/>
        <v>2022-1</v>
      </c>
      <c r="G70" s="1185" t="str">
        <f t="shared" si="19"/>
        <v>2021-4</v>
      </c>
      <c r="H70" s="1185" t="str">
        <f t="shared" si="19"/>
        <v>2021-3</v>
      </c>
      <c r="I70" s="1185" t="str">
        <f t="shared" si="19"/>
        <v>2021-2</v>
      </c>
      <c r="J70" s="1185" t="str">
        <f t="shared" si="19"/>
        <v>2021-1</v>
      </c>
      <c r="K70" s="1185" t="str">
        <f t="shared" si="19"/>
        <v>2020-4</v>
      </c>
      <c r="L70" s="1185" t="str">
        <f t="shared" si="19"/>
        <v>2020-3</v>
      </c>
      <c r="M70" s="1185" t="str">
        <f t="shared" si="19"/>
        <v>2020-2</v>
      </c>
      <c r="N70" s="1185" t="str">
        <f t="shared" si="19"/>
        <v>2020-1</v>
      </c>
      <c r="O70" s="1185" t="str">
        <f t="shared" si="19"/>
        <v>2019-4</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44888</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v>
      </c>
      <c r="D52" s="1095">
        <v>0.25</v>
      </c>
      <c r="E52" s="261"/>
      <c r="F52" s="1090" t="e">
        <f t="shared" si="15"/>
        <v>#DIV/0!</v>
      </c>
      <c r="G52" s="1096" t="s">
        <v>1531</v>
      </c>
      <c r="H52" s="1097">
        <f>项目基本情况!B37</f>
        <v>0</v>
      </c>
      <c r="I52" s="1151">
        <f>SUMIF(修正!A57:A68,H52,修正!B57:B68)</f>
        <v>0</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v>
      </c>
      <c r="D53" s="1095">
        <v>0.25</v>
      </c>
      <c r="E53" s="261"/>
      <c r="F53" s="1090" t="e">
        <f t="shared" si="15"/>
        <v>#DIV/0!</v>
      </c>
      <c r="G53" s="1096"/>
      <c r="H53" s="1097">
        <f>项目基本情况!B37</f>
        <v>0</v>
      </c>
      <c r="I53" s="1151">
        <f>SUMIF(修正!A57:A68,H53,修正!C57:C68)</f>
        <v>0</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v>
      </c>
      <c r="D54" s="1095">
        <v>0.25</v>
      </c>
      <c r="E54" s="261"/>
      <c r="F54" s="1090" t="e">
        <f t="shared" si="15"/>
        <v>#DIV/0!</v>
      </c>
      <c r="G54" s="1096"/>
      <c r="H54" s="1097">
        <f>项目基本情况!B37</f>
        <v>0</v>
      </c>
      <c r="I54" s="1151">
        <f>SUMIF(修正!A57:A68,H54,修正!D57:D68)</f>
        <v>0</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f>项目基本情况!B37</f>
        <v>0</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0.25</v>
      </c>
      <c r="D56" s="1095">
        <v>0.25</v>
      </c>
      <c r="E56" s="262">
        <f>'数据-汇总表'!E11</f>
        <v>0</v>
      </c>
      <c r="F56" s="1090" t="e">
        <f t="shared" si="15"/>
        <v>#DIV/0!</v>
      </c>
      <c r="G56" s="1096" t="s">
        <v>1536</v>
      </c>
      <c r="H56" s="1097" t="str">
        <f>项目基本情况!C37</f>
        <v>四级</v>
      </c>
      <c r="I56" s="1151">
        <f>SUMIF(修正!A57:A68,H56,修正!E57:E68)</f>
        <v>0.25</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0.25</v>
      </c>
      <c r="D57" s="1095">
        <v>0.25</v>
      </c>
      <c r="E57" s="262">
        <f>'数据-汇总表'!E12</f>
        <v>0</v>
      </c>
      <c r="F57" s="1090" t="e">
        <f t="shared" si="15"/>
        <v>#DIV/0!</v>
      </c>
      <c r="G57" s="1098" t="s">
        <v>1538</v>
      </c>
      <c r="H57" s="1097" t="str">
        <f>IF(G57="商业",项目基本情况!B37,IF(G57="办公",项目基本情况!C37,IF(G57="住宅",项目基本情况!D37,项目基本情况!E37)))</f>
        <v>四级</v>
      </c>
      <c r="I57" s="1151">
        <f>SUMIF(修正!A57:A68,H57,修正!F57:F68)</f>
        <v>0.25</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v>
      </c>
      <c r="D59" s="1095">
        <v>0.25</v>
      </c>
      <c r="E59" s="262">
        <f>'数据-汇总表'!E14</f>
        <v>0</v>
      </c>
      <c r="F59" s="1090" t="e">
        <f t="shared" si="15"/>
        <v>#DIV/0!</v>
      </c>
      <c r="G59" s="1096" t="s">
        <v>1531</v>
      </c>
      <c r="H59" s="1097">
        <f>项目基本情况!B37</f>
        <v>0</v>
      </c>
      <c r="I59" s="1151">
        <f>SUMIF(修正!A57:A68,H59,修正!G57:G68)</f>
        <v>0</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0.15</v>
      </c>
      <c r="D60" s="1095">
        <v>0.25</v>
      </c>
      <c r="E60" s="262">
        <f>'数据-汇总表'!E15</f>
        <v>0</v>
      </c>
      <c r="F60" s="1090" t="e">
        <f t="shared" si="15"/>
        <v>#DIV/0!</v>
      </c>
      <c r="G60" s="1099" t="s">
        <v>1536</v>
      </c>
      <c r="H60" s="1100" t="str">
        <f>项目基本情况!C37</f>
        <v>四级</v>
      </c>
      <c r="I60" s="1151">
        <f>SUMIF(修正!A57:A68,H60,修正!G57:G68)</f>
        <v>0.15</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2022-11-1</v>
      </c>
      <c r="D63" s="1080">
        <f>EDATE(C63,-3)</f>
        <v>44774</v>
      </c>
      <c r="E63" s="1080">
        <f>EDATE(D63,-3)</f>
        <v>44682</v>
      </c>
      <c r="F63" s="1080">
        <f t="shared" ref="F63:O63" si="18">EDATE(E63,-3)</f>
        <v>44593</v>
      </c>
      <c r="G63" s="1080">
        <f t="shared" si="18"/>
        <v>44501</v>
      </c>
      <c r="H63" s="1080">
        <f t="shared" si="18"/>
        <v>44409</v>
      </c>
      <c r="I63" s="1080">
        <f t="shared" si="18"/>
        <v>44317</v>
      </c>
      <c r="J63" s="1080">
        <f t="shared" si="18"/>
        <v>44228</v>
      </c>
      <c r="K63" s="1080">
        <f t="shared" si="18"/>
        <v>44136</v>
      </c>
      <c r="L63" s="1080">
        <f t="shared" si="18"/>
        <v>44044</v>
      </c>
      <c r="M63" s="1080">
        <f t="shared" si="18"/>
        <v>43952</v>
      </c>
      <c r="N63" s="1080">
        <f t="shared" si="18"/>
        <v>43862</v>
      </c>
      <c r="O63" s="1080">
        <f t="shared" si="18"/>
        <v>43770</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2022-4</v>
      </c>
      <c r="D65" s="1185" t="str">
        <f t="shared" ref="D65:O65" si="19">YEAR(D63)&amp;"-"&amp;ROUNDUP(MONTH(D63)/3,0)</f>
        <v>2022-3</v>
      </c>
      <c r="E65" s="1185" t="str">
        <f t="shared" si="19"/>
        <v>2022-2</v>
      </c>
      <c r="F65" s="1185" t="str">
        <f t="shared" si="19"/>
        <v>2022-1</v>
      </c>
      <c r="G65" s="1185" t="str">
        <f t="shared" si="19"/>
        <v>2021-4</v>
      </c>
      <c r="H65" s="1185" t="str">
        <f t="shared" si="19"/>
        <v>2021-3</v>
      </c>
      <c r="I65" s="1185" t="str">
        <f t="shared" si="19"/>
        <v>2021-2</v>
      </c>
      <c r="J65" s="1185" t="str">
        <f t="shared" si="19"/>
        <v>2021-1</v>
      </c>
      <c r="K65" s="1185" t="str">
        <f t="shared" si="19"/>
        <v>2020-4</v>
      </c>
      <c r="L65" s="1185" t="str">
        <f t="shared" si="19"/>
        <v>2020-3</v>
      </c>
      <c r="M65" s="1185" t="str">
        <f t="shared" si="19"/>
        <v>2020-2</v>
      </c>
      <c r="N65" s="1185" t="str">
        <f t="shared" si="19"/>
        <v>2020-1</v>
      </c>
      <c r="O65" s="1185" t="str">
        <f t="shared" si="19"/>
        <v>2019-4</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北京市平均增长率0.52%</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90" zoomScaleNormal="80" workbookViewId="0">
      <selection activeCell="E67" sqref="E67"/>
    </sheetView>
  </sheetViews>
  <sheetFormatPr defaultColWidth="12" defaultRowHeight="13.2"/>
  <cols>
    <col min="1" max="1" width="9.77777777777778" style="650" customWidth="1"/>
    <col min="2" max="2" width="23.8796296296296" style="650" customWidth="1"/>
    <col min="3" max="4" width="12" style="650"/>
    <col min="5" max="5" width="14.6666666666667" style="650" customWidth="1"/>
    <col min="6" max="6" width="12.7777777777778" style="650" customWidth="1"/>
    <col min="7" max="8" width="12" style="650"/>
    <col min="9" max="9" width="12.212962962963" style="650" customWidth="1"/>
    <col min="10" max="10" width="12" style="650"/>
    <col min="11" max="11" width="8.11111111111111" style="649" customWidth="1"/>
    <col min="12" max="12" width="16.8796296296296"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11398.58</v>
      </c>
      <c r="E1" s="655"/>
      <c r="F1" s="655"/>
      <c r="G1" s="655"/>
      <c r="H1" s="655"/>
      <c r="I1" s="655"/>
      <c r="J1" s="655"/>
      <c r="L1" s="832" t="s">
        <v>1556</v>
      </c>
      <c r="M1" s="833">
        <f>SUMPRODUCT((区片价!B5:B9=I2)*(区片价!C3:G3=E2)*(区片价!C5:G9))</f>
        <v>0</v>
      </c>
      <c r="N1" s="654">
        <f>SUMPRODUCT((因素修正幅度!B5:B9=I2)*(因素修正幅度!C3:G3=E2)*(因素修正幅度!C5:G9))</f>
        <v>0</v>
      </c>
      <c r="Q1" s="649"/>
      <c r="R1" s="906" t="s">
        <v>1557</v>
      </c>
      <c r="S1" s="906" t="s">
        <v>1558</v>
      </c>
      <c r="T1" s="906" t="s">
        <v>1559</v>
      </c>
      <c r="U1" s="906" t="s">
        <v>1560</v>
      </c>
      <c r="V1" s="906" t="s">
        <v>1561</v>
      </c>
      <c r="W1" s="907"/>
      <c r="X1" s="907"/>
      <c r="Y1" s="907"/>
      <c r="Z1" s="907"/>
      <c r="AA1" s="907"/>
      <c r="AB1" s="907"/>
      <c r="AC1" s="907"/>
      <c r="AD1" s="913"/>
      <c r="AE1" s="913"/>
      <c r="AF1" s="913"/>
      <c r="AG1" s="913"/>
      <c r="AH1" s="913"/>
      <c r="AI1" s="913"/>
      <c r="AJ1" s="919"/>
    </row>
    <row r="2" ht="15.6" spans="1:36">
      <c r="A2" s="653" t="s">
        <v>888</v>
      </c>
      <c r="B2" s="656">
        <f>C30</f>
        <v>19863</v>
      </c>
      <c r="C2" s="657" t="s">
        <v>889</v>
      </c>
      <c r="D2" s="654" t="s">
        <v>1562</v>
      </c>
      <c r="E2" s="658" t="s">
        <v>1563</v>
      </c>
      <c r="F2" s="654" t="s">
        <v>1564</v>
      </c>
      <c r="G2" s="654" t="str">
        <f>IF(E2="商业",项目基本情况!B37,IF(E2="办公",项目基本情况!C37,IF(E2="住宅",项目基本情况!D37,IF(E2="工业",项目基本情况!E37,项目基本情况!F37))))</f>
        <v>四级</v>
      </c>
      <c r="H2" s="654" t="s">
        <v>1565</v>
      </c>
      <c r="I2" s="654" t="str">
        <f>IF(E2="商业",项目基本情况!B38,IF(E2="办公",项目基本情况!C38,IF(E2="住宅",项目基本情况!D38,IF(E2="工业",项目基本情况!E38,项目基本情况!F38))))</f>
        <v>Ⅳ-06</v>
      </c>
      <c r="J2" s="655"/>
      <c r="L2" s="834" t="s">
        <v>1566</v>
      </c>
      <c r="M2" s="835">
        <f>SUMPRODUCT((区片价!B10:B29=I2)*(区片价!C3:G3=E2)*(区片价!C10:G29))</f>
        <v>0</v>
      </c>
      <c r="N2" s="654">
        <f>SUMPRODUCT((因素修正幅度!B10:B29=I2)*(因素修正幅度!C3:G3=E2)*(因素修正幅度!C10:G29))</f>
        <v>0</v>
      </c>
      <c r="O2" s="649"/>
      <c r="P2" s="649"/>
      <c r="Q2" s="649"/>
      <c r="R2" s="906">
        <v>1</v>
      </c>
      <c r="S2" s="906">
        <f>ROUND(SUMPRODUCT((B107:B111=R2)*(C106:N106=G2)*(C107:N111)),4)</f>
        <v>1.5019</v>
      </c>
      <c r="T2" s="906">
        <f t="shared" ref="T2:T16" si="0">ROUND($C$5*$C$22*$C$23*$C$24*S2*$C$28,0)</f>
        <v>29730</v>
      </c>
      <c r="U2" s="908"/>
      <c r="V2" s="906">
        <f>ROUND(T2*U2/10000,0)</f>
        <v>0</v>
      </c>
      <c r="W2" s="907"/>
      <c r="X2" s="907"/>
      <c r="Y2" s="907"/>
      <c r="Z2" s="907"/>
      <c r="AA2" s="907"/>
      <c r="AB2" s="907"/>
      <c r="AC2" s="907"/>
      <c r="AD2" s="913"/>
      <c r="AE2" s="913"/>
      <c r="AF2" s="913"/>
      <c r="AG2" s="913"/>
      <c r="AH2" s="913"/>
      <c r="AI2" s="913"/>
      <c r="AJ2" s="919"/>
    </row>
    <row r="3" ht="15.6" spans="1:36">
      <c r="A3" s="656" t="s">
        <v>890</v>
      </c>
      <c r="B3" s="656">
        <f>ROUND(B2*10000/D1,0)</f>
        <v>17426</v>
      </c>
      <c r="C3" s="657" t="s">
        <v>891</v>
      </c>
      <c r="D3" s="654" t="s">
        <v>1567</v>
      </c>
      <c r="E3" s="658" t="s">
        <v>1568</v>
      </c>
      <c r="F3" s="659" t="s">
        <v>1569</v>
      </c>
      <c r="G3" s="660">
        <v>2.92</v>
      </c>
      <c r="H3" s="654" t="s">
        <v>1570</v>
      </c>
      <c r="I3" s="660"/>
      <c r="J3" s="655" t="s">
        <v>1571</v>
      </c>
      <c r="L3" s="834" t="s">
        <v>1572</v>
      </c>
      <c r="M3" s="835">
        <f>SUMPRODUCT((区片价!B30:B54=I2)*(区片价!C3:G3=E2)*(区片价!C30:G54))</f>
        <v>0</v>
      </c>
      <c r="N3" s="654">
        <f>SUMPRODUCT((因素修正幅度!B30:B54=I2)*(因素修正幅度!C3:G3=E2)*(因素修正幅度!C30:G54))</f>
        <v>0</v>
      </c>
      <c r="O3" s="649"/>
      <c r="P3" s="649"/>
      <c r="Q3" s="649"/>
      <c r="R3" s="906">
        <v>2</v>
      </c>
      <c r="S3" s="906">
        <f>ROUND(SUMPRODUCT((B107:B111=R3)*(C106:N106=G2)*(C107:N111)),4)</f>
        <v>1.1838</v>
      </c>
      <c r="T3" s="906">
        <f t="shared" si="0"/>
        <v>23433</v>
      </c>
      <c r="U3" s="908"/>
      <c r="V3" s="906">
        <f t="shared" ref="V3:V16" si="1">ROUND(T3*U3/10000,0)</f>
        <v>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21260</v>
      </c>
      <c r="N4" s="654">
        <f>SUMPRODUCT((因素修正幅度!B55:B86=I2)*(因素修正幅度!C3:G3=E2)*(因素修正幅度!C55:G86))</f>
        <v>0.097</v>
      </c>
      <c r="O4" s="649"/>
      <c r="P4" s="649"/>
      <c r="Q4" s="649"/>
      <c r="R4" s="906">
        <v>3</v>
      </c>
      <c r="S4" s="906">
        <f>ROUND(SUMPRODUCT((B107:B111=R4)*(C106:N106=G2)*(C107:N111)),4)</f>
        <v>1.0005</v>
      </c>
      <c r="T4" s="906">
        <f t="shared" si="0"/>
        <v>19805</v>
      </c>
      <c r="U4" s="908"/>
      <c r="V4" s="906">
        <f t="shared" si="1"/>
        <v>0</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21240</v>
      </c>
      <c r="D5" s="666">
        <f>ROUND(C6*C17+C20,0)</f>
        <v>21240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6">
        <v>4</v>
      </c>
      <c r="S5" s="906">
        <f>ROUND(SUMPRODUCT((B107:B111=R5)*(C106:N106=G2)*(C107:N111)),4)</f>
        <v>0.8824</v>
      </c>
      <c r="T5" s="906">
        <f t="shared" si="0"/>
        <v>17467</v>
      </c>
      <c r="U5" s="908"/>
      <c r="V5" s="906">
        <f t="shared" si="1"/>
        <v>0</v>
      </c>
      <c r="W5" s="907"/>
      <c r="X5" s="907"/>
      <c r="Y5" s="907"/>
      <c r="Z5" s="907"/>
      <c r="AA5" s="907"/>
      <c r="AB5" s="907"/>
      <c r="AC5" s="914"/>
      <c r="AD5" s="915"/>
      <c r="AE5" s="915"/>
      <c r="AF5" s="915"/>
      <c r="AG5" s="915"/>
      <c r="AH5" s="915"/>
      <c r="AI5" s="915"/>
      <c r="AJ5" s="920"/>
    </row>
    <row r="6" ht="15.75" spans="1:36">
      <c r="A6" s="669" t="s">
        <v>893</v>
      </c>
      <c r="B6" s="670" t="s">
        <v>1576</v>
      </c>
      <c r="C6" s="671">
        <f>SUMIF(L1:L12,G2,M1:M12)</f>
        <v>21260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6">
        <v>5</v>
      </c>
      <c r="S6" s="906">
        <f>ROUND(SUMPRODUCT((B107:B111=R6)*(C106:N106=G2)*(C107:N111)),4)</f>
        <v>0.848</v>
      </c>
      <c r="T6" s="906">
        <f t="shared" si="0"/>
        <v>16786</v>
      </c>
      <c r="U6" s="908"/>
      <c r="V6" s="906">
        <f t="shared" si="1"/>
        <v>0</v>
      </c>
      <c r="W6" s="907"/>
      <c r="X6" s="907"/>
      <c r="Y6" s="907"/>
      <c r="Z6" s="907"/>
      <c r="AA6" s="907"/>
      <c r="AB6" s="907"/>
      <c r="AC6" s="914"/>
      <c r="AD6" s="915"/>
      <c r="AE6" s="915"/>
      <c r="AF6" s="915"/>
      <c r="AG6" s="915"/>
      <c r="AH6" s="915"/>
      <c r="AI6" s="915"/>
      <c r="AJ6" s="920"/>
    </row>
    <row r="7" ht="24.75" spans="1:36">
      <c r="A7" s="674" t="s">
        <v>1579</v>
      </c>
      <c r="B7" s="675" t="s">
        <v>1580</v>
      </c>
      <c r="C7" s="676">
        <f>IF(C8="不临65条商业街",1,ROUND(1+(1.6*E8+1.2*E9+0.8*E10+0.4*E11)*C9,4))</f>
        <v>1</v>
      </c>
      <c r="D7" s="677" t="s">
        <v>1581</v>
      </c>
      <c r="E7" s="678"/>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6">
        <v>6</v>
      </c>
      <c r="S7" s="908"/>
      <c r="T7" s="906">
        <f t="shared" si="0"/>
        <v>0</v>
      </c>
      <c r="U7" s="908"/>
      <c r="V7" s="906">
        <f t="shared" si="1"/>
        <v>0</v>
      </c>
      <c r="W7" s="909" t="s">
        <v>1583</v>
      </c>
      <c r="X7" s="910" t="str">
        <f>G2</f>
        <v>四级</v>
      </c>
      <c r="Y7" s="910" t="s">
        <v>1584</v>
      </c>
      <c r="Z7" s="910">
        <f>G3</f>
        <v>2.92</v>
      </c>
      <c r="AA7" s="907"/>
      <c r="AB7" s="907"/>
      <c r="AC7" s="907"/>
      <c r="AD7" s="913"/>
      <c r="AE7" s="913"/>
      <c r="AF7" s="913"/>
      <c r="AG7" s="913"/>
      <c r="AH7" s="913"/>
      <c r="AI7" s="913"/>
      <c r="AJ7" s="919"/>
    </row>
    <row r="8" ht="25.2" spans="1:36">
      <c r="A8" s="680"/>
      <c r="B8" s="654" t="s">
        <v>1585</v>
      </c>
      <c r="C8" s="658" t="s">
        <v>1586</v>
      </c>
      <c r="D8" s="681" t="s">
        <v>1587</v>
      </c>
      <c r="E8" s="682" t="e">
        <f>ROUND(C11/E7,4)</f>
        <v>#DIV/0!</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c r="Q8" s="649"/>
      <c r="R8" s="906">
        <v>7</v>
      </c>
      <c r="S8" s="908"/>
      <c r="T8" s="906">
        <f t="shared" si="0"/>
        <v>0</v>
      </c>
      <c r="U8" s="908"/>
      <c r="V8" s="906">
        <f t="shared" si="1"/>
        <v>0</v>
      </c>
      <c r="W8" s="911" t="s">
        <v>1590</v>
      </c>
      <c r="X8" s="909"/>
      <c r="Y8" s="912" t="s">
        <v>1591</v>
      </c>
      <c r="Z8" s="912" t="s">
        <v>1592</v>
      </c>
      <c r="AA8" s="912" t="s">
        <v>1593</v>
      </c>
      <c r="AB8" s="912" t="s">
        <v>1594</v>
      </c>
      <c r="AC8" s="912" t="s">
        <v>1595</v>
      </c>
      <c r="AD8" s="912" t="s">
        <v>1596</v>
      </c>
      <c r="AE8" s="912" t="s">
        <v>1597</v>
      </c>
      <c r="AF8" s="912" t="s">
        <v>1598</v>
      </c>
      <c r="AG8" s="912" t="s">
        <v>1599</v>
      </c>
      <c r="AH8" s="912" t="s">
        <v>1600</v>
      </c>
      <c r="AI8" s="912" t="s">
        <v>1601</v>
      </c>
      <c r="AJ8" s="912" t="s">
        <v>1602</v>
      </c>
    </row>
    <row r="9" ht="15" spans="1:36">
      <c r="A9" s="680"/>
      <c r="B9" s="654" t="s">
        <v>1603</v>
      </c>
      <c r="C9" s="654">
        <f>SUMIF(修正!C71:C138,C8,修正!E71:E138)</f>
        <v>0</v>
      </c>
      <c r="D9" s="654" t="s">
        <v>1604</v>
      </c>
      <c r="E9" s="654" t="e">
        <f>ROUND(C11/E7,4)</f>
        <v>#DIV/0!</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c r="Q9" s="649"/>
      <c r="R9" s="906">
        <v>8</v>
      </c>
      <c r="S9" s="908"/>
      <c r="T9" s="906">
        <f t="shared" si="0"/>
        <v>0</v>
      </c>
      <c r="U9" s="908"/>
      <c r="V9" s="906">
        <f t="shared" si="1"/>
        <v>0</v>
      </c>
      <c r="W9" s="909"/>
      <c r="X9" s="912" t="s">
        <v>1607</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80"/>
      <c r="B10" s="654" t="s">
        <v>1608</v>
      </c>
      <c r="C10" s="654">
        <f>SUMIF(修正!C71:C138,C8,修正!F71:F138)</f>
        <v>0</v>
      </c>
      <c r="D10" s="654" t="s">
        <v>1609</v>
      </c>
      <c r="E10" s="654" t="e">
        <f>ROUND(C11/E7,4)</f>
        <v>#DIV/0!</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1"/>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1612</v>
      </c>
      <c r="C11" s="686">
        <f>C10/4</f>
        <v>0</v>
      </c>
      <c r="D11" s="686" t="s">
        <v>1613</v>
      </c>
      <c r="E11" s="686" t="e">
        <f>ROUND(C11/E7,4)</f>
        <v>#DIV/0!</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1"/>
        <v>0</v>
      </c>
      <c r="W11" s="907"/>
      <c r="X11" s="907"/>
      <c r="Y11" s="907"/>
      <c r="Z11" s="907"/>
      <c r="AA11" s="907"/>
      <c r="AB11" s="907"/>
      <c r="AC11" s="907"/>
      <c r="AD11" s="913"/>
      <c r="AE11" s="913"/>
      <c r="AF11" s="913"/>
      <c r="AG11" s="913"/>
      <c r="AH11" s="913"/>
      <c r="AI11" s="913"/>
      <c r="AJ11" s="919"/>
    </row>
    <row r="12" ht="25.95" spans="1:36">
      <c r="A12" s="674" t="s">
        <v>1616</v>
      </c>
      <c r="B12" s="689" t="s">
        <v>1617</v>
      </c>
      <c r="C12" s="690">
        <v>1</v>
      </c>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1"/>
        <v>0</v>
      </c>
      <c r="W12" s="907"/>
      <c r="X12" s="907"/>
      <c r="Y12" s="907"/>
      <c r="Z12" s="907"/>
      <c r="AA12" s="907"/>
      <c r="AB12" s="907"/>
      <c r="AC12" s="907"/>
      <c r="AD12" s="913"/>
      <c r="AE12" s="913"/>
      <c r="AF12" s="913"/>
      <c r="AG12" s="913"/>
      <c r="AH12" s="913"/>
      <c r="AI12" s="913"/>
      <c r="AJ12" s="919"/>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6">
        <v>12</v>
      </c>
      <c r="S13" s="908"/>
      <c r="T13" s="906">
        <f t="shared" si="0"/>
        <v>0</v>
      </c>
      <c r="U13" s="908"/>
      <c r="V13" s="906">
        <f t="shared" si="1"/>
        <v>0</v>
      </c>
      <c r="W13" s="907"/>
      <c r="X13" s="907"/>
      <c r="Y13" s="907"/>
      <c r="Z13" s="907"/>
      <c r="AA13" s="907"/>
      <c r="AB13" s="907"/>
      <c r="AC13" s="907"/>
      <c r="AD13" s="913"/>
      <c r="AE13" s="913"/>
      <c r="AF13" s="913"/>
      <c r="AG13" s="913"/>
      <c r="AH13" s="913"/>
      <c r="AI13" s="913"/>
      <c r="AJ13" s="919"/>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6">
        <v>13</v>
      </c>
      <c r="S14" s="908"/>
      <c r="T14" s="906">
        <f t="shared" si="0"/>
        <v>0</v>
      </c>
      <c r="U14" s="908"/>
      <c r="V14" s="906">
        <f t="shared" si="1"/>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1629</v>
      </c>
      <c r="G15" s="709"/>
      <c r="H15" s="710"/>
      <c r="I15" s="849"/>
      <c r="J15" s="850"/>
      <c r="L15" s="649"/>
      <c r="M15" s="649"/>
      <c r="N15" s="649"/>
      <c r="O15" s="649"/>
      <c r="P15" s="649"/>
      <c r="Q15" s="649"/>
      <c r="R15" s="906">
        <v>14</v>
      </c>
      <c r="S15" s="908"/>
      <c r="T15" s="906">
        <f t="shared" si="0"/>
        <v>0</v>
      </c>
      <c r="U15" s="908"/>
      <c r="V15" s="906">
        <f t="shared" si="1"/>
        <v>0</v>
      </c>
      <c r="W15" s="907"/>
      <c r="X15" s="907"/>
      <c r="Y15" s="907"/>
      <c r="Z15" s="907"/>
      <c r="AA15" s="907"/>
      <c r="AB15" s="907"/>
      <c r="AC15" s="907"/>
      <c r="AD15" s="913"/>
      <c r="AE15" s="913"/>
      <c r="AF15" s="913"/>
      <c r="AG15" s="913"/>
      <c r="AH15" s="913"/>
      <c r="AI15" s="913"/>
      <c r="AJ15" s="919"/>
    </row>
    <row r="16" ht="15.75" spans="1:36">
      <c r="A16" s="699"/>
      <c r="B16" s="711" t="s">
        <v>1630</v>
      </c>
      <c r="C16" s="712"/>
      <c r="D16" s="712"/>
      <c r="E16" s="712"/>
      <c r="F16" s="712">
        <v>1</v>
      </c>
      <c r="G16" s="712">
        <v>1</v>
      </c>
      <c r="H16" s="712">
        <v>1</v>
      </c>
      <c r="I16" s="712">
        <v>1</v>
      </c>
      <c r="J16" s="851">
        <v>1</v>
      </c>
      <c r="O16" s="649"/>
      <c r="P16" s="649"/>
      <c r="Q16" s="649"/>
      <c r="R16" s="906">
        <v>15</v>
      </c>
      <c r="S16" s="908"/>
      <c r="T16" s="906">
        <f t="shared" si="0"/>
        <v>0</v>
      </c>
      <c r="U16" s="908"/>
      <c r="V16" s="906">
        <f t="shared" si="1"/>
        <v>0</v>
      </c>
      <c r="W16" s="907"/>
      <c r="X16" s="907"/>
      <c r="Y16" s="907"/>
      <c r="Z16" s="907"/>
      <c r="AA16" s="907"/>
      <c r="AB16" s="907"/>
      <c r="AC16" s="907"/>
      <c r="AD16" s="913"/>
      <c r="AE16" s="913"/>
      <c r="AF16" s="913"/>
      <c r="AG16" s="913"/>
      <c r="AH16" s="913"/>
      <c r="AI16" s="913"/>
      <c r="AJ16" s="919"/>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0.9312</v>
      </c>
      <c r="J18" s="853"/>
      <c r="K18" s="649"/>
      <c r="L18" s="649">
        <f>SUMPRODUCT(('地价-分区'!A22:A30=YEAR(G23)&amp;"-"&amp;ROUNDUP(MONTH(G23)/3,0))*('地价-分区'!S19:W19=E2)*('地价-分区'!S22:W30))</f>
        <v>1.0114</v>
      </c>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1638</v>
      </c>
      <c r="E19" s="712">
        <v>0</v>
      </c>
      <c r="F19" s="726" t="s">
        <v>1639</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1640</v>
      </c>
      <c r="B20" s="675" t="s">
        <v>1641</v>
      </c>
      <c r="C20" s="675">
        <f>ROUND(IF(F21="与级别开发程度一致",0,(G21-E21)/C21),0)</f>
        <v>-20</v>
      </c>
      <c r="D20" s="728" t="s">
        <v>1642</v>
      </c>
      <c r="E20" s="729"/>
      <c r="F20" s="728" t="s">
        <v>1643</v>
      </c>
      <c r="G20" s="729"/>
      <c r="H20" s="730" t="s">
        <v>1644</v>
      </c>
      <c r="I20" s="730" t="s">
        <v>1645</v>
      </c>
      <c r="J20" s="855" t="s">
        <v>1646</v>
      </c>
      <c r="K20" s="730" t="s">
        <v>1647</v>
      </c>
      <c r="L20" s="730" t="s">
        <v>1648</v>
      </c>
      <c r="M20" s="730"/>
      <c r="N20" s="730" t="s">
        <v>1649</v>
      </c>
      <c r="O20" s="856" t="s">
        <v>1650</v>
      </c>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1651</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1652</v>
      </c>
      <c r="G21" s="737">
        <f>SUM(H21:O21)</f>
        <v>265</v>
      </c>
      <c r="H21" s="733">
        <f>SUMPRODUCT((七通一平=H20)*(修正!B1:M1=G2)*(修正!B8:M16))</f>
        <v>70</v>
      </c>
      <c r="I21" s="733">
        <f>SUMPRODUCT((七通一平=I20)*(修正!B1:M1=G2)*(修正!B8:M16))</f>
        <v>60</v>
      </c>
      <c r="J21" s="857">
        <f>SUMPRODUCT((七通一平=J20)*(修正!B1:M1=G2)*(修正!B8:M16))</f>
        <v>15</v>
      </c>
      <c r="K21" s="733">
        <f>SUMPRODUCT((七通一平=K20)*(修正!B1:M1=G2)*(修正!B8:M16))</f>
        <v>25</v>
      </c>
      <c r="L21" s="733">
        <f>SUMPRODUCT((七通一平=L20)*(修正!B1:M1=G2)*(修正!B8:M16))</f>
        <v>40</v>
      </c>
      <c r="M21" s="733">
        <f>SUMPRODUCT((七通一平=M20)*(修正!B1:M1=G2)*(修正!B8:M16))</f>
        <v>0</v>
      </c>
      <c r="N21" s="733">
        <f>SUMPRODUCT((七通一平=N20)*(修正!B1:M1=G2)*(修正!B8:M16))</f>
        <v>40</v>
      </c>
      <c r="O21" s="829">
        <f>SUMPRODUCT((七通一平=O20)*(修正!B1:M1=G2)*(修正!B8:M16))</f>
        <v>15</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1653</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1654</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v>
      </c>
      <c r="D23" s="745" t="s">
        <v>1655</v>
      </c>
      <c r="E23" s="746">
        <v>44197</v>
      </c>
      <c r="F23" s="745" t="s">
        <v>1656</v>
      </c>
      <c r="G23" s="747">
        <f>项目基本情况!D3</f>
        <v>44888</v>
      </c>
      <c r="H23" s="748" t="s">
        <v>1657</v>
      </c>
      <c r="I23" s="860" t="str">
        <f>IF(H23="季度增幅（自定义）",SUMIF(N25:N28,E2,O25:O28),"")</f>
        <v/>
      </c>
      <c r="J23" s="861" t="s">
        <v>1658</v>
      </c>
      <c r="K23" s="859"/>
      <c r="L23" s="862" t="s">
        <v>1659</v>
      </c>
      <c r="M23" s="863">
        <f>ROUND(SUMIF(地价!B2:G2,E2,地价!B13:G13),0)</f>
        <v>348</v>
      </c>
      <c r="N23" s="673" t="s">
        <v>1660</v>
      </c>
      <c r="O23" s="864">
        <f>ROUNDDOWN(DATEDIF(E23,G23,"M")/3,0)</f>
        <v>7</v>
      </c>
      <c r="P23" s="649"/>
      <c r="Q23" s="649"/>
      <c r="R23" s="649"/>
      <c r="S23" s="649"/>
      <c r="T23" s="649"/>
      <c r="U23" s="649"/>
      <c r="V23" s="649"/>
      <c r="W23" s="649"/>
      <c r="X23" s="649"/>
      <c r="Y23" s="649"/>
      <c r="Z23" s="859"/>
      <c r="AA23" s="859"/>
      <c r="AB23" s="859"/>
      <c r="AC23" s="859"/>
      <c r="AD23" s="859"/>
    </row>
    <row r="24" s="648" customFormat="1" ht="24.75" spans="1:32">
      <c r="A24" s="749" t="s">
        <v>813</v>
      </c>
      <c r="B24" s="750" t="s">
        <v>1661</v>
      </c>
      <c r="C24" s="750">
        <f>ROUND(POWER(1+G24,J24-I24)*(POWER(1+G24,I24)-1)/(POWER(1+G24,J24)-1),4)</f>
        <v>0.8909</v>
      </c>
      <c r="D24" s="751" t="s">
        <v>1662</v>
      </c>
      <c r="E24" s="751">
        <f>存贷款利率!E20/100</f>
        <v>0.0435</v>
      </c>
      <c r="F24" s="751" t="s">
        <v>1663</v>
      </c>
      <c r="G24" s="752">
        <f>SUMIF(M30:Q30,E2,M33:Q33)</f>
        <v>0.055</v>
      </c>
      <c r="H24" s="751" t="s">
        <v>1664</v>
      </c>
      <c r="I24" s="865">
        <f>项目基本情况!F15</f>
        <v>33.06</v>
      </c>
      <c r="J24" s="866">
        <f>IF(E2="住宅",70,IF(E2="商业",40,50))</f>
        <v>50</v>
      </c>
      <c r="K24" s="859"/>
      <c r="L24" s="867" t="s">
        <v>1665</v>
      </c>
      <c r="M24" s="868">
        <f>ROUND(SUMPRODUCT((地价!A4:A13=YEAR(G23)&amp;"-"&amp;ROUNDUP(MONTH(G23)/3,0))*(地价!B2:G2=E2)*(地价!B4:G13)),0)</f>
        <v>355</v>
      </c>
      <c r="N24" s="869" t="s">
        <v>1666</v>
      </c>
      <c r="O24" s="870" t="s">
        <v>1667</v>
      </c>
      <c r="P24" s="871" t="s">
        <v>1668</v>
      </c>
      <c r="R24" s="649"/>
      <c r="S24" s="649"/>
      <c r="T24" s="649"/>
      <c r="U24" s="649"/>
      <c r="V24" s="649"/>
      <c r="W24" s="649"/>
      <c r="X24" s="649"/>
      <c r="Y24" s="649"/>
      <c r="Z24" s="859"/>
      <c r="AA24" s="859"/>
      <c r="AB24" s="859"/>
      <c r="AC24" s="859"/>
      <c r="AD24" s="859"/>
      <c r="AE24" s="859"/>
      <c r="AF24" s="859"/>
    </row>
    <row r="25" ht="14.4" spans="1:30">
      <c r="A25" s="753" t="s">
        <v>835</v>
      </c>
      <c r="B25" s="754" t="s">
        <v>1669</v>
      </c>
      <c r="C25" s="755">
        <f>IF(B25="容积率修正",IF(G3&lt;10,D26,J26),C27)</f>
        <v>0.9682</v>
      </c>
      <c r="D25" s="756"/>
      <c r="E25" s="756"/>
      <c r="F25" s="756"/>
      <c r="G25" s="756"/>
      <c r="H25" s="756"/>
      <c r="I25" s="756"/>
      <c r="J25" s="872"/>
      <c r="K25" s="859"/>
      <c r="L25" s="648"/>
      <c r="M25" s="648"/>
      <c r="N25" s="873" t="s">
        <v>1670</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1671</v>
      </c>
      <c r="B26" s="758" t="s">
        <v>1672</v>
      </c>
      <c r="C26" s="758" t="s">
        <v>1673</v>
      </c>
      <c r="D26" s="758">
        <f>IF(E26=G26,F26,IF(G3&lt;10,ROUND(F26+(H26-F26)*(G3-E26)/(G26-E26),4),"——"))</f>
        <v>0.9682</v>
      </c>
      <c r="E26" s="758">
        <f>ROUNDDOWN(G3,1)</f>
        <v>2.9</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v>
      </c>
      <c r="G26" s="758">
        <f>ROUNDUP(G3,1)</f>
        <v>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758" t="s">
        <v>1674</v>
      </c>
      <c r="J26" s="876" t="str">
        <f>IF(G3&gt;=10,D117,"——")</f>
        <v>——</v>
      </c>
      <c r="K26" s="859"/>
      <c r="L26" s="648"/>
      <c r="M26" s="648"/>
      <c r="N26" s="873" t="s">
        <v>1675</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1676</v>
      </c>
      <c r="B27" s="759" t="s">
        <v>1677</v>
      </c>
      <c r="C27" s="760">
        <f>ROUND(IF(I3&lt;6,SUMPRODUCT((B107:B111=I3)*(C106:N106=G2)*(C107:N111)),SUMIF(C106:N106,G2,C113:N113)),4)</f>
        <v>0</v>
      </c>
      <c r="D27" s="710"/>
      <c r="E27" s="710"/>
      <c r="F27" s="761"/>
      <c r="G27" s="762"/>
      <c r="H27" s="763"/>
      <c r="I27" s="759"/>
      <c r="J27" s="877"/>
      <c r="N27" s="873" t="s">
        <v>1678</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1679</v>
      </c>
      <c r="B28" s="744" t="s">
        <v>1680</v>
      </c>
      <c r="C28" s="744">
        <f>SUMIF(A48:A102,E2,B48:B102)</f>
        <v>1.0347</v>
      </c>
      <c r="D28" s="764"/>
      <c r="E28" s="745"/>
      <c r="F28" s="745"/>
      <c r="G28" s="745"/>
      <c r="H28" s="745"/>
      <c r="I28" s="745"/>
      <c r="J28" s="878"/>
      <c r="K28" s="859"/>
      <c r="L28" s="648"/>
      <c r="M28" s="648"/>
      <c r="N28" s="879" t="s">
        <v>1681</v>
      </c>
      <c r="O28" s="880"/>
      <c r="P28" s="881">
        <f>SUMPRODUCT((地价!A3:A13=YEAR(G23)&amp;"-"&amp;ROUNDUP(MONTH(G23)/3,0))*(地价!AF2:AK2=N28)*(地价!AF3:AK13))</f>
        <v>0.0052</v>
      </c>
      <c r="Q28" s="648"/>
      <c r="R28" s="649"/>
      <c r="S28" s="649"/>
      <c r="T28" s="649"/>
      <c r="U28" s="649"/>
      <c r="V28" s="649"/>
      <c r="W28" s="649"/>
      <c r="X28" s="649"/>
      <c r="Y28" s="649"/>
      <c r="Z28" s="859"/>
      <c r="AA28" s="859"/>
      <c r="AB28" s="859"/>
      <c r="AC28" s="859"/>
      <c r="AD28" s="859"/>
    </row>
    <row r="29" ht="15.15" spans="1:30">
      <c r="A29" s="749" t="s">
        <v>1682</v>
      </c>
      <c r="B29" s="765" t="s">
        <v>1683</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1684</v>
      </c>
      <c r="C30" s="770">
        <f>IF(B25="容积率修正",E33+SUM(E37:E42),SUM(V2:V16)+SUM(E37:E42))</f>
        <v>19863</v>
      </c>
      <c r="D30" s="771"/>
      <c r="E30" s="772"/>
      <c r="F30" s="773"/>
      <c r="G30" s="772"/>
      <c r="H30" s="772"/>
      <c r="I30" s="772"/>
      <c r="J30" s="886"/>
      <c r="L30" s="887" t="s">
        <v>1562</v>
      </c>
      <c r="M30" s="677" t="s">
        <v>1685</v>
      </c>
      <c r="N30" s="677" t="s">
        <v>1686</v>
      </c>
      <c r="O30" s="677" t="s">
        <v>1687</v>
      </c>
      <c r="P30" s="888" t="s">
        <v>1688</v>
      </c>
      <c r="Q30" s="888" t="s">
        <v>288</v>
      </c>
      <c r="R30" s="649"/>
      <c r="S30" s="649"/>
      <c r="T30" s="649"/>
      <c r="U30" s="649"/>
      <c r="V30" s="649"/>
      <c r="W30" s="649"/>
      <c r="X30" s="649"/>
      <c r="Y30" s="649"/>
      <c r="Z30" s="859"/>
      <c r="AA30" s="859"/>
      <c r="AB30" s="859"/>
      <c r="AC30" s="859"/>
      <c r="AD30" s="859"/>
    </row>
    <row r="31" ht="15.15" spans="1:30">
      <c r="A31" s="769"/>
      <c r="B31" s="774" t="s">
        <v>1689</v>
      </c>
      <c r="C31" s="775">
        <f>E34+SUM(I37:I42)</f>
        <v>172</v>
      </c>
      <c r="D31" s="776"/>
      <c r="E31" s="777"/>
      <c r="F31" s="778"/>
      <c r="G31" s="777"/>
      <c r="H31" s="777"/>
      <c r="I31" s="777"/>
      <c r="J31" s="889"/>
      <c r="L31" s="890" t="s">
        <v>1690</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1691</v>
      </c>
      <c r="C32" s="780" t="s">
        <v>1692</v>
      </c>
      <c r="D32" s="780" t="s">
        <v>467</v>
      </c>
      <c r="E32" s="765" t="s">
        <v>1693</v>
      </c>
      <c r="F32" s="676"/>
      <c r="G32" s="698"/>
      <c r="H32" s="698"/>
      <c r="I32" s="698"/>
      <c r="J32" s="847"/>
      <c r="L32" s="891" t="s">
        <v>1663</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1694</v>
      </c>
      <c r="C33" s="782">
        <f>ROUND(C5*C22*C23*C24*C25*C28,0)</f>
        <v>19165</v>
      </c>
      <c r="D33" s="783">
        <v>10004.18</v>
      </c>
      <c r="E33" s="784">
        <f>ROUND(C33*D33/10000,0)</f>
        <v>19173</v>
      </c>
      <c r="F33" s="785" t="s">
        <v>1695</v>
      </c>
      <c r="G33" s="786"/>
      <c r="H33" s="786"/>
      <c r="I33" s="786"/>
      <c r="J33" s="893"/>
      <c r="L33" s="894" t="s">
        <v>1696</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1697</v>
      </c>
      <c r="C34" s="734">
        <f>ROUND(IF(E2="工业",C33*M42,IF(B25="楼层修正",SUM(V2:V16)*M41*10000/D34,C33*M41)),0)</f>
        <v>4791</v>
      </c>
      <c r="D34" s="787"/>
      <c r="E34" s="784">
        <f>ROUND(IF(B25="楼层修正",SUM(V2:V16)*M41,C34*D34/10000),0)</f>
        <v>0</v>
      </c>
      <c r="F34" s="732" t="s">
        <v>1698</v>
      </c>
      <c r="G34" s="788"/>
      <c r="H34" s="788"/>
      <c r="I34" s="788"/>
      <c r="J34" s="896"/>
      <c r="L34" s="894" t="s">
        <v>1699</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1700</v>
      </c>
      <c r="C35" s="791" t="s">
        <v>1701</v>
      </c>
      <c r="D35" s="698"/>
      <c r="E35" s="791"/>
      <c r="F35" s="791"/>
      <c r="G35" s="697" t="s">
        <v>1698</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1692</v>
      </c>
      <c r="D36" s="794" t="s">
        <v>467</v>
      </c>
      <c r="E36" s="794" t="s">
        <v>1693</v>
      </c>
      <c r="F36" s="654" t="s">
        <v>1702</v>
      </c>
      <c r="G36" s="795" t="s">
        <v>1692</v>
      </c>
      <c r="H36" s="795" t="s">
        <v>467</v>
      </c>
      <c r="I36" s="795" t="s">
        <v>1693</v>
      </c>
      <c r="J36" s="302"/>
      <c r="K36" s="649" t="s">
        <v>1703</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1704</v>
      </c>
      <c r="C37" s="782">
        <f>ROUND(D5*C22*C23*C24*C28*F37,0)</f>
        <v>11877</v>
      </c>
      <c r="D37" s="783"/>
      <c r="E37" s="654">
        <f>ROUND(C37*D37/10000,0)</f>
        <v>0</v>
      </c>
      <c r="F37" s="654">
        <f>SUMIF(修正!A57:A68,G2,修正!B57:B68)</f>
        <v>0.6</v>
      </c>
      <c r="G37" s="654">
        <f>ROUND(IF(E2="工业",C37*$M$42,C37*$M$41),0)</f>
        <v>2969</v>
      </c>
      <c r="H37" s="654">
        <f>D37</f>
        <v>0</v>
      </c>
      <c r="I37" s="654">
        <f>ROUND(G37*H37/10000,0)</f>
        <v>0</v>
      </c>
      <c r="J37" s="898"/>
      <c r="K37" s="899" t="s">
        <v>1705</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1706</v>
      </c>
      <c r="C38" s="782">
        <f>ROUND(D5*C22*C23*C24*C28*F38,0)</f>
        <v>5938</v>
      </c>
      <c r="D38" s="783"/>
      <c r="E38" s="654">
        <f t="shared" ref="E38:E42" si="4">ROUND(C38*D38/10000,0)</f>
        <v>0</v>
      </c>
      <c r="F38" s="654">
        <f>SUMIF(修正!A57:A68,G2,修正!C57:C68)</f>
        <v>0.3</v>
      </c>
      <c r="G38" s="654">
        <f>ROUND(IF(E2="工业",C38*$M$42,C38*$M$41),0)</f>
        <v>1485</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1707</v>
      </c>
      <c r="C39" s="782">
        <f>ROUND(D5*C22*C23*C24*C28*F39,0)</f>
        <v>4949</v>
      </c>
      <c r="D39" s="783"/>
      <c r="E39" s="654">
        <f t="shared" si="4"/>
        <v>0</v>
      </c>
      <c r="F39" s="654">
        <f>SUMIF(修正!A57:A68,G2,修正!D57:D68)</f>
        <v>0.25</v>
      </c>
      <c r="G39" s="654">
        <f>ROUND(IF(E2="工业",C39*$M$42,C39*$M$41),0)</f>
        <v>1237</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1708</v>
      </c>
      <c r="C40" s="654">
        <f>ROUND(D5*C22*C23*C24*C28*F40,0)</f>
        <v>4949</v>
      </c>
      <c r="D40" s="783"/>
      <c r="E40" s="654">
        <f t="shared" si="4"/>
        <v>0</v>
      </c>
      <c r="F40" s="782">
        <f>SUMIF(修正!A57:A68,G2,修正!E57:E68)</f>
        <v>0.25</v>
      </c>
      <c r="G40" s="654">
        <f>ROUND(IF(E2="工业",C40*$M$42,C40*$M$41),0)</f>
        <v>1237</v>
      </c>
      <c r="H40" s="654">
        <f t="shared" si="5"/>
        <v>0</v>
      </c>
      <c r="I40" s="654">
        <f t="shared" si="6"/>
        <v>0</v>
      </c>
      <c r="J40" s="900"/>
      <c r="L40" s="901" t="s">
        <v>1709</v>
      </c>
      <c r="M40" s="841"/>
    </row>
    <row r="41" s="649" customFormat="1" spans="1:13">
      <c r="A41" s="799"/>
      <c r="B41" s="701" t="s">
        <v>1710</v>
      </c>
      <c r="C41" s="654">
        <f>ROUND(D5*C22*C23*C44*C28*F41,0)</f>
        <v>4949</v>
      </c>
      <c r="D41" s="783">
        <v>1394.4</v>
      </c>
      <c r="E41" s="654">
        <f t="shared" si="4"/>
        <v>690</v>
      </c>
      <c r="F41" s="782">
        <f>SUMIF(修正!A57:A68,G2,修正!F57:F68)</f>
        <v>0.25</v>
      </c>
      <c r="G41" s="654">
        <f>ROUND(IF(E2="工业",C41*$M$42,C41*$M$41),0)</f>
        <v>1237</v>
      </c>
      <c r="H41" s="654">
        <f t="shared" si="5"/>
        <v>1394.4</v>
      </c>
      <c r="I41" s="654">
        <f t="shared" si="6"/>
        <v>172</v>
      </c>
      <c r="J41" s="900"/>
      <c r="L41" s="902" t="s">
        <v>1711</v>
      </c>
      <c r="M41" s="903">
        <v>0.25</v>
      </c>
    </row>
    <row r="42" s="649" customFormat="1" ht="13.95" spans="1:13">
      <c r="A42" s="731"/>
      <c r="B42" s="800" t="s">
        <v>1712</v>
      </c>
      <c r="C42" s="734">
        <f>ROUND(D5*C22*C23*C44*C28*F42,0)</f>
        <v>2969</v>
      </c>
      <c r="D42" s="787"/>
      <c r="E42" s="734">
        <f t="shared" si="4"/>
        <v>0</v>
      </c>
      <c r="F42" s="801">
        <f>SUMIF(修正!A57:A68,G2,修正!G57:G68)</f>
        <v>0.15</v>
      </c>
      <c r="G42" s="734">
        <f>ROUND(IF(E2="工业",C42*$M$42,C42*$M$41),0)</f>
        <v>742</v>
      </c>
      <c r="H42" s="734">
        <f t="shared" si="5"/>
        <v>0</v>
      </c>
      <c r="I42" s="734">
        <f t="shared" si="6"/>
        <v>0</v>
      </c>
      <c r="J42" s="889"/>
      <c r="L42" s="891" t="s">
        <v>1688</v>
      </c>
      <c r="M42" s="892">
        <v>0.15</v>
      </c>
    </row>
    <row r="43" s="649" customFormat="1"/>
    <row r="44" s="649" customFormat="1" spans="2:8">
      <c r="B44" s="719" t="s">
        <v>1713</v>
      </c>
      <c r="C44" s="654">
        <f>ROUND(POWER(1+E44,H44-G44)*(POWER(1+E44,G44)-1)/(POWER(1+E44,H44)-1),4)</f>
        <v>0.8909</v>
      </c>
      <c r="D44" s="654" t="s">
        <v>1663</v>
      </c>
      <c r="E44" s="802">
        <f>G24</f>
        <v>0.055</v>
      </c>
      <c r="F44" s="654" t="s">
        <v>1664</v>
      </c>
      <c r="G44" s="803">
        <f>项目基本情况!F15</f>
        <v>33.06</v>
      </c>
      <c r="H44" s="654">
        <v>50</v>
      </c>
    </row>
    <row r="45" s="649" customFormat="1"/>
    <row r="46" s="649" customFormat="1"/>
    <row r="47" s="649" customFormat="1"/>
    <row r="48" s="649" customFormat="1" ht="15.15" spans="1:13">
      <c r="A48" s="804" t="s">
        <v>1714</v>
      </c>
      <c r="B48" s="805"/>
      <c r="C48" s="806"/>
      <c r="D48" s="806"/>
      <c r="E48" s="806"/>
      <c r="F48" s="807"/>
      <c r="G48" s="807"/>
      <c r="H48" s="807"/>
      <c r="I48" s="807"/>
      <c r="J48" s="807"/>
      <c r="K48" s="807"/>
      <c r="L48" s="807"/>
      <c r="M48" s="807"/>
    </row>
    <row r="49" s="649" customFormat="1" ht="14.4" spans="1:13">
      <c r="A49" s="808" t="s">
        <v>1715</v>
      </c>
      <c r="B49" s="809">
        <f>1+E51</f>
        <v>1</v>
      </c>
      <c r="C49" s="810"/>
      <c r="D49" s="811"/>
      <c r="E49" s="812"/>
      <c r="F49" s="813"/>
      <c r="G49" s="807"/>
      <c r="H49" s="807"/>
      <c r="I49" s="807"/>
      <c r="J49" s="807"/>
      <c r="K49" s="807"/>
      <c r="L49" s="807"/>
      <c r="M49" s="807"/>
    </row>
    <row r="50" s="649" customFormat="1" ht="25.2" spans="1:14">
      <c r="A50" s="814" t="s">
        <v>1716</v>
      </c>
      <c r="B50" s="802" t="s">
        <v>1717</v>
      </c>
      <c r="C50" s="802" t="s">
        <v>1718</v>
      </c>
      <c r="D50" s="802" t="s">
        <v>1719</v>
      </c>
      <c r="E50" s="815" t="s">
        <v>1720</v>
      </c>
      <c r="F50" s="816" t="s">
        <v>1721</v>
      </c>
      <c r="G50" s="817" t="s">
        <v>1630</v>
      </c>
      <c r="H50" s="818" t="s">
        <v>1722</v>
      </c>
      <c r="I50" s="802" t="s">
        <v>1723</v>
      </c>
      <c r="J50" s="904" t="s">
        <v>1437</v>
      </c>
      <c r="K50" s="904" t="s">
        <v>1438</v>
      </c>
      <c r="L50" s="904" t="s">
        <v>1439</v>
      </c>
      <c r="M50" s="904" t="s">
        <v>1440</v>
      </c>
      <c r="N50" s="904" t="s">
        <v>1441</v>
      </c>
    </row>
    <row r="51" s="649" customFormat="1" ht="37.2" spans="1:14">
      <c r="A51" s="814" t="s">
        <v>1724</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48" spans="1:14">
      <c r="A52" s="814" t="s">
        <v>1725</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row>
    <row r="53" s="649" customFormat="1" ht="48" spans="1:14">
      <c r="A53" s="823" t="s">
        <v>1726</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row>
    <row r="54" s="649" customFormat="1" ht="37.2" spans="1:14">
      <c r="A54" s="814" t="s">
        <v>1727</v>
      </c>
      <c r="B54" s="824" t="s">
        <v>1728</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1729</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36" spans="1:14">
      <c r="A56" s="814" t="s">
        <v>1730</v>
      </c>
      <c r="B56" s="825" t="s">
        <v>1731</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1732</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1733</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36.75" spans="1:14">
      <c r="A59" s="827" t="s">
        <v>1734</v>
      </c>
      <c r="B59" s="828" t="str">
        <f>估价对象房地状况!C20</f>
        <v>区域自然环境：；人文环境；综合评价环境状况一般</v>
      </c>
      <c r="C59" s="706"/>
      <c r="D59" s="802">
        <f t="shared" si="7"/>
        <v>0</v>
      </c>
      <c r="E59" s="829"/>
      <c r="F59" s="772"/>
      <c r="G59" s="820"/>
      <c r="H59" s="821" t="str">
        <f t="shared" si="8"/>
        <v>——</v>
      </c>
      <c r="I59" s="905">
        <v>0.05</v>
      </c>
      <c r="J59" s="758">
        <f t="shared" si="9"/>
        <v>0</v>
      </c>
      <c r="K59" s="758">
        <f t="shared" si="10"/>
        <v>0</v>
      </c>
      <c r="L59" s="758">
        <v>0</v>
      </c>
      <c r="M59" s="758">
        <f t="shared" si="11"/>
        <v>0</v>
      </c>
      <c r="N59" s="758">
        <f t="shared" si="11"/>
        <v>0</v>
      </c>
    </row>
    <row r="60" s="649" customFormat="1" ht="14.4" spans="1:14">
      <c r="A60" s="808" t="s">
        <v>1735</v>
      </c>
      <c r="B60" s="809">
        <f>1+E62</f>
        <v>1.0347</v>
      </c>
      <c r="C60" s="830"/>
      <c r="D60" s="830"/>
      <c r="E60" s="831"/>
      <c r="F60" s="813"/>
      <c r="G60" s="807"/>
      <c r="H60" s="807"/>
      <c r="I60" s="807"/>
      <c r="J60" s="807"/>
      <c r="K60" s="807"/>
      <c r="L60" s="807"/>
      <c r="M60" s="807"/>
      <c r="N60" s="807"/>
    </row>
    <row r="61" s="649" customFormat="1" ht="25.2" spans="1:14">
      <c r="A61" s="814" t="s">
        <v>1716</v>
      </c>
      <c r="B61" s="802"/>
      <c r="C61" s="802" t="s">
        <v>1718</v>
      </c>
      <c r="D61" s="802" t="s">
        <v>1719</v>
      </c>
      <c r="E61" s="815" t="s">
        <v>1720</v>
      </c>
      <c r="F61" s="816" t="s">
        <v>1736</v>
      </c>
      <c r="G61" s="802" t="s">
        <v>1630</v>
      </c>
      <c r="H61" s="818" t="s">
        <v>1722</v>
      </c>
      <c r="I61" s="802" t="s">
        <v>1723</v>
      </c>
      <c r="J61" s="904" t="s">
        <v>1437</v>
      </c>
      <c r="K61" s="904" t="s">
        <v>1438</v>
      </c>
      <c r="L61" s="904" t="s">
        <v>1439</v>
      </c>
      <c r="M61" s="904" t="s">
        <v>1440</v>
      </c>
      <c r="N61" s="904" t="s">
        <v>1441</v>
      </c>
    </row>
    <row r="62" s="649" customFormat="1" ht="37.2" spans="1:14">
      <c r="A62" s="814" t="s">
        <v>1737</v>
      </c>
      <c r="B62" s="802" t="str">
        <f>估价对象房地状况!C17</f>
        <v>估价对象位于XX商圈，周边办公楼项目较多，入驻率高，办公集聚程度较好</v>
      </c>
      <c r="C62" s="706" t="s">
        <v>1738</v>
      </c>
      <c r="D62" s="802">
        <f>SUMIF($J$61:$N$61,C62,J62:N62)</f>
        <v>0</v>
      </c>
      <c r="E62" s="819">
        <f>ROUND(SUM(D62:D70),4)</f>
        <v>0.0347</v>
      </c>
      <c r="F62" s="710">
        <f>IF(E2="办公",SUMIF(L1:L12,G2,N1:N12),"——")</f>
        <v>0.097</v>
      </c>
      <c r="G62" s="820">
        <f>H62</f>
        <v>0.0121</v>
      </c>
      <c r="H62" s="821">
        <f t="shared" ref="H62:H70" si="12">IFERROR(ROUNDDOWN($F$62*I62/2,4),"——")</f>
        <v>0.0121</v>
      </c>
      <c r="I62" s="802">
        <v>0.25</v>
      </c>
      <c r="J62" s="758">
        <f t="shared" ref="J62:J70" si="13">K62+$G62</f>
        <v>0.0242</v>
      </c>
      <c r="K62" s="758">
        <f t="shared" ref="K62:K70" si="14">$L62+$G62</f>
        <v>0.0121</v>
      </c>
      <c r="L62" s="758">
        <v>0</v>
      </c>
      <c r="M62" s="758">
        <f t="shared" ref="M62:N70" si="15">L62-$G62</f>
        <v>-0.0121</v>
      </c>
      <c r="N62" s="758">
        <f t="shared" si="15"/>
        <v>-0.0242</v>
      </c>
    </row>
    <row r="63" s="649" customFormat="1" ht="48" spans="1:14">
      <c r="A63" s="814" t="s">
        <v>1725</v>
      </c>
      <c r="B63" s="802" t="str">
        <f>估价对象房地状况!C18</f>
        <v>估价对象周边道路状况、公共交通通达情况、停车便捷程度，综合评价交通便捷度较好</v>
      </c>
      <c r="C63" s="706" t="s">
        <v>1739</v>
      </c>
      <c r="D63" s="802">
        <f t="shared" ref="D63:D70" si="16">SUMIF($J$61:$N$61,C63,J63:N63)</f>
        <v>0.0126</v>
      </c>
      <c r="E63" s="822"/>
      <c r="F63" s="772"/>
      <c r="G63" s="820">
        <f t="shared" ref="G63:G70" si="17">H63</f>
        <v>0.0126</v>
      </c>
      <c r="H63" s="821">
        <f t="shared" si="12"/>
        <v>0.0126</v>
      </c>
      <c r="I63" s="802">
        <v>0.26</v>
      </c>
      <c r="J63" s="758">
        <f t="shared" si="13"/>
        <v>0.0252</v>
      </c>
      <c r="K63" s="758">
        <f t="shared" si="14"/>
        <v>0.0126</v>
      </c>
      <c r="L63" s="758">
        <v>0</v>
      </c>
      <c r="M63" s="758">
        <f t="shared" si="15"/>
        <v>-0.0126</v>
      </c>
      <c r="N63" s="758">
        <f t="shared" si="15"/>
        <v>-0.0252</v>
      </c>
    </row>
    <row r="64" s="649" customFormat="1" ht="48" spans="1:14">
      <c r="A64" s="823" t="s">
        <v>1726</v>
      </c>
      <c r="B64" s="802">
        <f>估价对象房地状况!C19</f>
        <v>0</v>
      </c>
      <c r="C64" s="706" t="s">
        <v>1739</v>
      </c>
      <c r="D64" s="802">
        <f t="shared" si="16"/>
        <v>0.0053</v>
      </c>
      <c r="E64" s="822"/>
      <c r="F64" s="772"/>
      <c r="G64" s="820">
        <f t="shared" si="17"/>
        <v>0.0053</v>
      </c>
      <c r="H64" s="821">
        <f t="shared" si="12"/>
        <v>0.0053</v>
      </c>
      <c r="I64" s="802">
        <v>0.11</v>
      </c>
      <c r="J64" s="758">
        <f t="shared" si="13"/>
        <v>0.0106</v>
      </c>
      <c r="K64" s="758">
        <f t="shared" si="14"/>
        <v>0.0053</v>
      </c>
      <c r="L64" s="758">
        <v>0</v>
      </c>
      <c r="M64" s="758">
        <f t="shared" si="15"/>
        <v>-0.0053</v>
      </c>
      <c r="N64" s="758">
        <f t="shared" si="15"/>
        <v>-0.0106</v>
      </c>
    </row>
    <row r="65" s="649" customFormat="1" ht="37.2" spans="1:14">
      <c r="A65" s="814" t="s">
        <v>1727</v>
      </c>
      <c r="B65" s="824" t="s">
        <v>1728</v>
      </c>
      <c r="C65" s="706" t="s">
        <v>1739</v>
      </c>
      <c r="D65" s="802">
        <f t="shared" si="16"/>
        <v>0.0024</v>
      </c>
      <c r="E65" s="822"/>
      <c r="F65" s="772"/>
      <c r="G65" s="820">
        <f t="shared" si="17"/>
        <v>0.0024</v>
      </c>
      <c r="H65" s="821">
        <f t="shared" si="12"/>
        <v>0.0024</v>
      </c>
      <c r="I65" s="802">
        <v>0.05</v>
      </c>
      <c r="J65" s="758">
        <f t="shared" si="13"/>
        <v>0.0048</v>
      </c>
      <c r="K65" s="758">
        <f t="shared" si="14"/>
        <v>0.0024</v>
      </c>
      <c r="L65" s="758">
        <v>0</v>
      </c>
      <c r="M65" s="758">
        <f t="shared" si="15"/>
        <v>-0.0024</v>
      </c>
      <c r="N65" s="758">
        <f t="shared" si="15"/>
        <v>-0.0048</v>
      </c>
    </row>
    <row r="66" s="649" customFormat="1" ht="24" spans="1:14">
      <c r="A66" s="814" t="s">
        <v>1729</v>
      </c>
      <c r="B66" s="802">
        <f>估价对象房地状况!C24</f>
        <v>0</v>
      </c>
      <c r="C66" s="706" t="s">
        <v>1738</v>
      </c>
      <c r="D66" s="802">
        <f t="shared" si="16"/>
        <v>0</v>
      </c>
      <c r="E66" s="822"/>
      <c r="F66" s="772"/>
      <c r="G66" s="820">
        <f t="shared" si="17"/>
        <v>0.0024</v>
      </c>
      <c r="H66" s="821">
        <f t="shared" si="12"/>
        <v>0.0024</v>
      </c>
      <c r="I66" s="802">
        <v>0.05</v>
      </c>
      <c r="J66" s="758">
        <f t="shared" si="13"/>
        <v>0.0048</v>
      </c>
      <c r="K66" s="758">
        <f t="shared" si="14"/>
        <v>0.0024</v>
      </c>
      <c r="L66" s="758">
        <v>0</v>
      </c>
      <c r="M66" s="758">
        <f t="shared" si="15"/>
        <v>-0.0024</v>
      </c>
      <c r="N66" s="758">
        <f t="shared" si="15"/>
        <v>-0.0048</v>
      </c>
    </row>
    <row r="67" s="649" customFormat="1" ht="36" spans="1:14">
      <c r="A67" s="814" t="s">
        <v>1730</v>
      </c>
      <c r="B67" s="825" t="s">
        <v>1731</v>
      </c>
      <c r="C67" s="706" t="s">
        <v>1739</v>
      </c>
      <c r="D67" s="802">
        <f t="shared" si="16"/>
        <v>0.0029</v>
      </c>
      <c r="E67" s="822"/>
      <c r="F67" s="772"/>
      <c r="G67" s="820">
        <f t="shared" si="17"/>
        <v>0.0029</v>
      </c>
      <c r="H67" s="821">
        <f t="shared" si="12"/>
        <v>0.0029</v>
      </c>
      <c r="I67" s="802">
        <v>0.06</v>
      </c>
      <c r="J67" s="758">
        <f t="shared" si="13"/>
        <v>0.0058</v>
      </c>
      <c r="K67" s="758">
        <f t="shared" si="14"/>
        <v>0.0029</v>
      </c>
      <c r="L67" s="758">
        <v>0</v>
      </c>
      <c r="M67" s="758">
        <f t="shared" si="15"/>
        <v>-0.0029</v>
      </c>
      <c r="N67" s="758">
        <f t="shared" si="15"/>
        <v>-0.0058</v>
      </c>
    </row>
    <row r="68" s="649" customFormat="1" ht="24" spans="1:14">
      <c r="A68" s="814" t="s">
        <v>1732</v>
      </c>
      <c r="B68" s="700" t="str">
        <f>估价对象房地状况!C21</f>
        <v>估价对象所在区域公共配套设施齐备情况</v>
      </c>
      <c r="C68" s="706" t="s">
        <v>1739</v>
      </c>
      <c r="D68" s="802">
        <f t="shared" si="16"/>
        <v>0.0029</v>
      </c>
      <c r="E68" s="822"/>
      <c r="F68" s="772"/>
      <c r="G68" s="820">
        <f t="shared" si="17"/>
        <v>0.0029</v>
      </c>
      <c r="H68" s="821">
        <f t="shared" si="12"/>
        <v>0.0029</v>
      </c>
      <c r="I68" s="802">
        <v>0.06</v>
      </c>
      <c r="J68" s="758">
        <f t="shared" si="13"/>
        <v>0.0058</v>
      </c>
      <c r="K68" s="758">
        <f t="shared" si="14"/>
        <v>0.0029</v>
      </c>
      <c r="L68" s="758">
        <v>0</v>
      </c>
      <c r="M68" s="758">
        <f t="shared" si="15"/>
        <v>-0.0029</v>
      </c>
      <c r="N68" s="758">
        <f t="shared" si="15"/>
        <v>-0.0058</v>
      </c>
    </row>
    <row r="69" s="649" customFormat="1" ht="24" spans="1:14">
      <c r="A69" s="814" t="s">
        <v>1733</v>
      </c>
      <c r="B69" s="700" t="str">
        <f>估价对象房地状况!C22</f>
        <v>估价对象所在区域基础设施水平</v>
      </c>
      <c r="C69" s="706" t="s">
        <v>1740</v>
      </c>
      <c r="D69" s="802">
        <f t="shared" si="16"/>
        <v>0.0086</v>
      </c>
      <c r="E69" s="822"/>
      <c r="F69" s="772"/>
      <c r="G69" s="820">
        <f t="shared" si="17"/>
        <v>0.0043</v>
      </c>
      <c r="H69" s="821">
        <f t="shared" si="12"/>
        <v>0.0043</v>
      </c>
      <c r="I69" s="802">
        <v>0.09</v>
      </c>
      <c r="J69" s="758">
        <f t="shared" si="13"/>
        <v>0.0086</v>
      </c>
      <c r="K69" s="758">
        <f t="shared" si="14"/>
        <v>0.0043</v>
      </c>
      <c r="L69" s="758">
        <v>0</v>
      </c>
      <c r="M69" s="758">
        <f t="shared" si="15"/>
        <v>-0.0043</v>
      </c>
      <c r="N69" s="758">
        <f t="shared" si="15"/>
        <v>-0.0086</v>
      </c>
    </row>
    <row r="70" s="649" customFormat="1" ht="36.75" spans="1:14">
      <c r="A70" s="827" t="s">
        <v>1734</v>
      </c>
      <c r="B70" s="905" t="str">
        <f>估价对象房地状况!C20</f>
        <v>区域自然环境：；人文环境；综合评价环境状况一般</v>
      </c>
      <c r="C70" s="706" t="s">
        <v>1738</v>
      </c>
      <c r="D70" s="802">
        <f t="shared" si="16"/>
        <v>0</v>
      </c>
      <c r="E70" s="829"/>
      <c r="F70" s="772"/>
      <c r="G70" s="820">
        <f t="shared" si="17"/>
        <v>0.0033</v>
      </c>
      <c r="H70" s="821">
        <f t="shared" si="12"/>
        <v>0.0033</v>
      </c>
      <c r="I70" s="905">
        <v>0.07</v>
      </c>
      <c r="J70" s="758">
        <f t="shared" si="13"/>
        <v>0.0066</v>
      </c>
      <c r="K70" s="758">
        <f t="shared" si="14"/>
        <v>0.0033</v>
      </c>
      <c r="L70" s="758">
        <v>0</v>
      </c>
      <c r="M70" s="758">
        <f t="shared" si="15"/>
        <v>-0.0033</v>
      </c>
      <c r="N70" s="758">
        <f t="shared" si="15"/>
        <v>-0.0066</v>
      </c>
    </row>
    <row r="71" s="649" customFormat="1" ht="14.4" spans="1:14">
      <c r="A71" s="808" t="s">
        <v>1741</v>
      </c>
      <c r="B71" s="809">
        <f>1+E73</f>
        <v>1</v>
      </c>
      <c r="C71" s="811"/>
      <c r="D71" s="811"/>
      <c r="E71" s="812"/>
      <c r="F71" s="921"/>
      <c r="G71" s="807"/>
      <c r="H71" s="807"/>
      <c r="I71" s="807"/>
      <c r="J71" s="807"/>
      <c r="K71" s="807"/>
      <c r="L71" s="807"/>
      <c r="M71" s="807"/>
      <c r="N71" s="807"/>
    </row>
    <row r="72" s="649" customFormat="1" ht="25.2" spans="1:14">
      <c r="A72" s="814" t="s">
        <v>1716</v>
      </c>
      <c r="B72" s="802"/>
      <c r="C72" s="802" t="s">
        <v>1718</v>
      </c>
      <c r="D72" s="802" t="s">
        <v>1719</v>
      </c>
      <c r="E72" s="815" t="s">
        <v>1720</v>
      </c>
      <c r="F72" s="816" t="s">
        <v>1736</v>
      </c>
      <c r="G72" s="802" t="s">
        <v>1630</v>
      </c>
      <c r="H72" s="818" t="s">
        <v>1722</v>
      </c>
      <c r="I72" s="802" t="s">
        <v>1723</v>
      </c>
      <c r="J72" s="904" t="s">
        <v>1437</v>
      </c>
      <c r="K72" s="904" t="s">
        <v>1438</v>
      </c>
      <c r="L72" s="904" t="s">
        <v>1439</v>
      </c>
      <c r="M72" s="904" t="s">
        <v>1440</v>
      </c>
      <c r="N72" s="904" t="s">
        <v>1441</v>
      </c>
    </row>
    <row r="73" s="649" customFormat="1" ht="48" spans="1:25">
      <c r="A73" s="823" t="s">
        <v>1742</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8">
        <f t="shared" ref="J73:J81" si="20">K73+$G73</f>
        <v>0</v>
      </c>
      <c r="K73" s="758">
        <f t="shared" ref="K73:K81" si="21">$L73+$G73</f>
        <v>0</v>
      </c>
      <c r="L73" s="758">
        <v>0</v>
      </c>
      <c r="M73" s="758">
        <f t="shared" ref="M73:N81" si="22">L73-$G73</f>
        <v>0</v>
      </c>
      <c r="N73" s="758">
        <f t="shared" si="22"/>
        <v>0</v>
      </c>
      <c r="S73" s="650"/>
      <c r="T73" s="650"/>
      <c r="U73" s="650"/>
      <c r="V73" s="650"/>
      <c r="W73" s="650"/>
      <c r="X73" s="650"/>
      <c r="Y73" s="650"/>
    </row>
    <row r="74" s="649" customFormat="1" ht="48" spans="1:25">
      <c r="A74" s="814" t="s">
        <v>1725</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8">
        <f t="shared" si="20"/>
        <v>0</v>
      </c>
      <c r="K74" s="758">
        <f t="shared" si="21"/>
        <v>0</v>
      </c>
      <c r="L74" s="758">
        <v>0</v>
      </c>
      <c r="M74" s="758">
        <f t="shared" si="22"/>
        <v>0</v>
      </c>
      <c r="N74" s="758">
        <f t="shared" si="22"/>
        <v>0</v>
      </c>
      <c r="S74" s="650"/>
      <c r="T74" s="650"/>
      <c r="U74" s="650"/>
      <c r="V74" s="650"/>
      <c r="W74" s="650"/>
      <c r="X74" s="650"/>
      <c r="Y74" s="650"/>
    </row>
    <row r="75" ht="48" spans="1:33">
      <c r="A75" s="823" t="s">
        <v>1726</v>
      </c>
      <c r="B75" s="802">
        <f>估价对象房地状况!C19</f>
        <v>0</v>
      </c>
      <c r="C75" s="706"/>
      <c r="D75" s="802">
        <f t="shared" si="18"/>
        <v>0</v>
      </c>
      <c r="E75" s="822"/>
      <c r="F75" s="710"/>
      <c r="G75" s="820"/>
      <c r="H75" s="821" t="str">
        <f t="shared" si="19"/>
        <v>——</v>
      </c>
      <c r="I75" s="802">
        <v>0.1</v>
      </c>
      <c r="J75" s="758">
        <f t="shared" si="20"/>
        <v>0</v>
      </c>
      <c r="K75" s="758">
        <f t="shared" si="21"/>
        <v>0</v>
      </c>
      <c r="L75" s="758">
        <v>0</v>
      </c>
      <c r="M75" s="758">
        <f t="shared" si="22"/>
        <v>0</v>
      </c>
      <c r="N75" s="758">
        <f t="shared" si="22"/>
        <v>0</v>
      </c>
      <c r="O75" s="649"/>
      <c r="P75" s="649"/>
      <c r="Q75" s="649"/>
      <c r="AA75" s="650"/>
      <c r="AG75" s="649"/>
    </row>
    <row r="76" ht="13.8" spans="1:33">
      <c r="A76" s="814" t="s">
        <v>1743</v>
      </c>
      <c r="B76" s="802">
        <f>估价对象房地状况!C24</f>
        <v>0</v>
      </c>
      <c r="C76" s="706"/>
      <c r="D76" s="802">
        <f t="shared" si="18"/>
        <v>0</v>
      </c>
      <c r="E76" s="822"/>
      <c r="F76" s="710"/>
      <c r="G76" s="820"/>
      <c r="H76" s="821" t="str">
        <f t="shared" si="19"/>
        <v>——</v>
      </c>
      <c r="I76" s="802">
        <v>0.05</v>
      </c>
      <c r="J76" s="758">
        <f t="shared" si="20"/>
        <v>0</v>
      </c>
      <c r="K76" s="758">
        <f t="shared" si="21"/>
        <v>0</v>
      </c>
      <c r="L76" s="758">
        <v>0</v>
      </c>
      <c r="M76" s="758">
        <f t="shared" si="22"/>
        <v>0</v>
      </c>
      <c r="N76" s="758">
        <f t="shared" si="22"/>
        <v>0</v>
      </c>
      <c r="O76" s="649"/>
      <c r="P76" s="649"/>
      <c r="Q76" s="649"/>
      <c r="AA76" s="650"/>
      <c r="AG76" s="649"/>
    </row>
    <row r="77" ht="24" spans="1:33">
      <c r="A77" s="814" t="s">
        <v>1732</v>
      </c>
      <c r="B77" s="700" t="str">
        <f>估价对象房地状况!C21</f>
        <v>估价对象所在区域公共配套设施齐备情况</v>
      </c>
      <c r="C77" s="706"/>
      <c r="D77" s="802">
        <f t="shared" si="18"/>
        <v>0</v>
      </c>
      <c r="E77" s="822"/>
      <c r="F77" s="710"/>
      <c r="G77" s="820"/>
      <c r="H77" s="821" t="str">
        <f t="shared" si="19"/>
        <v>——</v>
      </c>
      <c r="I77" s="802">
        <v>0.08</v>
      </c>
      <c r="J77" s="758">
        <f t="shared" si="20"/>
        <v>0</v>
      </c>
      <c r="K77" s="758">
        <f t="shared" si="21"/>
        <v>0</v>
      </c>
      <c r="L77" s="758">
        <v>0</v>
      </c>
      <c r="M77" s="758">
        <f t="shared" si="22"/>
        <v>0</v>
      </c>
      <c r="N77" s="758">
        <f t="shared" si="22"/>
        <v>0</v>
      </c>
      <c r="O77" s="649"/>
      <c r="P77" s="649"/>
      <c r="Q77" s="649"/>
      <c r="AA77" s="650"/>
      <c r="AG77" s="649"/>
    </row>
    <row r="78" ht="24" spans="1:33">
      <c r="A78" s="814" t="s">
        <v>1733</v>
      </c>
      <c r="B78" s="700" t="str">
        <f>估价对象房地状况!C22</f>
        <v>估价对象所在区域基础设施水平</v>
      </c>
      <c r="C78" s="706"/>
      <c r="D78" s="802">
        <f t="shared" si="18"/>
        <v>0</v>
      </c>
      <c r="E78" s="822"/>
      <c r="F78" s="710"/>
      <c r="G78" s="820"/>
      <c r="H78" s="821" t="str">
        <f t="shared" si="19"/>
        <v>——</v>
      </c>
      <c r="I78" s="802">
        <v>0.09</v>
      </c>
      <c r="J78" s="758">
        <f t="shared" si="20"/>
        <v>0</v>
      </c>
      <c r="K78" s="758">
        <f t="shared" si="21"/>
        <v>0</v>
      </c>
      <c r="L78" s="758">
        <v>0</v>
      </c>
      <c r="M78" s="758">
        <f t="shared" si="22"/>
        <v>0</v>
      </c>
      <c r="N78" s="758">
        <f t="shared" si="22"/>
        <v>0</v>
      </c>
      <c r="O78" s="649"/>
      <c r="P78" s="649"/>
      <c r="Q78" s="649"/>
      <c r="AA78" s="650"/>
      <c r="AG78" s="649"/>
    </row>
    <row r="79" ht="36" spans="1:33">
      <c r="A79" s="814" t="s">
        <v>1730</v>
      </c>
      <c r="B79" s="825" t="s">
        <v>1731</v>
      </c>
      <c r="C79" s="706"/>
      <c r="D79" s="802">
        <f t="shared" si="18"/>
        <v>0</v>
      </c>
      <c r="E79" s="822"/>
      <c r="F79" s="710"/>
      <c r="G79" s="820"/>
      <c r="H79" s="821" t="str">
        <f t="shared" si="19"/>
        <v>——</v>
      </c>
      <c r="I79" s="802">
        <v>0.05</v>
      </c>
      <c r="J79" s="758">
        <f t="shared" si="20"/>
        <v>0</v>
      </c>
      <c r="K79" s="758">
        <f t="shared" si="21"/>
        <v>0</v>
      </c>
      <c r="L79" s="758">
        <v>0</v>
      </c>
      <c r="M79" s="758">
        <f t="shared" si="22"/>
        <v>0</v>
      </c>
      <c r="N79" s="758">
        <f t="shared" si="22"/>
        <v>0</v>
      </c>
      <c r="AA79" s="650"/>
      <c r="AG79" s="649"/>
    </row>
    <row r="80" ht="36" spans="1:33">
      <c r="A80" s="814" t="s">
        <v>1734</v>
      </c>
      <c r="B80" s="802" t="str">
        <f>估价对象房地状况!C20</f>
        <v>区域自然环境：；人文环境；综合评价环境状况一般</v>
      </c>
      <c r="C80" s="706"/>
      <c r="D80" s="802">
        <f t="shared" si="18"/>
        <v>0</v>
      </c>
      <c r="E80" s="822"/>
      <c r="F80" s="710"/>
      <c r="G80" s="820"/>
      <c r="H80" s="821" t="str">
        <f t="shared" si="19"/>
        <v>——</v>
      </c>
      <c r="I80" s="802">
        <v>0.12</v>
      </c>
      <c r="J80" s="758">
        <f t="shared" si="20"/>
        <v>0</v>
      </c>
      <c r="K80" s="758">
        <f t="shared" si="21"/>
        <v>0</v>
      </c>
      <c r="L80" s="758">
        <v>0</v>
      </c>
      <c r="M80" s="758">
        <f t="shared" si="22"/>
        <v>0</v>
      </c>
      <c r="N80" s="758">
        <f t="shared" si="22"/>
        <v>0</v>
      </c>
      <c r="AA80" s="650"/>
      <c r="AG80" s="649"/>
    </row>
    <row r="81" ht="36.75" spans="1:33">
      <c r="A81" s="827" t="s">
        <v>1744</v>
      </c>
      <c r="B81" s="922"/>
      <c r="C81" s="706"/>
      <c r="D81" s="802">
        <f t="shared" si="18"/>
        <v>0</v>
      </c>
      <c r="E81" s="829"/>
      <c r="F81" s="710"/>
      <c r="G81" s="820"/>
      <c r="H81" s="821" t="str">
        <f t="shared" si="19"/>
        <v>——</v>
      </c>
      <c r="I81" s="905">
        <v>0.05</v>
      </c>
      <c r="J81" s="758">
        <f t="shared" si="20"/>
        <v>0</v>
      </c>
      <c r="K81" s="758">
        <f t="shared" si="21"/>
        <v>0</v>
      </c>
      <c r="L81" s="758">
        <v>0</v>
      </c>
      <c r="M81" s="758">
        <f t="shared" si="22"/>
        <v>0</v>
      </c>
      <c r="N81" s="758">
        <f t="shared" si="22"/>
        <v>0</v>
      </c>
      <c r="AA81" s="650"/>
      <c r="AG81" s="649"/>
    </row>
    <row r="82" ht="14.4" spans="1:33">
      <c r="A82" s="808" t="s">
        <v>1745</v>
      </c>
      <c r="B82" s="809">
        <f>1+E84</f>
        <v>1</v>
      </c>
      <c r="C82" s="811"/>
      <c r="D82" s="811"/>
      <c r="E82" s="812"/>
      <c r="F82" s="921"/>
      <c r="G82" s="807"/>
      <c r="H82" s="807"/>
      <c r="I82" s="807"/>
      <c r="J82" s="807"/>
      <c r="K82" s="807"/>
      <c r="L82" s="807"/>
      <c r="M82" s="807"/>
      <c r="N82" s="807"/>
      <c r="AA82" s="650"/>
      <c r="AG82" s="649"/>
    </row>
    <row r="83" ht="25.2" spans="1:33">
      <c r="A83" s="814" t="s">
        <v>1716</v>
      </c>
      <c r="B83" s="802"/>
      <c r="C83" s="802" t="s">
        <v>1718</v>
      </c>
      <c r="D83" s="802" t="s">
        <v>1719</v>
      </c>
      <c r="E83" s="815" t="s">
        <v>1720</v>
      </c>
      <c r="F83" s="816" t="s">
        <v>1736</v>
      </c>
      <c r="G83" s="802" t="s">
        <v>1630</v>
      </c>
      <c r="H83" s="818" t="s">
        <v>1722</v>
      </c>
      <c r="I83" s="802" t="s">
        <v>1723</v>
      </c>
      <c r="J83" s="904" t="s">
        <v>1437</v>
      </c>
      <c r="K83" s="904" t="s">
        <v>1438</v>
      </c>
      <c r="L83" s="904" t="s">
        <v>1439</v>
      </c>
      <c r="M83" s="904" t="s">
        <v>1440</v>
      </c>
      <c r="N83" s="904" t="s">
        <v>1441</v>
      </c>
      <c r="AA83" s="650"/>
      <c r="AG83" s="649"/>
    </row>
    <row r="84" ht="39.6" spans="1:33">
      <c r="A84" s="814" t="s">
        <v>1746</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48" spans="1:33">
      <c r="A85" s="814" t="s">
        <v>1725</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8">
        <f t="shared" si="25"/>
        <v>0</v>
      </c>
      <c r="K85" s="758">
        <f t="shared" si="26"/>
        <v>0</v>
      </c>
      <c r="L85" s="758">
        <v>0</v>
      </c>
      <c r="M85" s="758">
        <f t="shared" si="27"/>
        <v>0</v>
      </c>
      <c r="N85" s="758">
        <f t="shared" si="27"/>
        <v>0</v>
      </c>
      <c r="AA85" s="650"/>
      <c r="AG85" s="649"/>
    </row>
    <row r="86" ht="48" spans="1:33">
      <c r="A86" s="823" t="s">
        <v>1726</v>
      </c>
      <c r="B86" s="802">
        <f>估价对象房地状况!G17</f>
        <v>0</v>
      </c>
      <c r="C86" s="706"/>
      <c r="D86" s="802">
        <f t="shared" si="23"/>
        <v>0</v>
      </c>
      <c r="E86" s="822"/>
      <c r="F86" s="710"/>
      <c r="G86" s="820"/>
      <c r="H86" s="821" t="str">
        <f t="shared" si="24"/>
        <v>——</v>
      </c>
      <c r="I86" s="802">
        <v>0.1</v>
      </c>
      <c r="J86" s="758">
        <f t="shared" si="25"/>
        <v>0</v>
      </c>
      <c r="K86" s="758">
        <f t="shared" si="26"/>
        <v>0</v>
      </c>
      <c r="L86" s="758">
        <v>0</v>
      </c>
      <c r="M86" s="758">
        <f t="shared" si="27"/>
        <v>0</v>
      </c>
      <c r="N86" s="758">
        <f t="shared" si="27"/>
        <v>0</v>
      </c>
      <c r="AA86" s="650"/>
      <c r="AG86" s="649"/>
    </row>
    <row r="87" ht="13.8" spans="1:33">
      <c r="A87" s="814" t="s">
        <v>1743</v>
      </c>
      <c r="B87" s="802">
        <f>估价对象房地状况!G22</f>
        <v>0</v>
      </c>
      <c r="C87" s="706"/>
      <c r="D87" s="802">
        <f t="shared" si="23"/>
        <v>0</v>
      </c>
      <c r="E87" s="822"/>
      <c r="F87" s="710"/>
      <c r="G87" s="820"/>
      <c r="H87" s="821" t="str">
        <f t="shared" si="24"/>
        <v>——</v>
      </c>
      <c r="I87" s="802">
        <v>0.05</v>
      </c>
      <c r="J87" s="758">
        <f t="shared" si="25"/>
        <v>0</v>
      </c>
      <c r="K87" s="758">
        <f t="shared" si="26"/>
        <v>0</v>
      </c>
      <c r="L87" s="758">
        <v>0</v>
      </c>
      <c r="M87" s="758">
        <f t="shared" si="27"/>
        <v>0</v>
      </c>
      <c r="N87" s="758">
        <f t="shared" si="27"/>
        <v>0</v>
      </c>
      <c r="AA87" s="650"/>
      <c r="AG87" s="649"/>
    </row>
    <row r="88" ht="24" spans="1:14">
      <c r="A88" s="814" t="s">
        <v>1732</v>
      </c>
      <c r="B88" s="700" t="str">
        <f>估价对象房地状况!G19</f>
        <v>估价对象所在区域公共配套设施齐备情况</v>
      </c>
      <c r="C88" s="706"/>
      <c r="D88" s="802">
        <f t="shared" si="23"/>
        <v>0</v>
      </c>
      <c r="E88" s="822"/>
      <c r="F88" s="710"/>
      <c r="G88" s="820"/>
      <c r="H88" s="821" t="str">
        <f t="shared" si="24"/>
        <v>——</v>
      </c>
      <c r="I88" s="802">
        <v>0.06</v>
      </c>
      <c r="J88" s="758">
        <f t="shared" si="25"/>
        <v>0</v>
      </c>
      <c r="K88" s="758">
        <f t="shared" si="26"/>
        <v>0</v>
      </c>
      <c r="L88" s="758">
        <v>0</v>
      </c>
      <c r="M88" s="758">
        <f t="shared" si="27"/>
        <v>0</v>
      </c>
      <c r="N88" s="758">
        <f t="shared" si="27"/>
        <v>0</v>
      </c>
    </row>
    <row r="89" ht="24" spans="1:14">
      <c r="A89" s="814" t="s">
        <v>1733</v>
      </c>
      <c r="B89" s="700" t="str">
        <f>估价对象房地状况!G20</f>
        <v>估价对象所在区域基础设施水平</v>
      </c>
      <c r="C89" s="706"/>
      <c r="D89" s="802">
        <f t="shared" si="23"/>
        <v>0</v>
      </c>
      <c r="E89" s="822"/>
      <c r="F89" s="710"/>
      <c r="G89" s="820"/>
      <c r="H89" s="821" t="str">
        <f t="shared" si="24"/>
        <v>——</v>
      </c>
      <c r="I89" s="802">
        <v>0.12</v>
      </c>
      <c r="J89" s="758">
        <f t="shared" si="25"/>
        <v>0</v>
      </c>
      <c r="K89" s="758">
        <f t="shared" si="26"/>
        <v>0</v>
      </c>
      <c r="L89" s="758">
        <v>0</v>
      </c>
      <c r="M89" s="758">
        <f t="shared" si="27"/>
        <v>0</v>
      </c>
      <c r="N89" s="758">
        <f t="shared" si="27"/>
        <v>0</v>
      </c>
    </row>
    <row r="90" ht="36" spans="1:14">
      <c r="A90" s="814" t="s">
        <v>1730</v>
      </c>
      <c r="B90" s="825" t="s">
        <v>1747</v>
      </c>
      <c r="C90" s="706"/>
      <c r="D90" s="802">
        <f t="shared" si="23"/>
        <v>0</v>
      </c>
      <c r="E90" s="822"/>
      <c r="F90" s="710"/>
      <c r="G90" s="820"/>
      <c r="H90" s="821" t="str">
        <f t="shared" si="24"/>
        <v>——</v>
      </c>
      <c r="I90" s="802">
        <v>0.06</v>
      </c>
      <c r="J90" s="758">
        <f t="shared" si="25"/>
        <v>0</v>
      </c>
      <c r="K90" s="758">
        <f t="shared" si="26"/>
        <v>0</v>
      </c>
      <c r="L90" s="758">
        <v>0</v>
      </c>
      <c r="M90" s="758">
        <f t="shared" si="27"/>
        <v>0</v>
      </c>
      <c r="N90" s="758">
        <f t="shared" si="27"/>
        <v>0</v>
      </c>
    </row>
    <row r="91" ht="36.75" spans="1:25">
      <c r="A91" s="827" t="s">
        <v>1748</v>
      </c>
      <c r="B91" s="905" t="str">
        <f>估价对象房地状况!G18</f>
        <v>该园区内是否有污染型企业，绿化情况，卫生条件，整体环境状况判断</v>
      </c>
      <c r="C91" s="706"/>
      <c r="D91" s="802">
        <f t="shared" si="23"/>
        <v>0</v>
      </c>
      <c r="E91" s="829"/>
      <c r="F91" s="710"/>
      <c r="G91" s="820"/>
      <c r="H91" s="821" t="str">
        <f t="shared" si="24"/>
        <v>——</v>
      </c>
      <c r="I91" s="905">
        <v>0.05</v>
      </c>
      <c r="J91" s="758">
        <f t="shared" si="25"/>
        <v>0</v>
      </c>
      <c r="K91" s="758">
        <f t="shared" si="26"/>
        <v>0</v>
      </c>
      <c r="L91" s="758">
        <v>0</v>
      </c>
      <c r="M91" s="758">
        <f t="shared" si="27"/>
        <v>0</v>
      </c>
      <c r="N91" s="758">
        <f t="shared" si="27"/>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1716</v>
      </c>
      <c r="B93" s="802"/>
      <c r="C93" s="802" t="s">
        <v>1718</v>
      </c>
      <c r="D93" s="802" t="s">
        <v>1719</v>
      </c>
      <c r="E93" s="815" t="s">
        <v>1720</v>
      </c>
      <c r="F93" s="816" t="s">
        <v>1736</v>
      </c>
      <c r="G93" s="802" t="s">
        <v>1630</v>
      </c>
      <c r="H93" s="818" t="s">
        <v>1722</v>
      </c>
      <c r="I93" s="802" t="s">
        <v>1723</v>
      </c>
      <c r="J93" s="904" t="s">
        <v>1437</v>
      </c>
      <c r="K93" s="904" t="s">
        <v>1438</v>
      </c>
      <c r="L93" s="904" t="s">
        <v>1439</v>
      </c>
      <c r="M93" s="904" t="s">
        <v>1440</v>
      </c>
      <c r="N93" s="904" t="s">
        <v>1441</v>
      </c>
    </row>
    <row r="94" s="649" customFormat="1" ht="24" spans="1:14">
      <c r="A94" s="823" t="s">
        <v>1749</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48" spans="1:14">
      <c r="A95" s="814" t="s">
        <v>1725</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8">
        <f t="shared" si="28"/>
        <v>0</v>
      </c>
      <c r="K95" s="758">
        <f t="shared" si="29"/>
        <v>0</v>
      </c>
      <c r="L95" s="758">
        <v>0</v>
      </c>
      <c r="M95" s="758">
        <f t="shared" si="30"/>
        <v>0</v>
      </c>
      <c r="N95" s="758">
        <f t="shared" si="31"/>
        <v>0</v>
      </c>
    </row>
    <row r="96" s="649" customFormat="1" ht="48" spans="1:14">
      <c r="A96" s="823" t="s">
        <v>1726</v>
      </c>
      <c r="B96" s="802">
        <f>估价对象房地状况!C19</f>
        <v>0</v>
      </c>
      <c r="C96" s="706"/>
      <c r="D96" s="802">
        <f t="shared" si="32"/>
        <v>0</v>
      </c>
      <c r="E96" s="822"/>
      <c r="F96" s="710"/>
      <c r="G96" s="820"/>
      <c r="H96" s="821" t="str">
        <f t="shared" ref="H96:H102" si="33">IFERROR(ROUNDDOWN($F$94*I96/2,4),"——")</f>
        <v>——</v>
      </c>
      <c r="I96" s="802">
        <v>0.11</v>
      </c>
      <c r="J96" s="758">
        <f t="shared" si="28"/>
        <v>0</v>
      </c>
      <c r="K96" s="758">
        <f t="shared" si="29"/>
        <v>0</v>
      </c>
      <c r="L96" s="758">
        <v>0</v>
      </c>
      <c r="M96" s="758">
        <f t="shared" si="30"/>
        <v>0</v>
      </c>
      <c r="N96" s="758">
        <f t="shared" si="31"/>
        <v>0</v>
      </c>
    </row>
    <row r="97" s="649" customFormat="1" ht="37.2" spans="1:14">
      <c r="A97" s="814" t="s">
        <v>1727</v>
      </c>
      <c r="B97" s="824" t="s">
        <v>1728</v>
      </c>
      <c r="C97" s="706"/>
      <c r="D97" s="802">
        <f t="shared" si="32"/>
        <v>0</v>
      </c>
      <c r="E97" s="822"/>
      <c r="F97" s="710"/>
      <c r="G97" s="820"/>
      <c r="H97" s="821" t="str">
        <f t="shared" si="33"/>
        <v>——</v>
      </c>
      <c r="I97" s="802">
        <v>0.05</v>
      </c>
      <c r="J97" s="758">
        <f t="shared" si="28"/>
        <v>0</v>
      </c>
      <c r="K97" s="758">
        <f t="shared" si="29"/>
        <v>0</v>
      </c>
      <c r="L97" s="758">
        <v>0</v>
      </c>
      <c r="M97" s="758">
        <f t="shared" si="30"/>
        <v>0</v>
      </c>
      <c r="N97" s="758">
        <f t="shared" si="31"/>
        <v>0</v>
      </c>
    </row>
    <row r="98" s="649" customFormat="1" ht="24" spans="1:14">
      <c r="A98" s="814" t="s">
        <v>1729</v>
      </c>
      <c r="B98" s="802">
        <f>估价对象房地状况!C24</f>
        <v>0</v>
      </c>
      <c r="C98" s="706"/>
      <c r="D98" s="802">
        <f t="shared" si="32"/>
        <v>0</v>
      </c>
      <c r="E98" s="822"/>
      <c r="F98" s="710"/>
      <c r="G98" s="820"/>
      <c r="H98" s="821" t="str">
        <f t="shared" si="33"/>
        <v>——</v>
      </c>
      <c r="I98" s="802">
        <v>0.05</v>
      </c>
      <c r="J98" s="758">
        <f t="shared" si="28"/>
        <v>0</v>
      </c>
      <c r="K98" s="758">
        <f t="shared" si="29"/>
        <v>0</v>
      </c>
      <c r="L98" s="758">
        <v>0</v>
      </c>
      <c r="M98" s="758">
        <f t="shared" si="30"/>
        <v>0</v>
      </c>
      <c r="N98" s="758">
        <f t="shared" si="31"/>
        <v>0</v>
      </c>
    </row>
    <row r="99" s="649" customFormat="1" ht="36" spans="1:14">
      <c r="A99" s="814" t="s">
        <v>1730</v>
      </c>
      <c r="B99" s="825" t="s">
        <v>1731</v>
      </c>
      <c r="C99" s="706"/>
      <c r="D99" s="802">
        <f t="shared" si="32"/>
        <v>0</v>
      </c>
      <c r="E99" s="822"/>
      <c r="F99" s="710"/>
      <c r="G99" s="820"/>
      <c r="H99" s="821" t="str">
        <f t="shared" si="33"/>
        <v>——</v>
      </c>
      <c r="I99" s="802">
        <v>0.06</v>
      </c>
      <c r="J99" s="758">
        <f t="shared" si="28"/>
        <v>0</v>
      </c>
      <c r="K99" s="758">
        <f t="shared" si="29"/>
        <v>0</v>
      </c>
      <c r="L99" s="758">
        <v>0</v>
      </c>
      <c r="M99" s="758">
        <f t="shared" si="30"/>
        <v>0</v>
      </c>
      <c r="N99" s="758">
        <f t="shared" si="31"/>
        <v>0</v>
      </c>
    </row>
    <row r="100" s="649" customFormat="1" ht="24" spans="1:14">
      <c r="A100" s="814" t="s">
        <v>1732</v>
      </c>
      <c r="B100" s="700" t="str">
        <f>估价对象房地状况!C21</f>
        <v>估价对象所在区域公共配套设施齐备情况</v>
      </c>
      <c r="C100" s="706"/>
      <c r="D100" s="802">
        <f t="shared" si="32"/>
        <v>0</v>
      </c>
      <c r="E100" s="822"/>
      <c r="F100" s="710"/>
      <c r="G100" s="820"/>
      <c r="H100" s="821" t="str">
        <f t="shared" si="33"/>
        <v>——</v>
      </c>
      <c r="I100" s="802">
        <v>0.06</v>
      </c>
      <c r="J100" s="758">
        <f t="shared" si="28"/>
        <v>0</v>
      </c>
      <c r="K100" s="758">
        <f t="shared" si="29"/>
        <v>0</v>
      </c>
      <c r="L100" s="758">
        <v>0</v>
      </c>
      <c r="M100" s="758">
        <f t="shared" si="30"/>
        <v>0</v>
      </c>
      <c r="N100" s="758">
        <f t="shared" si="31"/>
        <v>0</v>
      </c>
    </row>
    <row r="101" s="649" customFormat="1" ht="24" spans="1:14">
      <c r="A101" s="814" t="s">
        <v>1733</v>
      </c>
      <c r="B101" s="700" t="str">
        <f>估价对象房地状况!C22</f>
        <v>估价对象所在区域基础设施水平</v>
      </c>
      <c r="C101" s="706"/>
      <c r="D101" s="802">
        <f t="shared" si="32"/>
        <v>0</v>
      </c>
      <c r="E101" s="822"/>
      <c r="F101" s="710"/>
      <c r="G101" s="820"/>
      <c r="H101" s="821" t="str">
        <f t="shared" si="33"/>
        <v>——</v>
      </c>
      <c r="I101" s="802">
        <v>0.09</v>
      </c>
      <c r="J101" s="758">
        <f t="shared" si="28"/>
        <v>0</v>
      </c>
      <c r="K101" s="758">
        <f t="shared" si="29"/>
        <v>0</v>
      </c>
      <c r="L101" s="758">
        <v>0</v>
      </c>
      <c r="M101" s="758">
        <f t="shared" si="30"/>
        <v>0</v>
      </c>
      <c r="N101" s="758">
        <f t="shared" si="31"/>
        <v>0</v>
      </c>
    </row>
    <row r="102" s="649" customFormat="1" ht="36.75" spans="1:25">
      <c r="A102" s="827" t="s">
        <v>1734</v>
      </c>
      <c r="B102" s="905" t="str">
        <f>估价对象房地状况!C20</f>
        <v>区域自然环境：；人文环境；综合评价环境状况一般</v>
      </c>
      <c r="C102" s="706"/>
      <c r="D102" s="802">
        <f t="shared" si="32"/>
        <v>0</v>
      </c>
      <c r="E102" s="829"/>
      <c r="F102" s="710"/>
      <c r="G102" s="820"/>
      <c r="H102" s="821" t="str">
        <f t="shared" si="33"/>
        <v>——</v>
      </c>
      <c r="I102" s="905">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1750</v>
      </c>
      <c r="B104" s="928"/>
      <c r="C104" s="928"/>
      <c r="D104" s="928"/>
      <c r="E104" s="928"/>
      <c r="F104" s="928"/>
      <c r="G104" s="928"/>
      <c r="H104" s="928"/>
      <c r="I104" s="928"/>
      <c r="J104" s="928"/>
      <c r="K104" s="928"/>
      <c r="L104" s="928"/>
      <c r="M104" s="928"/>
      <c r="N104" s="928"/>
    </row>
    <row r="105" spans="1:14">
      <c r="A105" s="784" t="s">
        <v>1751</v>
      </c>
      <c r="B105" s="784" t="s">
        <v>1752</v>
      </c>
      <c r="C105" s="785" t="s">
        <v>1753</v>
      </c>
      <c r="D105" s="786"/>
      <c r="E105" s="786"/>
      <c r="F105" s="786"/>
      <c r="G105" s="786"/>
      <c r="H105" s="786"/>
      <c r="I105" s="786"/>
      <c r="J105" s="944"/>
      <c r="K105" s="945"/>
      <c r="L105" s="945"/>
      <c r="M105" s="945"/>
      <c r="N105" s="945"/>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29" t="s">
        <v>1754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1607</v>
      </c>
      <c r="C112" s="931">
        <f>$I$3</f>
        <v>0</v>
      </c>
      <c r="D112" s="931">
        <f t="shared" ref="D112:N112" si="34">$I$3</f>
        <v>0</v>
      </c>
      <c r="E112" s="931">
        <f t="shared" si="34"/>
        <v>0</v>
      </c>
      <c r="F112" s="931">
        <f t="shared" si="34"/>
        <v>0</v>
      </c>
      <c r="G112" s="931">
        <f t="shared" si="34"/>
        <v>0</v>
      </c>
      <c r="H112" s="931">
        <f t="shared" si="34"/>
        <v>0</v>
      </c>
      <c r="I112" s="931">
        <f t="shared" si="34"/>
        <v>0</v>
      </c>
      <c r="J112" s="931">
        <f t="shared" si="34"/>
        <v>0</v>
      </c>
      <c r="K112" s="931">
        <f t="shared" si="34"/>
        <v>0</v>
      </c>
      <c r="L112" s="931">
        <f t="shared" si="34"/>
        <v>0</v>
      </c>
      <c r="M112" s="931">
        <f t="shared" si="34"/>
        <v>0</v>
      </c>
      <c r="N112" s="931">
        <f t="shared" si="34"/>
        <v>0</v>
      </c>
    </row>
    <row r="113" spans="1:14">
      <c r="A113" s="932"/>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3" t="s">
        <v>1755</v>
      </c>
      <c r="B114" s="933"/>
      <c r="C114" s="933"/>
      <c r="D114" s="933"/>
      <c r="E114" s="933"/>
      <c r="F114" s="933"/>
      <c r="G114" s="933"/>
      <c r="H114" s="933"/>
      <c r="I114" s="933"/>
      <c r="J114" s="933"/>
      <c r="K114" s="933"/>
      <c r="L114" s="933"/>
      <c r="M114" s="933"/>
      <c r="N114" s="933"/>
    </row>
    <row r="116" ht="13.95"/>
    <row r="117" ht="25.95" spans="1:13">
      <c r="A117" s="761" t="s">
        <v>1756</v>
      </c>
      <c r="B117" s="934">
        <f>G3</f>
        <v>2.92</v>
      </c>
      <c r="C117" s="751" t="s">
        <v>1757</v>
      </c>
      <c r="D117" s="935">
        <f>SUMPRODUCT((A119:A123=F117)*(B118:M118=H117)*B119:M123)</f>
        <v>0.9</v>
      </c>
      <c r="E117" s="654" t="s">
        <v>1562</v>
      </c>
      <c r="F117" s="936" t="str">
        <f>E2</f>
        <v>办公</v>
      </c>
      <c r="G117" s="654" t="s">
        <v>1564</v>
      </c>
      <c r="H117" s="936" t="str">
        <f>G2</f>
        <v>四级</v>
      </c>
      <c r="I117" s="654"/>
      <c r="J117" s="946"/>
      <c r="K117" s="946"/>
      <c r="L117" s="946"/>
      <c r="M117" s="946"/>
    </row>
    <row r="118" spans="1:13">
      <c r="A118" s="937"/>
      <c r="B118" s="938" t="s">
        <v>1758</v>
      </c>
      <c r="C118" s="938" t="s">
        <v>1759</v>
      </c>
      <c r="D118" s="938" t="s">
        <v>1760</v>
      </c>
      <c r="E118" s="939" t="s">
        <v>1761</v>
      </c>
      <c r="F118" s="939" t="s">
        <v>1762</v>
      </c>
      <c r="G118" s="939" t="s">
        <v>1763</v>
      </c>
      <c r="H118" s="940" t="s">
        <v>1764</v>
      </c>
      <c r="I118" s="940" t="s">
        <v>1765</v>
      </c>
      <c r="J118" s="947" t="s">
        <v>1766</v>
      </c>
      <c r="K118" s="947" t="s">
        <v>1767</v>
      </c>
      <c r="L118" s="947" t="s">
        <v>1768</v>
      </c>
      <c r="M118" s="948" t="s">
        <v>1769</v>
      </c>
    </row>
    <row r="119" spans="1:13">
      <c r="A119" s="890" t="s">
        <v>1685</v>
      </c>
      <c r="B119" s="818">
        <f>ROUND(0.9968-0.011*B117,4)</f>
        <v>0.9647</v>
      </c>
      <c r="C119" s="818">
        <f>B119</f>
        <v>0.9647</v>
      </c>
      <c r="D119" s="818">
        <f>ROUND(0.949-0.014*B117,4)</f>
        <v>0.9081</v>
      </c>
      <c r="E119" s="818">
        <f>D119</f>
        <v>0.9081</v>
      </c>
      <c r="F119" s="818">
        <f>E119</f>
        <v>0.9081</v>
      </c>
      <c r="G119" s="818">
        <f>F119</f>
        <v>0.9081</v>
      </c>
      <c r="H119" s="818">
        <f>G119</f>
        <v>0.9081</v>
      </c>
      <c r="I119" s="818">
        <f>ROUND(0.8486-0.018*B117,4)</f>
        <v>0.796</v>
      </c>
      <c r="J119" s="818">
        <f t="shared" ref="J119:M122" si="37">I119</f>
        <v>0.796</v>
      </c>
      <c r="K119" s="818">
        <f t="shared" si="37"/>
        <v>0.796</v>
      </c>
      <c r="L119" s="818">
        <f t="shared" si="37"/>
        <v>0.796</v>
      </c>
      <c r="M119" s="949">
        <f t="shared" si="37"/>
        <v>0.796</v>
      </c>
    </row>
    <row r="120" spans="1:13">
      <c r="A120" s="890" t="s">
        <v>1686</v>
      </c>
      <c r="B120" s="818">
        <f>ROUND(0.993-0.0112*B117,4)</f>
        <v>0.9603</v>
      </c>
      <c r="C120" s="818">
        <f>B120</f>
        <v>0.9603</v>
      </c>
      <c r="D120" s="818">
        <f>ROUND(0.9415-0.0142*B117,4)</f>
        <v>0.9</v>
      </c>
      <c r="E120" s="818">
        <f t="shared" ref="E120:H121" si="38">D120</f>
        <v>0.9</v>
      </c>
      <c r="F120" s="818">
        <f t="shared" si="38"/>
        <v>0.9</v>
      </c>
      <c r="G120" s="818">
        <f t="shared" si="38"/>
        <v>0.9</v>
      </c>
      <c r="H120" s="818">
        <f t="shared" si="38"/>
        <v>0.9</v>
      </c>
      <c r="I120" s="818">
        <f>ROUND(0.838-0.0182*B117,4)</f>
        <v>0.7849</v>
      </c>
      <c r="J120" s="818">
        <f t="shared" si="37"/>
        <v>0.7849</v>
      </c>
      <c r="K120" s="818">
        <f t="shared" si="37"/>
        <v>0.7849</v>
      </c>
      <c r="L120" s="818">
        <f t="shared" si="37"/>
        <v>0.7849</v>
      </c>
      <c r="M120" s="949">
        <f t="shared" si="37"/>
        <v>0.7849</v>
      </c>
    </row>
    <row r="121" spans="1:13">
      <c r="A121" s="890" t="s">
        <v>1687</v>
      </c>
      <c r="B121" s="818">
        <f>ROUND(0.9448-0.0115*B117,4)</f>
        <v>0.9112</v>
      </c>
      <c r="C121" s="818">
        <f>B121</f>
        <v>0.9112</v>
      </c>
      <c r="D121" s="818">
        <f>ROUND(0.937-0.0145*B117,4)</f>
        <v>0.8947</v>
      </c>
      <c r="E121" s="818">
        <f t="shared" si="38"/>
        <v>0.8947</v>
      </c>
      <c r="F121" s="818">
        <f t="shared" si="38"/>
        <v>0.8947</v>
      </c>
      <c r="G121" s="818">
        <f t="shared" si="38"/>
        <v>0.8947</v>
      </c>
      <c r="H121" s="818">
        <f t="shared" si="38"/>
        <v>0.8947</v>
      </c>
      <c r="I121" s="818">
        <f>ROUND(0.7965-0.0185*B117,4)</f>
        <v>0.7425</v>
      </c>
      <c r="J121" s="818">
        <f t="shared" si="37"/>
        <v>0.7425</v>
      </c>
      <c r="K121" s="818">
        <f t="shared" si="37"/>
        <v>0.7425</v>
      </c>
      <c r="L121" s="818">
        <f t="shared" si="37"/>
        <v>0.7425</v>
      </c>
      <c r="M121" s="949">
        <f t="shared" si="37"/>
        <v>0.7425</v>
      </c>
    </row>
    <row r="122" ht="13.95" spans="1:13">
      <c r="A122" s="891" t="s">
        <v>1688</v>
      </c>
      <c r="B122" s="941">
        <f>ROUND(0.7836-0.012*B117,4)</f>
        <v>0.7486</v>
      </c>
      <c r="C122" s="941">
        <f>B122</f>
        <v>0.7486</v>
      </c>
      <c r="D122" s="941">
        <f>ROUND(0.753-0.015*B117,4)</f>
        <v>0.7092</v>
      </c>
      <c r="E122" s="941">
        <f>D122</f>
        <v>0.7092</v>
      </c>
      <c r="F122" s="941">
        <f>E122</f>
        <v>0.7092</v>
      </c>
      <c r="G122" s="941">
        <f>ROUND(0.6612-0.018*B117,4)</f>
        <v>0.6086</v>
      </c>
      <c r="H122" s="941">
        <f>G122</f>
        <v>0.6086</v>
      </c>
      <c r="I122" s="941">
        <f>ROUND(0.5905-0.019*B117,4)</f>
        <v>0.535</v>
      </c>
      <c r="J122" s="941">
        <f t="shared" si="37"/>
        <v>0.535</v>
      </c>
      <c r="K122" s="941">
        <f t="shared" si="37"/>
        <v>0.535</v>
      </c>
      <c r="L122" s="941">
        <f t="shared" si="37"/>
        <v>0.535</v>
      </c>
      <c r="M122" s="950">
        <f t="shared" si="37"/>
        <v>0.535</v>
      </c>
    </row>
    <row r="123" spans="1:13">
      <c r="A123" s="942" t="s">
        <v>288</v>
      </c>
      <c r="B123" s="818">
        <f>ROUND(0.9404-0.0106*B117,4)</f>
        <v>0.9094</v>
      </c>
      <c r="C123" s="818">
        <f>B123</f>
        <v>0.9094</v>
      </c>
      <c r="D123" s="818">
        <f>ROUND(0.8955-0.0135*B117,4)</f>
        <v>0.8561</v>
      </c>
      <c r="E123" s="818">
        <f t="shared" ref="E123" si="39">D123</f>
        <v>0.8561</v>
      </c>
      <c r="F123" s="818">
        <f t="shared" ref="F123" si="40">E123</f>
        <v>0.8561</v>
      </c>
      <c r="G123" s="818">
        <f t="shared" ref="G123" si="41">F123</f>
        <v>0.8561</v>
      </c>
      <c r="H123" s="818">
        <f t="shared" ref="H123" si="42">G123</f>
        <v>0.8561</v>
      </c>
      <c r="I123" s="818">
        <f>ROUND(0.7632-0.0166*B117,4)</f>
        <v>0.7147</v>
      </c>
      <c r="J123" s="818">
        <f t="shared" ref="J123" si="43">I123</f>
        <v>0.7147</v>
      </c>
      <c r="K123" s="818">
        <f t="shared" ref="K123" si="44">J123</f>
        <v>0.7147</v>
      </c>
      <c r="L123" s="818">
        <f t="shared" ref="L123" si="45">K123</f>
        <v>0.7147</v>
      </c>
      <c r="M123" s="949">
        <f t="shared" ref="M123" si="46">L123</f>
        <v>0.7147</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1296296296296" defaultRowHeight="14.4"/>
  <cols>
    <col min="1" max="13" width="15.212962962963" style="579" customWidth="1"/>
    <col min="14" max="14" width="10" style="579" customWidth="1"/>
    <col min="15" max="16" width="8.21296296296296" style="579"/>
    <col min="17" max="17" width="34.1111111111111" style="579" customWidth="1"/>
    <col min="18" max="18" width="8.21296296296296" style="579" customWidth="1"/>
    <col min="19" max="19" width="8.21296296296296" style="579"/>
    <col min="20" max="20" width="11.6666666666667" style="579" customWidth="1"/>
    <col min="21" max="16384" width="8.21296296296296"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1770</v>
      </c>
      <c r="B2" s="583">
        <v>3.5</v>
      </c>
      <c r="C2" s="583">
        <v>3.5</v>
      </c>
      <c r="D2" s="584">
        <v>2.5</v>
      </c>
      <c r="E2" s="584">
        <v>2.5</v>
      </c>
      <c r="F2" s="584">
        <v>2.5</v>
      </c>
      <c r="G2" s="584">
        <v>2.5</v>
      </c>
      <c r="H2" s="584">
        <v>2.5</v>
      </c>
      <c r="I2" s="583">
        <v>2</v>
      </c>
      <c r="J2" s="583">
        <v>2</v>
      </c>
      <c r="K2" s="583">
        <v>2</v>
      </c>
      <c r="L2" s="583">
        <v>2</v>
      </c>
      <c r="M2" s="637">
        <v>2</v>
      </c>
    </row>
    <row r="3" spans="1:13">
      <c r="A3" s="585" t="s">
        <v>1563</v>
      </c>
      <c r="B3" s="586">
        <v>3.5</v>
      </c>
      <c r="C3" s="586">
        <v>3.5</v>
      </c>
      <c r="D3" s="587">
        <v>2.5</v>
      </c>
      <c r="E3" s="587">
        <v>2.5</v>
      </c>
      <c r="F3" s="587">
        <v>2.5</v>
      </c>
      <c r="G3" s="587">
        <v>2.5</v>
      </c>
      <c r="H3" s="587">
        <v>2.5</v>
      </c>
      <c r="I3" s="586">
        <v>2</v>
      </c>
      <c r="J3" s="586">
        <v>2</v>
      </c>
      <c r="K3" s="586">
        <v>2</v>
      </c>
      <c r="L3" s="586">
        <v>2</v>
      </c>
      <c r="M3" s="638">
        <v>2</v>
      </c>
    </row>
    <row r="4" spans="1:13">
      <c r="A4" s="585" t="s">
        <v>1771</v>
      </c>
      <c r="B4" s="587">
        <v>2.5</v>
      </c>
      <c r="C4" s="587">
        <v>2.5</v>
      </c>
      <c r="D4" s="587">
        <v>2.5</v>
      </c>
      <c r="E4" s="587">
        <v>2.5</v>
      </c>
      <c r="F4" s="587">
        <v>2.5</v>
      </c>
      <c r="G4" s="587">
        <v>2.5</v>
      </c>
      <c r="H4" s="587">
        <v>2.5</v>
      </c>
      <c r="I4" s="586">
        <v>1.5</v>
      </c>
      <c r="J4" s="586">
        <v>1.5</v>
      </c>
      <c r="K4" s="586">
        <v>1.5</v>
      </c>
      <c r="L4" s="586">
        <v>1.5</v>
      </c>
      <c r="M4" s="638">
        <v>1.5</v>
      </c>
    </row>
    <row r="5" spans="1:13">
      <c r="A5" s="588" t="s">
        <v>1772</v>
      </c>
      <c r="B5" s="586">
        <v>1.5</v>
      </c>
      <c r="C5" s="586">
        <v>1.5</v>
      </c>
      <c r="D5" s="586">
        <v>1.5</v>
      </c>
      <c r="E5" s="586">
        <v>1.5</v>
      </c>
      <c r="F5" s="586">
        <v>1.5</v>
      </c>
      <c r="G5" s="586">
        <v>1.2</v>
      </c>
      <c r="H5" s="586">
        <v>1.2</v>
      </c>
      <c r="I5" s="586">
        <v>1</v>
      </c>
      <c r="J5" s="586">
        <v>1</v>
      </c>
      <c r="K5" s="586">
        <v>1</v>
      </c>
      <c r="L5" s="586">
        <v>1</v>
      </c>
      <c r="M5" s="638">
        <v>1</v>
      </c>
    </row>
    <row r="6" spans="1:13">
      <c r="A6" s="589" t="s">
        <v>1773</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1644</v>
      </c>
      <c r="B8" s="594">
        <v>80</v>
      </c>
      <c r="C8" s="594">
        <v>80</v>
      </c>
      <c r="D8" s="594">
        <v>70</v>
      </c>
      <c r="E8" s="594">
        <v>70</v>
      </c>
      <c r="F8" s="594">
        <v>70</v>
      </c>
      <c r="G8" s="594">
        <v>70</v>
      </c>
      <c r="H8" s="594">
        <v>70</v>
      </c>
      <c r="I8" s="594">
        <v>60</v>
      </c>
      <c r="J8" s="594">
        <v>60</v>
      </c>
      <c r="K8" s="594">
        <v>60</v>
      </c>
      <c r="L8" s="594">
        <v>60</v>
      </c>
      <c r="M8" s="643">
        <v>60</v>
      </c>
    </row>
    <row r="9" spans="1:13">
      <c r="A9" s="595" t="s">
        <v>1645</v>
      </c>
      <c r="B9" s="596">
        <v>70</v>
      </c>
      <c r="C9" s="596">
        <v>70</v>
      </c>
      <c r="D9" s="596">
        <v>60</v>
      </c>
      <c r="E9" s="596">
        <v>60</v>
      </c>
      <c r="F9" s="596">
        <v>60</v>
      </c>
      <c r="G9" s="596">
        <v>60</v>
      </c>
      <c r="H9" s="596">
        <v>60</v>
      </c>
      <c r="I9" s="596">
        <v>50</v>
      </c>
      <c r="J9" s="596">
        <v>50</v>
      </c>
      <c r="K9" s="596">
        <v>50</v>
      </c>
      <c r="L9" s="596">
        <v>50</v>
      </c>
      <c r="M9" s="644">
        <v>50</v>
      </c>
    </row>
    <row r="10" spans="1:13">
      <c r="A10" s="595" t="s">
        <v>1646</v>
      </c>
      <c r="B10" s="596">
        <v>20</v>
      </c>
      <c r="C10" s="596">
        <v>20</v>
      </c>
      <c r="D10" s="596">
        <v>15</v>
      </c>
      <c r="E10" s="596">
        <v>15</v>
      </c>
      <c r="F10" s="596">
        <v>15</v>
      </c>
      <c r="G10" s="596">
        <v>15</v>
      </c>
      <c r="H10" s="596">
        <v>15</v>
      </c>
      <c r="I10" s="596">
        <v>10</v>
      </c>
      <c r="J10" s="596">
        <v>10</v>
      </c>
      <c r="K10" s="596">
        <v>10</v>
      </c>
      <c r="L10" s="596">
        <v>10</v>
      </c>
      <c r="M10" s="644">
        <v>10</v>
      </c>
    </row>
    <row r="11" spans="1:13">
      <c r="A11" s="595" t="s">
        <v>1647</v>
      </c>
      <c r="B11" s="596">
        <v>30</v>
      </c>
      <c r="C11" s="596">
        <v>30</v>
      </c>
      <c r="D11" s="596">
        <v>25</v>
      </c>
      <c r="E11" s="596">
        <v>25</v>
      </c>
      <c r="F11" s="596">
        <v>25</v>
      </c>
      <c r="G11" s="596">
        <v>25</v>
      </c>
      <c r="H11" s="596">
        <v>25</v>
      </c>
      <c r="I11" s="596">
        <v>20</v>
      </c>
      <c r="J11" s="596">
        <v>20</v>
      </c>
      <c r="K11" s="596">
        <v>20</v>
      </c>
      <c r="L11" s="596">
        <v>20</v>
      </c>
      <c r="M11" s="644">
        <v>20</v>
      </c>
    </row>
    <row r="12" spans="1:13">
      <c r="A12" s="595" t="s">
        <v>1648</v>
      </c>
      <c r="B12" s="596">
        <v>45</v>
      </c>
      <c r="C12" s="596">
        <v>45</v>
      </c>
      <c r="D12" s="596">
        <v>40</v>
      </c>
      <c r="E12" s="596">
        <v>40</v>
      </c>
      <c r="F12" s="596">
        <v>40</v>
      </c>
      <c r="G12" s="596">
        <v>40</v>
      </c>
      <c r="H12" s="596">
        <v>40</v>
      </c>
      <c r="I12" s="596">
        <v>35</v>
      </c>
      <c r="J12" s="596">
        <v>35</v>
      </c>
      <c r="K12" s="596">
        <v>35</v>
      </c>
      <c r="L12" s="596">
        <v>35</v>
      </c>
      <c r="M12" s="644">
        <v>35</v>
      </c>
    </row>
    <row r="13" spans="1:13">
      <c r="A13" s="595" t="s">
        <v>1774</v>
      </c>
      <c r="B13" s="596">
        <v>60</v>
      </c>
      <c r="C13" s="596">
        <v>60</v>
      </c>
      <c r="D13" s="596">
        <v>50</v>
      </c>
      <c r="E13" s="596">
        <v>50</v>
      </c>
      <c r="F13" s="596">
        <v>50</v>
      </c>
      <c r="G13" s="596">
        <v>50</v>
      </c>
      <c r="H13" s="596">
        <v>50</v>
      </c>
      <c r="I13" s="596">
        <v>40</v>
      </c>
      <c r="J13" s="596">
        <v>40</v>
      </c>
      <c r="K13" s="596">
        <v>40</v>
      </c>
      <c r="L13" s="596">
        <v>40</v>
      </c>
      <c r="M13" s="644">
        <v>40</v>
      </c>
    </row>
    <row r="14" spans="1:13">
      <c r="A14" s="595" t="s">
        <v>1649</v>
      </c>
      <c r="B14" s="596">
        <v>50</v>
      </c>
      <c r="C14" s="596">
        <v>50</v>
      </c>
      <c r="D14" s="596">
        <v>40</v>
      </c>
      <c r="E14" s="596">
        <v>40</v>
      </c>
      <c r="F14" s="596">
        <v>40</v>
      </c>
      <c r="G14" s="596">
        <v>40</v>
      </c>
      <c r="H14" s="596">
        <v>40</v>
      </c>
      <c r="I14" s="596">
        <v>30</v>
      </c>
      <c r="J14" s="596">
        <v>30</v>
      </c>
      <c r="K14" s="596">
        <v>30</v>
      </c>
      <c r="L14" s="596">
        <v>30</v>
      </c>
      <c r="M14" s="644">
        <v>30</v>
      </c>
    </row>
    <row r="15" spans="1:13">
      <c r="A15" s="597" t="s">
        <v>1650</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1776</v>
      </c>
      <c r="B18" s="599"/>
      <c r="C18" s="600"/>
      <c r="D18" s="600"/>
      <c r="E18" s="599"/>
      <c r="F18" s="600"/>
      <c r="G18" s="600"/>
    </row>
    <row r="19" ht="15.15" spans="1:7">
      <c r="A19" s="598" t="s">
        <v>1777</v>
      </c>
      <c r="B19" s="601" t="s">
        <v>1778</v>
      </c>
      <c r="C19" s="601" t="s">
        <v>1779</v>
      </c>
      <c r="D19" s="602"/>
      <c r="E19" s="598" t="s">
        <v>1780</v>
      </c>
      <c r="F19" s="603"/>
      <c r="G19" s="603"/>
    </row>
    <row r="20" spans="1:7">
      <c r="A20" s="604" t="s">
        <v>1770</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1788</v>
      </c>
      <c r="D23" s="613"/>
      <c r="E23" s="614">
        <v>0.9</v>
      </c>
      <c r="F23" s="609" t="s">
        <v>1789</v>
      </c>
      <c r="G23" s="609"/>
    </row>
    <row r="24" spans="1:7">
      <c r="A24" s="610"/>
      <c r="B24" s="611"/>
      <c r="C24" s="612" t="s">
        <v>1790</v>
      </c>
      <c r="D24" s="613"/>
      <c r="E24" s="614">
        <v>0.8</v>
      </c>
      <c r="F24" s="609" t="s">
        <v>1791</v>
      </c>
      <c r="G24" s="609"/>
    </row>
    <row r="25" ht="15.15" spans="1:7">
      <c r="A25" s="615"/>
      <c r="B25" s="616"/>
      <c r="C25" s="617" t="s">
        <v>1792</v>
      </c>
      <c r="D25" s="618"/>
      <c r="E25" s="619">
        <v>0.8</v>
      </c>
      <c r="F25" s="609" t="s">
        <v>1793</v>
      </c>
      <c r="G25" s="609"/>
    </row>
    <row r="26" ht="15.15" spans="1:7">
      <c r="A26" s="620" t="s">
        <v>1563</v>
      </c>
      <c r="B26" s="621" t="s">
        <v>1781</v>
      </c>
      <c r="C26" s="622" t="s">
        <v>1568</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5.15" spans="1:7">
      <c r="A39" s="628"/>
      <c r="B39" s="616"/>
      <c r="C39" s="617" t="s">
        <v>1820</v>
      </c>
      <c r="D39" s="618"/>
      <c r="E39" s="619">
        <v>0.6</v>
      </c>
      <c r="F39" s="609" t="s">
        <v>1821</v>
      </c>
      <c r="G39" s="609"/>
    </row>
    <row r="40" ht="15.15" spans="1:7">
      <c r="A40" s="620" t="s">
        <v>1771</v>
      </c>
      <c r="B40" s="621" t="s">
        <v>1771</v>
      </c>
      <c r="C40" s="622" t="s">
        <v>1822</v>
      </c>
      <c r="D40" s="623"/>
      <c r="E40" s="624">
        <v>1</v>
      </c>
      <c r="F40" s="609" t="s">
        <v>1823</v>
      </c>
      <c r="G40" s="609"/>
    </row>
    <row r="41" spans="1:7">
      <c r="A41" s="604" t="s">
        <v>1772</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1773</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5.1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1770</v>
      </c>
      <c r="C55" s="598" t="s">
        <v>1770</v>
      </c>
      <c r="D55" s="598" t="s">
        <v>1770</v>
      </c>
      <c r="E55" s="596" t="s">
        <v>1563</v>
      </c>
      <c r="F55" s="596" t="s">
        <v>1772</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1586</v>
      </c>
      <c r="D72" s="630"/>
      <c r="E72" s="630" t="s">
        <v>124</v>
      </c>
      <c r="F72" s="630" t="s">
        <v>124</v>
      </c>
    </row>
    <row r="73" spans="1:6">
      <c r="A73" s="630">
        <v>1</v>
      </c>
      <c r="B73" s="627" t="s">
        <v>1858</v>
      </c>
      <c r="C73" s="596" t="s">
        <v>1859</v>
      </c>
      <c r="D73" s="596" t="s">
        <v>1860</v>
      </c>
      <c r="E73" s="630">
        <v>0.2</v>
      </c>
      <c r="F73" s="630">
        <v>25</v>
      </c>
    </row>
    <row r="74" ht="24" spans="1:6">
      <c r="A74" s="630">
        <v>2</v>
      </c>
      <c r="B74" s="611"/>
      <c r="C74" s="596" t="s">
        <v>1861</v>
      </c>
      <c r="D74" s="596" t="s">
        <v>1862</v>
      </c>
      <c r="E74" s="630">
        <v>0.2</v>
      </c>
      <c r="F74" s="630">
        <v>25</v>
      </c>
    </row>
    <row r="75" ht="24" spans="1:6">
      <c r="A75" s="630">
        <v>3</v>
      </c>
      <c r="B75" s="611"/>
      <c r="C75" s="596" t="s">
        <v>1863</v>
      </c>
      <c r="D75" s="596" t="s">
        <v>1864</v>
      </c>
      <c r="E75" s="630">
        <v>0.2</v>
      </c>
      <c r="F75" s="630">
        <v>25</v>
      </c>
    </row>
    <row r="76" spans="1:6">
      <c r="A76" s="630">
        <v>4</v>
      </c>
      <c r="B76" s="611"/>
      <c r="C76" s="596" t="s">
        <v>1865</v>
      </c>
      <c r="D76" s="596" t="s">
        <v>1866</v>
      </c>
      <c r="E76" s="630">
        <v>0.15</v>
      </c>
      <c r="F76" s="630">
        <v>20</v>
      </c>
    </row>
    <row r="77" ht="24" spans="1:6">
      <c r="A77" s="630">
        <v>5</v>
      </c>
      <c r="B77" s="611"/>
      <c r="C77" s="596" t="s">
        <v>1867</v>
      </c>
      <c r="D77" s="596" t="s">
        <v>1868</v>
      </c>
      <c r="E77" s="630">
        <v>0.15</v>
      </c>
      <c r="F77" s="630">
        <v>20</v>
      </c>
    </row>
    <row r="78" ht="24" spans="1:6">
      <c r="A78" s="630">
        <v>6</v>
      </c>
      <c r="B78" s="611"/>
      <c r="C78" s="596" t="s">
        <v>1869</v>
      </c>
      <c r="D78" s="596" t="s">
        <v>1870</v>
      </c>
      <c r="E78" s="630">
        <v>0.15</v>
      </c>
      <c r="F78" s="630">
        <v>20</v>
      </c>
    </row>
    <row r="79" ht="24" spans="1:6">
      <c r="A79" s="630">
        <v>7</v>
      </c>
      <c r="B79" s="611"/>
      <c r="C79" s="596" t="s">
        <v>1871</v>
      </c>
      <c r="D79" s="596" t="s">
        <v>1872</v>
      </c>
      <c r="E79" s="630">
        <v>0.15</v>
      </c>
      <c r="F79" s="630">
        <v>20</v>
      </c>
    </row>
    <row r="80" ht="24" spans="1:6">
      <c r="A80" s="630">
        <v>8</v>
      </c>
      <c r="B80" s="611"/>
      <c r="C80" s="596" t="s">
        <v>1873</v>
      </c>
      <c r="D80" s="596" t="s">
        <v>1874</v>
      </c>
      <c r="E80" s="630">
        <v>0.1</v>
      </c>
      <c r="F80" s="630">
        <v>15</v>
      </c>
    </row>
    <row r="81" ht="24" spans="1:6">
      <c r="A81" s="630">
        <v>9</v>
      </c>
      <c r="B81" s="611"/>
      <c r="C81" s="596" t="s">
        <v>1875</v>
      </c>
      <c r="D81" s="596" t="s">
        <v>1876</v>
      </c>
      <c r="E81" s="630">
        <v>0.1</v>
      </c>
      <c r="F81" s="630">
        <v>15</v>
      </c>
    </row>
    <row r="82" ht="24" spans="1:6">
      <c r="A82" s="630">
        <v>10</v>
      </c>
      <c r="B82" s="611"/>
      <c r="C82" s="596" t="s">
        <v>1877</v>
      </c>
      <c r="D82" s="596" t="s">
        <v>1878</v>
      </c>
      <c r="E82" s="630">
        <v>0.1</v>
      </c>
      <c r="F82" s="630">
        <v>15</v>
      </c>
    </row>
    <row r="83" ht="24" spans="1:6">
      <c r="A83" s="630">
        <v>11</v>
      </c>
      <c r="B83" s="611"/>
      <c r="C83" s="596" t="s">
        <v>1879</v>
      </c>
      <c r="D83" s="596" t="s">
        <v>1880</v>
      </c>
      <c r="E83" s="630">
        <v>0.1</v>
      </c>
      <c r="F83" s="630">
        <v>15</v>
      </c>
    </row>
    <row r="84" ht="36" spans="1:6">
      <c r="A84" s="630">
        <v>12</v>
      </c>
      <c r="B84" s="611"/>
      <c r="C84" s="596" t="s">
        <v>1881</v>
      </c>
      <c r="D84" s="596" t="s">
        <v>1882</v>
      </c>
      <c r="E84" s="630">
        <v>0.1</v>
      </c>
      <c r="F84" s="630">
        <v>15</v>
      </c>
    </row>
    <row r="85" ht="24" spans="1:6">
      <c r="A85" s="630">
        <v>13</v>
      </c>
      <c r="B85" s="611"/>
      <c r="C85" s="596" t="s">
        <v>1883</v>
      </c>
      <c r="D85" s="596" t="s">
        <v>1884</v>
      </c>
      <c r="E85" s="630">
        <v>0.1</v>
      </c>
      <c r="F85" s="630">
        <v>15</v>
      </c>
    </row>
    <row r="86" ht="24" spans="1:6">
      <c r="A86" s="630">
        <v>14</v>
      </c>
      <c r="B86" s="611"/>
      <c r="C86" s="596" t="s">
        <v>1885</v>
      </c>
      <c r="D86" s="596" t="s">
        <v>1886</v>
      </c>
      <c r="E86" s="630">
        <v>0.1</v>
      </c>
      <c r="F86" s="630">
        <v>15</v>
      </c>
    </row>
    <row r="87" ht="24" spans="1:6">
      <c r="A87" s="630">
        <v>15</v>
      </c>
      <c r="B87" s="611"/>
      <c r="C87" s="596" t="s">
        <v>1887</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0.9695</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0.9222</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19863</v>
      </c>
      <c r="C2" s="550" t="s">
        <v>2017</v>
      </c>
      <c r="D2" s="550" t="s">
        <v>2018</v>
      </c>
      <c r="E2" s="552">
        <f ca="1">SUMIF(E6:E13,"&lt;&gt;#ref!",E6:E13)</f>
        <v>11398.58</v>
      </c>
      <c r="F2" s="549"/>
      <c r="G2" s="549"/>
      <c r="H2" s="549"/>
      <c r="I2" s="549"/>
      <c r="J2" s="549"/>
      <c r="K2" s="549"/>
      <c r="L2" s="549"/>
      <c r="M2" s="549"/>
      <c r="N2" s="549"/>
      <c r="O2" s="549"/>
      <c r="P2" s="549"/>
    </row>
    <row r="3" ht="15.6" spans="1:16">
      <c r="A3" s="550" t="s">
        <v>2019</v>
      </c>
      <c r="B3" s="551">
        <f ca="1">ROUND(B2*10000/E2,0)</f>
        <v>17426</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19863</v>
      </c>
      <c r="C6" s="550" t="s">
        <v>2017</v>
      </c>
      <c r="D6" s="549"/>
      <c r="E6" s="552">
        <f ca="1">SUMIF(INDIRECT("'"&amp;A6&amp;"'"&amp;"!C:C"),"建筑面积",INDIRECT("'"&amp;A6&amp;"'"&amp;"!D:D"))</f>
        <v>11398.58</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1563</v>
      </c>
      <c r="E2" s="168" t="s">
        <v>288</v>
      </c>
      <c r="F2" s="168" t="s">
        <v>1771</v>
      </c>
      <c r="G2" s="167" t="s">
        <v>2033</v>
      </c>
      <c r="H2" s="165"/>
      <c r="I2" s="166"/>
      <c r="J2" s="167" t="s">
        <v>2031</v>
      </c>
      <c r="K2" s="168" t="s">
        <v>1781</v>
      </c>
      <c r="L2" s="168" t="s">
        <v>1771</v>
      </c>
      <c r="M2" s="167" t="s">
        <v>2033</v>
      </c>
      <c r="N2" s="191"/>
      <c r="O2" s="167" t="s">
        <v>2031</v>
      </c>
      <c r="P2" s="168" t="s">
        <v>1781</v>
      </c>
      <c r="Q2" s="168" t="s">
        <v>1771</v>
      </c>
      <c r="R2" s="167" t="s">
        <v>2033</v>
      </c>
      <c r="S2" s="191"/>
      <c r="T2" s="167" t="s">
        <v>2031</v>
      </c>
      <c r="U2" s="168" t="s">
        <v>1781</v>
      </c>
      <c r="V2" s="168" t="s">
        <v>1771</v>
      </c>
      <c r="W2" s="167" t="s">
        <v>2033</v>
      </c>
      <c r="X2" s="191"/>
      <c r="Y2" s="167" t="s">
        <v>2031</v>
      </c>
      <c r="Z2" s="500" t="s">
        <v>2032</v>
      </c>
      <c r="AA2" s="501" t="s">
        <v>1563</v>
      </c>
      <c r="AB2" s="168" t="s">
        <v>288</v>
      </c>
      <c r="AC2" s="502" t="s">
        <v>1771</v>
      </c>
      <c r="AD2" s="167" t="s">
        <v>2033</v>
      </c>
      <c r="AE2" s="191"/>
      <c r="AF2" s="167" t="s">
        <v>2031</v>
      </c>
      <c r="AG2" s="500" t="s">
        <v>2032</v>
      </c>
      <c r="AH2" s="501" t="s">
        <v>1563</v>
      </c>
      <c r="AI2" s="168" t="s">
        <v>288</v>
      </c>
      <c r="AJ2" s="502" t="s">
        <v>1771</v>
      </c>
      <c r="AK2" s="167" t="s">
        <v>2033</v>
      </c>
    </row>
    <row r="3" s="433" customFormat="1" ht="14.4" spans="1:37">
      <c r="A3" s="441" t="s">
        <v>2034</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2036</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2037</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2038</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2039</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1296296296296"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12962962963" style="241" customWidth="1"/>
    <col min="3" max="3" width="16.5555555555556" style="241" customWidth="1"/>
    <col min="4" max="4" width="18.5555555555556" style="242" customWidth="1"/>
    <col min="5" max="5" width="11.212962962963" style="242" customWidth="1"/>
    <col min="6" max="6" width="9.44444444444444" style="241" customWidth="1"/>
    <col min="7" max="7" width="31.8796296296296" style="241" customWidth="1"/>
    <col min="8" max="254" width="9" style="241" customWidth="1"/>
    <col min="255" max="16384" width="8.3333333333333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893</v>
      </c>
      <c r="B5" s="256" t="s">
        <v>2148</v>
      </c>
      <c r="C5" s="257">
        <f>C6+C7+C8</f>
        <v>20000</v>
      </c>
      <c r="D5" s="257" t="s">
        <v>2149</v>
      </c>
      <c r="E5" s="257" t="s">
        <v>2150</v>
      </c>
      <c r="F5" s="257" t="s">
        <v>2151</v>
      </c>
      <c r="G5" s="258"/>
    </row>
    <row r="6" s="237" customFormat="1" ht="13.5" customHeight="1" spans="1:7">
      <c r="A6" s="259" t="s">
        <v>897</v>
      </c>
      <c r="B6" s="260" t="s">
        <v>2152</v>
      </c>
      <c r="C6" s="261">
        <v>20000</v>
      </c>
      <c r="D6" s="262"/>
      <c r="E6" s="262"/>
      <c r="F6" s="262"/>
      <c r="G6" s="263"/>
    </row>
    <row r="7" s="237" customFormat="1" ht="13.5" customHeight="1" spans="1:7">
      <c r="A7" s="259" t="s">
        <v>899</v>
      </c>
      <c r="B7" s="260" t="s">
        <v>2153</v>
      </c>
      <c r="C7" s="262">
        <f>ROUND(C6*F7,0)</f>
        <v>0</v>
      </c>
      <c r="D7" s="262"/>
      <c r="E7" s="262"/>
      <c r="F7" s="262">
        <f>'数据-取费表'!B48+'数据-取费表'!B49</f>
        <v>0</v>
      </c>
      <c r="G7" s="263"/>
    </row>
    <row r="8" s="238" customFormat="1" spans="1:7">
      <c r="A8" s="259" t="s">
        <v>901</v>
      </c>
      <c r="B8" s="260" t="s">
        <v>2154</v>
      </c>
      <c r="C8" s="262" t="str">
        <f>IF(G8="已包含在土地购买价格中","0",'数据-取费表'!B29)</f>
        <v>0</v>
      </c>
      <c r="D8" s="264"/>
      <c r="E8" s="262"/>
      <c r="F8" s="262"/>
      <c r="G8" s="265" t="s">
        <v>2155</v>
      </c>
    </row>
    <row r="9" s="237" customFormat="1" ht="13.5" customHeight="1" spans="1:7">
      <c r="A9" s="266" t="s">
        <v>903</v>
      </c>
      <c r="B9" s="267" t="s">
        <v>2156</v>
      </c>
      <c r="C9" s="268">
        <f>ROUND(D9*E9/10000,0)</f>
        <v>0</v>
      </c>
      <c r="D9" s="269">
        <f>'数据-汇总表'!E5</f>
        <v>0</v>
      </c>
      <c r="E9" s="268">
        <f>'数据-取费表'!B27</f>
        <v>0</v>
      </c>
      <c r="F9" s="262"/>
      <c r="G9" s="270"/>
    </row>
    <row r="10" s="237" customFormat="1" ht="13.5" customHeight="1" spans="1:7">
      <c r="A10" s="266" t="s">
        <v>906</v>
      </c>
      <c r="B10" s="267" t="s">
        <v>2157</v>
      </c>
      <c r="C10" s="268">
        <f>ROUND(D10*E10/10000,0)</f>
        <v>0</v>
      </c>
      <c r="D10" s="269">
        <f>'数据-汇总表'!E6</f>
        <v>0</v>
      </c>
      <c r="E10" s="268">
        <f>'数据-取费表'!B28</f>
        <v>0</v>
      </c>
      <c r="F10" s="262"/>
      <c r="G10" s="270"/>
    </row>
    <row r="11" s="237" customFormat="1" ht="13.5" hidden="1" customHeight="1" spans="1:7">
      <c r="A11" s="271" t="s">
        <v>908</v>
      </c>
      <c r="B11" s="260" t="s">
        <v>2158</v>
      </c>
      <c r="C11" s="257"/>
      <c r="D11" s="262"/>
      <c r="E11" s="262"/>
      <c r="F11" s="262"/>
      <c r="G11" s="263"/>
    </row>
    <row r="12" s="237" customFormat="1" ht="13.5" hidden="1" customHeight="1" spans="1:7">
      <c r="A12" s="271" t="s">
        <v>910</v>
      </c>
      <c r="B12" s="260" t="s">
        <v>2159</v>
      </c>
      <c r="C12" s="257">
        <v>0</v>
      </c>
      <c r="D12" s="262"/>
      <c r="E12" s="272"/>
      <c r="F12" s="262">
        <v>0.0305</v>
      </c>
      <c r="G12" s="263"/>
    </row>
    <row r="13" s="237" customFormat="1" ht="13.5" hidden="1" customHeight="1" spans="1:7">
      <c r="A13" s="271" t="s">
        <v>911</v>
      </c>
      <c r="B13" s="260" t="s">
        <v>2160</v>
      </c>
      <c r="C13" s="257"/>
      <c r="D13" s="262"/>
      <c r="E13" s="262"/>
      <c r="F13" s="262"/>
      <c r="G13" s="263"/>
    </row>
    <row r="14" s="237" customFormat="1" ht="13.5" hidden="1" customHeight="1" spans="1:7">
      <c r="A14" s="271" t="s">
        <v>913</v>
      </c>
      <c r="B14" s="260" t="s">
        <v>2154</v>
      </c>
      <c r="C14" s="257"/>
      <c r="D14" s="262"/>
      <c r="E14" s="262"/>
      <c r="F14" s="262"/>
      <c r="G14" s="263" t="s">
        <v>2161</v>
      </c>
    </row>
    <row r="15" s="237" customFormat="1" ht="13.5" hidden="1" customHeight="1" spans="1:7">
      <c r="A15" s="271" t="s">
        <v>915</v>
      </c>
      <c r="B15" s="260" t="s">
        <v>2162</v>
      </c>
      <c r="C15" s="262"/>
      <c r="D15" s="262"/>
      <c r="E15" s="262"/>
      <c r="F15" s="262"/>
      <c r="G15" s="263" t="s">
        <v>2163</v>
      </c>
    </row>
    <row r="16" s="237" customFormat="1" ht="13.5" hidden="1" customHeight="1" spans="1:7">
      <c r="A16" s="271" t="s">
        <v>918</v>
      </c>
      <c r="B16" s="260" t="s">
        <v>2154</v>
      </c>
      <c r="C16" s="262"/>
      <c r="D16" s="262"/>
      <c r="E16" s="262"/>
      <c r="F16" s="262"/>
      <c r="G16" s="263"/>
    </row>
    <row r="17" s="237" customFormat="1" ht="13.5" hidden="1" customHeight="1" spans="1:7">
      <c r="A17" s="271" t="s">
        <v>919</v>
      </c>
      <c r="B17" s="260" t="s">
        <v>2164</v>
      </c>
      <c r="C17" s="273"/>
      <c r="D17" s="273"/>
      <c r="E17" s="273"/>
      <c r="F17" s="273"/>
      <c r="G17" s="263" t="s">
        <v>2163</v>
      </c>
    </row>
    <row r="18" s="237" customFormat="1" ht="13.5" hidden="1" customHeight="1" spans="1:7">
      <c r="A18" s="271" t="s">
        <v>921</v>
      </c>
      <c r="B18" s="260" t="s">
        <v>2165</v>
      </c>
      <c r="C18" s="262">
        <v>0</v>
      </c>
      <c r="D18" s="262"/>
      <c r="E18" s="262"/>
      <c r="F18" s="262">
        <v>0.0305</v>
      </c>
      <c r="G18" s="263" t="s">
        <v>2166</v>
      </c>
    </row>
    <row r="19" s="238" customFormat="1" ht="13.5" customHeight="1" spans="1:7">
      <c r="A19" s="274" t="s">
        <v>1579</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1616</v>
      </c>
      <c r="B20" s="256" t="s">
        <v>2169</v>
      </c>
      <c r="C20" s="276">
        <f>ROUND((C5+C19)*F20,0)</f>
        <v>0</v>
      </c>
      <c r="D20" s="276"/>
      <c r="E20" s="276"/>
      <c r="F20" s="275">
        <f>'数据-取费表'!B37</f>
        <v>0</v>
      </c>
      <c r="G20" s="277" t="s">
        <v>2170</v>
      </c>
    </row>
    <row r="21" s="237" customFormat="1" ht="13.5" customHeight="1" spans="1:7">
      <c r="A21" s="274" t="s">
        <v>1621</v>
      </c>
      <c r="B21" s="256" t="s">
        <v>2171</v>
      </c>
      <c r="C21" s="278">
        <f>F21</f>
        <v>0</v>
      </c>
      <c r="D21" s="279" t="s">
        <v>2172</v>
      </c>
      <c r="E21" s="276"/>
      <c r="F21" s="275">
        <f>'数据-取费表'!B38</f>
        <v>0</v>
      </c>
      <c r="G21" s="280" t="s">
        <v>2173</v>
      </c>
    </row>
    <row r="22" s="237" customFormat="1" ht="13.5" customHeight="1" spans="1:7">
      <c r="A22" s="274" t="s">
        <v>1631</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897</v>
      </c>
      <c r="B23" s="260" t="s">
        <v>2175</v>
      </c>
      <c r="C23" s="283" t="e">
        <f ca="1">ROUND(IF('数据-取费表'!B22&lt;=1,C5*F22*'数据-取费表'!B23,C5*(POWER((1+F22),'数据-取费表'!B23)-1)),0)</f>
        <v>#VALUE!</v>
      </c>
      <c r="D23" s="283"/>
      <c r="E23" s="283"/>
      <c r="F23" s="284"/>
      <c r="G23" s="285" t="s">
        <v>2176</v>
      </c>
    </row>
    <row r="24" s="237" customFormat="1" ht="13.5" customHeight="1" spans="1:7">
      <c r="A24" s="282" t="s">
        <v>899</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901</v>
      </c>
      <c r="B25" s="260" t="s">
        <v>2179</v>
      </c>
      <c r="C25" s="283" t="e">
        <f ca="1">ROUND(IF('数据-取费表'!B22&lt;=1,C20*F22*'数据-取费表'!B23/2,C20*(POWER((1+F22),'数据-取费表'!B23/2)-1)),0)</f>
        <v>#VALUE!</v>
      </c>
      <c r="D25" s="283"/>
      <c r="E25" s="286"/>
      <c r="F25" s="284"/>
      <c r="G25" s="287" t="s">
        <v>2180</v>
      </c>
    </row>
    <row r="26" s="237" customFormat="1" spans="1:7">
      <c r="A26" s="282" t="s">
        <v>941</v>
      </c>
      <c r="B26" s="260" t="s">
        <v>2181</v>
      </c>
      <c r="C26" s="283" t="e">
        <f ca="1">ROUND(IF('数据-取费表'!B22&lt;=1,F21*F22*'数据-取费表'!B23/2,F21*(POWER((1+F22),'数据-取费表'!B23/2)-1)),4)</f>
        <v>#VALUE!</v>
      </c>
      <c r="D26" s="283"/>
      <c r="E26" s="286"/>
      <c r="F26" s="284"/>
      <c r="G26" s="288"/>
    </row>
    <row r="27" s="237" customFormat="1" ht="26.4" spans="1:7">
      <c r="A27" s="274" t="s">
        <v>1640</v>
      </c>
      <c r="B27" s="289" t="s">
        <v>2182</v>
      </c>
      <c r="C27" s="290" t="e">
        <f>C28</f>
        <v>#DIV/0!</v>
      </c>
      <c r="D27" s="278" t="e">
        <f>C29</f>
        <v>#DIV/0!</v>
      </c>
      <c r="E27" s="279" t="s">
        <v>2172</v>
      </c>
      <c r="F27" s="281" t="e">
        <f>'数据-取费表'!Q16</f>
        <v>#DIV/0!</v>
      </c>
      <c r="G27" s="291" t="s">
        <v>2183</v>
      </c>
    </row>
    <row r="28" s="237" customFormat="1" ht="13.5" customHeight="1" spans="1:7">
      <c r="A28" s="282" t="s">
        <v>897</v>
      </c>
      <c r="B28" s="292" t="s">
        <v>2184</v>
      </c>
      <c r="C28" s="293" t="e">
        <f>ROUND((C5+C19+C20)*F27*'数据-取费表'!B21/'数据-取费表'!B20,0)</f>
        <v>#DIV/0!</v>
      </c>
      <c r="D28" s="278"/>
      <c r="E28" s="279"/>
      <c r="F28" s="281"/>
      <c r="G28" s="291"/>
    </row>
    <row r="29" s="237" customFormat="1" ht="13.5" customHeight="1" spans="1:7">
      <c r="A29" s="282" t="s">
        <v>899</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893</v>
      </c>
      <c r="B33" s="256" t="s">
        <v>2193</v>
      </c>
      <c r="C33" s="276">
        <f>SUM(C34:C38)</f>
        <v>0</v>
      </c>
      <c r="D33" s="276"/>
      <c r="E33" s="257"/>
      <c r="F33" s="286"/>
      <c r="G33" s="280"/>
    </row>
    <row r="34" s="239" customFormat="1" ht="13.5" customHeight="1" spans="1:7">
      <c r="A34" s="282" t="s">
        <v>897</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899</v>
      </c>
      <c r="B35" s="260" t="s">
        <v>2196</v>
      </c>
      <c r="C35" s="262">
        <f>ROUND(C34*F35,0)</f>
        <v>0</v>
      </c>
      <c r="D35" s="262"/>
      <c r="E35" s="262"/>
      <c r="F35" s="297">
        <f>'数据-取费表'!B33</f>
        <v>0</v>
      </c>
      <c r="G35" s="263" t="s">
        <v>2197</v>
      </c>
    </row>
    <row r="36" ht="24" spans="1:7">
      <c r="A36" s="282" t="s">
        <v>901</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941</v>
      </c>
      <c r="B37" s="260" t="s">
        <v>2200</v>
      </c>
      <c r="C37" s="293">
        <f>ROUND(E37*D37*F34/10000,0)</f>
        <v>0</v>
      </c>
      <c r="D37" s="262">
        <f>'数据-汇总表'!E3</f>
        <v>0</v>
      </c>
      <c r="E37" s="293">
        <f>'数据-取费表'!B35</f>
        <v>0</v>
      </c>
      <c r="F37" s="297"/>
      <c r="G37" s="299" t="s">
        <v>2201</v>
      </c>
    </row>
    <row r="38" ht="13.5" customHeight="1" spans="1:7">
      <c r="A38" s="282" t="s">
        <v>963</v>
      </c>
      <c r="B38" s="260" t="s">
        <v>2159</v>
      </c>
      <c r="C38" s="262">
        <f>ROUND(C34*F38,0)</f>
        <v>0</v>
      </c>
      <c r="D38" s="262"/>
      <c r="E38" s="262"/>
      <c r="F38" s="297">
        <f>'数据-取费表'!B36</f>
        <v>0</v>
      </c>
      <c r="G38" s="263" t="s">
        <v>2197</v>
      </c>
    </row>
    <row r="39" s="237" customFormat="1" ht="13.5" customHeight="1" spans="1:7">
      <c r="A39" s="274" t="s">
        <v>1579</v>
      </c>
      <c r="B39" s="256" t="s">
        <v>2169</v>
      </c>
      <c r="C39" s="276">
        <f>ROUND(C33*F20,0)</f>
        <v>0</v>
      </c>
      <c r="D39" s="276"/>
      <c r="E39" s="276"/>
      <c r="F39" s="275"/>
      <c r="G39" s="277" t="s">
        <v>2202</v>
      </c>
    </row>
    <row r="40" s="237" customFormat="1" ht="13.5" customHeight="1" spans="1:7">
      <c r="A40" s="274" t="s">
        <v>1616</v>
      </c>
      <c r="B40" s="256" t="s">
        <v>2171</v>
      </c>
      <c r="C40" s="278">
        <f>F21</f>
        <v>0</v>
      </c>
      <c r="D40" s="279" t="s">
        <v>2203</v>
      </c>
      <c r="E40" s="276"/>
      <c r="F40" s="275"/>
      <c r="G40" s="280" t="s">
        <v>2204</v>
      </c>
    </row>
    <row r="41" s="237" customFormat="1" ht="13.5" customHeight="1" spans="1:7">
      <c r="A41" s="274" t="s">
        <v>1621</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897</v>
      </c>
      <c r="B42" s="260" t="s">
        <v>2175</v>
      </c>
      <c r="C42" s="283" t="e">
        <f ca="1">ROUND(IF('数据-取费表'!B22&lt;=1,C33*F22*'数据-取费表'!B21/2,C33*(POWER((1+F22),'数据-取费表'!B21/2)-1)),0)</f>
        <v>#VALUE!</v>
      </c>
      <c r="D42" s="283"/>
      <c r="E42" s="283"/>
      <c r="F42" s="284"/>
      <c r="G42" s="300" t="s">
        <v>2205</v>
      </c>
    </row>
    <row r="43" ht="13.5" customHeight="1" spans="1:7">
      <c r="A43" s="282" t="s">
        <v>899</v>
      </c>
      <c r="B43" s="260" t="s">
        <v>2177</v>
      </c>
      <c r="C43" s="283" t="e">
        <f ca="1">ROUND(IF('数据-取费表'!B22&lt;=1,C39*F22*'数据-取费表'!B21/2,C39*(POWER((1+F22),'数据-取费表'!B21/2)-1)),0)</f>
        <v>#VALUE!</v>
      </c>
      <c r="D43" s="283"/>
      <c r="E43" s="283"/>
      <c r="F43" s="284"/>
      <c r="G43" s="301"/>
    </row>
    <row r="44" ht="13.5" customHeight="1" spans="1:7">
      <c r="A44" s="282" t="s">
        <v>901</v>
      </c>
      <c r="B44" s="260" t="s">
        <v>2179</v>
      </c>
      <c r="C44" s="283" t="e">
        <f ca="1">ROUND(IF('数据-取费表'!B22&lt;=1,C40*F22*'数据-取费表'!B21/2,C40*(POWER((1+F22),'数据-取费表'!B21/2)-1)),4)</f>
        <v>#VALUE!</v>
      </c>
      <c r="D44" s="283"/>
      <c r="E44" s="283"/>
      <c r="F44" s="284"/>
      <c r="G44" s="302"/>
    </row>
    <row r="45" s="237" customFormat="1" ht="13.5" customHeight="1" spans="1:7">
      <c r="A45" s="274" t="s">
        <v>1631</v>
      </c>
      <c r="B45" s="289" t="s">
        <v>2182</v>
      </c>
      <c r="C45" s="290" t="e">
        <f>C46</f>
        <v>#DIV/0!</v>
      </c>
      <c r="D45" s="278" t="e">
        <f>C47</f>
        <v>#DIV/0!</v>
      </c>
      <c r="E45" s="279" t="s">
        <v>2203</v>
      </c>
      <c r="F45" s="281"/>
      <c r="G45" s="291" t="s">
        <v>2206</v>
      </c>
    </row>
    <row r="46" s="237" customFormat="1" ht="13.5" customHeight="1" spans="1:7">
      <c r="A46" s="282" t="s">
        <v>897</v>
      </c>
      <c r="B46" s="292" t="s">
        <v>2207</v>
      </c>
      <c r="C46" s="293" t="e">
        <f>ROUND((C33+C39)*F27,0)</f>
        <v>#DIV/0!</v>
      </c>
      <c r="D46" s="278"/>
      <c r="E46" s="279"/>
      <c r="F46" s="281"/>
      <c r="G46" s="291"/>
    </row>
    <row r="47" s="237" customFormat="1" ht="13.5" customHeight="1" spans="1:7">
      <c r="A47" s="282" t="s">
        <v>899</v>
      </c>
      <c r="B47" s="292" t="s">
        <v>2208</v>
      </c>
      <c r="C47" s="283" t="e">
        <f>ROUND(C40*F27,4)</f>
        <v>#DIV/0!</v>
      </c>
      <c r="D47" s="278"/>
      <c r="E47" s="279"/>
      <c r="F47" s="281"/>
      <c r="G47" s="291"/>
    </row>
    <row r="48" s="237" customFormat="1" ht="13.5" customHeight="1" spans="1:7">
      <c r="A48" s="274" t="s">
        <v>1640</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1" sqref="$A1:$XFD1048576"/>
    </sheetView>
  </sheetViews>
  <sheetFormatPr defaultColWidth="9" defaultRowHeight="13.8" outlineLevelCol="4"/>
  <cols>
    <col min="1" max="1" width="0.87962962962963" style="3168" customWidth="1"/>
    <col min="2" max="2" width="37.212962962963"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7962962962963" style="161"/>
    <col min="8" max="9" width="9" style="161" customWidth="1"/>
    <col min="10" max="10" width="2.87962962962963" style="161" customWidth="1"/>
    <col min="11" max="16" width="8.87962962962963" style="161" customWidth="1"/>
    <col min="17" max="17" width="3" style="161" customWidth="1"/>
    <col min="18" max="18" width="8.87962962962963" style="161" customWidth="1"/>
    <col min="19" max="19" width="10.5555555555556" style="161" customWidth="1"/>
    <col min="20" max="22" width="8.87962962962963" style="161" customWidth="1"/>
    <col min="23" max="23" width="11.1111111111111" style="161" customWidth="1"/>
    <col min="24" max="24" width="2.87962962962963" style="161" customWidth="1"/>
    <col min="25" max="16384" width="8.87962962962963" style="161"/>
  </cols>
  <sheetData>
    <row r="1" s="153" customFormat="1" ht="13.2" spans="1:25">
      <c r="A1" s="162">
        <f>基准地价修正!G23</f>
        <v>44888</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1770</v>
      </c>
      <c r="F2" s="168" t="s">
        <v>1563</v>
      </c>
      <c r="G2" s="168" t="s">
        <v>1771</v>
      </c>
      <c r="H2" s="168" t="s">
        <v>1772</v>
      </c>
      <c r="I2" s="168" t="s">
        <v>288</v>
      </c>
      <c r="J2" s="191"/>
      <c r="K2" s="167" t="s">
        <v>2224</v>
      </c>
      <c r="L2" s="168" t="s">
        <v>1770</v>
      </c>
      <c r="M2" s="168" t="s">
        <v>1563</v>
      </c>
      <c r="N2" s="168" t="s">
        <v>1771</v>
      </c>
      <c r="O2" s="168" t="s">
        <v>1772</v>
      </c>
      <c r="P2" s="168" t="s">
        <v>288</v>
      </c>
      <c r="Q2" s="191"/>
      <c r="R2" s="167" t="s">
        <v>2224</v>
      </c>
      <c r="S2" s="168" t="s">
        <v>1770</v>
      </c>
      <c r="T2" s="168" t="s">
        <v>1563</v>
      </c>
      <c r="U2" s="168" t="s">
        <v>1771</v>
      </c>
      <c r="V2" s="168" t="s">
        <v>1772</v>
      </c>
      <c r="W2" s="168" t="s">
        <v>288</v>
      </c>
      <c r="X2" s="191"/>
      <c r="Y2" s="167" t="s">
        <v>2224</v>
      </c>
      <c r="Z2" s="168" t="s">
        <v>1770</v>
      </c>
      <c r="AA2" s="168" t="s">
        <v>1563</v>
      </c>
      <c r="AB2" s="168" t="s">
        <v>1771</v>
      </c>
      <c r="AC2" s="168" t="s">
        <v>1772</v>
      </c>
      <c r="AD2" s="168" t="s">
        <v>288</v>
      </c>
    </row>
    <row r="3" s="155" customFormat="1" ht="13.2" spans="1:30">
      <c r="A3" s="169" t="s">
        <v>2034</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2038</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2039</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1770</v>
      </c>
      <c r="F19" s="168" t="s">
        <v>1563</v>
      </c>
      <c r="G19" s="168" t="s">
        <v>1771</v>
      </c>
      <c r="H19" s="168"/>
      <c r="I19" s="168" t="s">
        <v>288</v>
      </c>
      <c r="J19" s="191"/>
      <c r="K19" s="167" t="s">
        <v>2224</v>
      </c>
      <c r="L19" s="168" t="s">
        <v>1770</v>
      </c>
      <c r="M19" s="168" t="s">
        <v>1563</v>
      </c>
      <c r="N19" s="168" t="s">
        <v>1771</v>
      </c>
      <c r="O19" s="168"/>
      <c r="P19" s="168" t="s">
        <v>288</v>
      </c>
      <c r="Q19" s="191"/>
      <c r="R19" s="167" t="s">
        <v>2224</v>
      </c>
      <c r="S19" s="168" t="s">
        <v>1770</v>
      </c>
      <c r="T19" s="168" t="s">
        <v>1563</v>
      </c>
      <c r="U19" s="168" t="s">
        <v>1771</v>
      </c>
      <c r="V19" s="168"/>
      <c r="W19" s="168" t="s">
        <v>288</v>
      </c>
      <c r="X19" s="191"/>
      <c r="Y19" s="167" t="s">
        <v>2224</v>
      </c>
      <c r="Z19" s="168" t="s">
        <v>1770</v>
      </c>
      <c r="AA19" s="168" t="s">
        <v>1563</v>
      </c>
      <c r="AB19" s="168" t="s">
        <v>1771</v>
      </c>
      <c r="AC19" s="168"/>
      <c r="AD19" s="168" t="s">
        <v>288</v>
      </c>
    </row>
    <row r="20" s="155" customFormat="1" ht="13.2" spans="1:30">
      <c r="A20" s="169" t="s">
        <v>2034</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2038</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2039</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2040</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2042</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2043</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12962962963" style="120" customWidth="1"/>
    <col min="7" max="7" width="10.4444444444444" style="120" customWidth="1"/>
    <col min="8" max="8" width="8.87962962962963" style="119"/>
    <col min="9" max="9" width="13.3333333333333" style="119" customWidth="1"/>
    <col min="10" max="13" width="13.3333333333333" style="120" customWidth="1"/>
    <col min="14" max="14" width="18.212962962963" style="120" customWidth="1"/>
    <col min="15" max="17" width="15.1111111111111" style="120" customWidth="1"/>
    <col min="18" max="20" width="11.4444444444444" style="120" customWidth="1"/>
    <col min="21" max="16384" width="8.87962962962963"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1770</v>
      </c>
      <c r="D3" s="127" t="s">
        <v>1563</v>
      </c>
      <c r="E3" s="127" t="s">
        <v>1771</v>
      </c>
      <c r="F3" s="127" t="s">
        <v>1772</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1.55"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2268</v>
      </c>
      <c r="J5" s="135" t="s">
        <v>2269</v>
      </c>
      <c r="K5" s="135" t="s">
        <v>2270</v>
      </c>
      <c r="L5" s="134" t="s">
        <v>2271</v>
      </c>
      <c r="M5" s="134" t="s">
        <v>2272</v>
      </c>
      <c r="N5" s="134" t="s">
        <v>2273</v>
      </c>
      <c r="O5" s="134" t="s">
        <v>2274</v>
      </c>
      <c r="P5" s="134" t="s">
        <v>2275</v>
      </c>
      <c r="Q5" s="134" t="s">
        <v>2276</v>
      </c>
      <c r="R5" s="134" t="s">
        <v>2277</v>
      </c>
      <c r="S5" s="134" t="s">
        <v>2278</v>
      </c>
      <c r="T5" s="134" t="s">
        <v>2279</v>
      </c>
    </row>
    <row r="6" ht="11.55" spans="1:20">
      <c r="A6" s="134" t="s">
        <v>232</v>
      </c>
      <c r="B6" s="134" t="s">
        <v>2242</v>
      </c>
      <c r="C6" s="134">
        <v>36990</v>
      </c>
      <c r="D6" s="134">
        <v>36850</v>
      </c>
      <c r="E6" s="134">
        <v>36850</v>
      </c>
      <c r="F6" s="134">
        <v>14590</v>
      </c>
      <c r="G6" s="134">
        <v>27450</v>
      </c>
      <c r="H6" s="128"/>
      <c r="I6" s="137" t="s">
        <v>2280</v>
      </c>
      <c r="J6" s="135" t="s">
        <v>2281</v>
      </c>
      <c r="K6" s="135" t="s">
        <v>2282</v>
      </c>
      <c r="L6" s="134" t="s">
        <v>2283</v>
      </c>
      <c r="M6" s="134" t="s">
        <v>2284</v>
      </c>
      <c r="N6" s="134" t="s">
        <v>2285</v>
      </c>
      <c r="O6" s="134" t="s">
        <v>2286</v>
      </c>
      <c r="P6" s="134" t="s">
        <v>2287</v>
      </c>
      <c r="Q6" s="134" t="s">
        <v>2288</v>
      </c>
      <c r="R6" s="134" t="s">
        <v>2289</v>
      </c>
      <c r="S6" s="134" t="s">
        <v>2290</v>
      </c>
      <c r="T6" s="134" t="s">
        <v>2291</v>
      </c>
    </row>
    <row r="7" spans="1:20">
      <c r="A7" s="134" t="s">
        <v>232</v>
      </c>
      <c r="B7" s="135" t="s">
        <v>2256</v>
      </c>
      <c r="C7" s="134">
        <v>34850</v>
      </c>
      <c r="D7" s="134">
        <v>34690</v>
      </c>
      <c r="E7" s="134">
        <v>34690</v>
      </c>
      <c r="F7" s="134">
        <v>14360</v>
      </c>
      <c r="G7" s="134">
        <v>25620</v>
      </c>
      <c r="H7" s="128"/>
      <c r="J7" s="135" t="s">
        <v>2292</v>
      </c>
      <c r="K7" s="135" t="s">
        <v>2293</v>
      </c>
      <c r="L7" s="134" t="s">
        <v>408</v>
      </c>
      <c r="M7" s="134" t="s">
        <v>2294</v>
      </c>
      <c r="N7" s="134" t="s">
        <v>2295</v>
      </c>
      <c r="O7" s="134" t="s">
        <v>2296</v>
      </c>
      <c r="P7" s="134" t="s">
        <v>2297</v>
      </c>
      <c r="Q7" s="134" t="s">
        <v>2298</v>
      </c>
      <c r="R7" s="134" t="s">
        <v>2299</v>
      </c>
      <c r="S7" s="134" t="s">
        <v>2300</v>
      </c>
      <c r="T7" s="134" t="s">
        <v>2301</v>
      </c>
    </row>
    <row r="8" ht="11.55" spans="1:20">
      <c r="A8" s="134" t="s">
        <v>232</v>
      </c>
      <c r="B8" s="134" t="s">
        <v>2268</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1.55" spans="1:19">
      <c r="A9" s="136" t="s">
        <v>232</v>
      </c>
      <c r="B9" s="137" t="s">
        <v>2280</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2230</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2243</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2257</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2269</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2281</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2292</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1.55"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1.55"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1.55"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2231</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2244</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1.55" spans="1:18">
      <c r="A32" s="134" t="s">
        <v>253</v>
      </c>
      <c r="B32" s="135" t="s">
        <v>2258</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1.55" spans="1:17">
      <c r="A33" s="134" t="s">
        <v>253</v>
      </c>
      <c r="B33" s="135" t="s">
        <v>2270</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2282</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2293</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1.55" spans="1:17">
      <c r="A44" s="134" t="s">
        <v>253</v>
      </c>
      <c r="B44" s="135" t="s">
        <v>2384</v>
      </c>
      <c r="C44" s="134">
        <v>22370</v>
      </c>
      <c r="D44" s="134">
        <v>23140</v>
      </c>
      <c r="E44" s="134">
        <v>25090</v>
      </c>
      <c r="F44" s="134"/>
      <c r="G44" s="142">
        <v>16190</v>
      </c>
      <c r="N44" s="134" t="s">
        <v>2579</v>
      </c>
      <c r="O44" s="134" t="s">
        <v>2580</v>
      </c>
      <c r="P44" s="138" t="s">
        <v>2581</v>
      </c>
      <c r="Q44" s="134" t="s">
        <v>2582</v>
      </c>
    </row>
    <row r="45" ht="11.55"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1.55"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1.55" spans="1:14">
      <c r="A54" s="143" t="s">
        <v>253</v>
      </c>
      <c r="B54" s="137" t="s">
        <v>2475</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2271</v>
      </c>
      <c r="C58" s="134">
        <v>21460</v>
      </c>
      <c r="D58" s="134">
        <v>20920</v>
      </c>
      <c r="E58" s="134">
        <v>23410</v>
      </c>
      <c r="F58" s="134">
        <v>5100</v>
      </c>
      <c r="G58" s="134">
        <v>14200</v>
      </c>
      <c r="N58" s="134" t="s">
        <v>2604</v>
      </c>
    </row>
    <row r="59" spans="1:14">
      <c r="A59" s="134" t="s">
        <v>261</v>
      </c>
      <c r="B59" s="134" t="s">
        <v>2283</v>
      </c>
      <c r="C59" s="134">
        <v>21000</v>
      </c>
      <c r="D59" s="134">
        <v>21550</v>
      </c>
      <c r="E59" s="134">
        <v>21150</v>
      </c>
      <c r="F59" s="134">
        <v>5250</v>
      </c>
      <c r="G59" s="134">
        <v>14630</v>
      </c>
      <c r="N59" s="134" t="s">
        <v>2605</v>
      </c>
    </row>
    <row r="60" spans="1:14">
      <c r="A60" s="134" t="s">
        <v>261</v>
      </c>
      <c r="B60" s="134" t="s">
        <v>408</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1.55"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1.55" spans="1:7">
      <c r="A86" s="136" t="s">
        <v>261</v>
      </c>
      <c r="B86" s="139" t="s">
        <v>2525</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2272</v>
      </c>
      <c r="C90" s="134">
        <v>17330</v>
      </c>
      <c r="D90" s="134">
        <v>17240</v>
      </c>
      <c r="E90" s="134">
        <v>18570</v>
      </c>
      <c r="F90" s="134">
        <v>4070</v>
      </c>
      <c r="G90" s="142">
        <v>11390</v>
      </c>
    </row>
    <row r="91" s="119" customFormat="1" spans="1:7">
      <c r="A91" s="134" t="s">
        <v>269</v>
      </c>
      <c r="B91" s="134" t="s">
        <v>2284</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2273</v>
      </c>
      <c r="C130" s="134">
        <v>10910</v>
      </c>
      <c r="D130" s="134">
        <v>10860</v>
      </c>
      <c r="E130" s="134">
        <v>13730</v>
      </c>
      <c r="F130" s="134">
        <v>2760</v>
      </c>
      <c r="G130" s="134">
        <v>6990</v>
      </c>
    </row>
    <row r="131" s="119" customFormat="1" spans="1:7">
      <c r="A131" s="134" t="s">
        <v>275</v>
      </c>
      <c r="B131" s="134" t="s">
        <v>2285</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2274</v>
      </c>
      <c r="C193" s="134">
        <v>8440</v>
      </c>
      <c r="D193" s="134">
        <v>8390</v>
      </c>
      <c r="E193" s="134">
        <v>11210</v>
      </c>
      <c r="F193" s="134">
        <v>1600</v>
      </c>
      <c r="G193" s="142">
        <v>5300</v>
      </c>
    </row>
    <row r="194" s="119" customFormat="1" spans="1:7">
      <c r="A194" s="134" t="s">
        <v>281</v>
      </c>
      <c r="B194" s="134" t="s">
        <v>2286</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2275</v>
      </c>
      <c r="C237" s="134">
        <v>5850</v>
      </c>
      <c r="D237" s="134">
        <v>5820</v>
      </c>
      <c r="E237" s="134">
        <v>7260</v>
      </c>
      <c r="F237" s="134">
        <v>1140</v>
      </c>
      <c r="G237" s="134">
        <v>3570</v>
      </c>
    </row>
    <row r="238" s="119" customFormat="1" spans="1:7">
      <c r="A238" s="134" t="s">
        <v>287</v>
      </c>
      <c r="B238" s="134" t="s">
        <v>2287</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2276</v>
      </c>
      <c r="C280" s="134">
        <v>4010</v>
      </c>
      <c r="D280" s="134">
        <v>3950</v>
      </c>
      <c r="E280" s="134">
        <v>4710</v>
      </c>
      <c r="F280" s="134">
        <v>800</v>
      </c>
      <c r="G280" s="142">
        <v>2390</v>
      </c>
    </row>
    <row r="281" s="119" customFormat="1" spans="1:7">
      <c r="A281" s="134" t="s">
        <v>291</v>
      </c>
      <c r="B281" s="134" t="s">
        <v>2288</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2277</v>
      </c>
      <c r="C330" s="134">
        <v>3270</v>
      </c>
      <c r="D330" s="134">
        <v>3240</v>
      </c>
      <c r="E330" s="134">
        <v>3560</v>
      </c>
      <c r="F330" s="134">
        <v>680</v>
      </c>
      <c r="G330" s="134">
        <v>1940</v>
      </c>
    </row>
    <row r="331" s="119" customFormat="1" spans="1:7">
      <c r="A331" s="134" t="s">
        <v>294</v>
      </c>
      <c r="B331" s="134" t="s">
        <v>2289</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1.55" spans="1:7">
      <c r="A357" s="136" t="s">
        <v>294</v>
      </c>
      <c r="B357" s="140" t="s">
        <v>2524</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2278</v>
      </c>
      <c r="C361" s="134">
        <v>2260</v>
      </c>
      <c r="D361" s="134">
        <v>2220</v>
      </c>
      <c r="E361" s="134">
        <v>2180</v>
      </c>
      <c r="F361" s="134">
        <v>580</v>
      </c>
      <c r="G361" s="142">
        <v>1340</v>
      </c>
    </row>
    <row r="362" spans="1:7">
      <c r="A362" s="134" t="s">
        <v>297</v>
      </c>
      <c r="B362" s="134" t="s">
        <v>2290</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1.55" spans="1:7">
      <c r="A377" s="136" t="s">
        <v>297</v>
      </c>
      <c r="B377" s="140" t="s">
        <v>2442</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2279</v>
      </c>
      <c r="C381" s="134">
        <v>1460</v>
      </c>
      <c r="D381" s="134">
        <v>1430</v>
      </c>
      <c r="E381" s="134">
        <v>1390</v>
      </c>
      <c r="F381" s="134">
        <v>450</v>
      </c>
      <c r="G381" s="142">
        <v>900</v>
      </c>
    </row>
    <row r="382" spans="1:7">
      <c r="A382" s="151" t="s">
        <v>300</v>
      </c>
      <c r="B382" s="134" t="s">
        <v>2291</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1.55"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7962962962963" style="82"/>
    <col min="8" max="16384" width="8.87962962962963" style="83"/>
  </cols>
  <sheetData>
    <row r="1" spans="1:2">
      <c r="A1" s="84" t="s">
        <v>2611</v>
      </c>
      <c r="B1" s="84"/>
    </row>
    <row r="2" ht="15.15" spans="1:2">
      <c r="A2" s="84"/>
      <c r="B2" s="84"/>
    </row>
    <row r="3" ht="15.15" spans="1:7">
      <c r="A3" s="84"/>
      <c r="B3" s="84"/>
      <c r="C3" s="85" t="s">
        <v>1770</v>
      </c>
      <c r="D3" s="85" t="s">
        <v>1563</v>
      </c>
      <c r="E3" s="85" t="s">
        <v>1771</v>
      </c>
      <c r="F3" s="85" t="s">
        <v>1772</v>
      </c>
      <c r="G3" s="85" t="s">
        <v>288</v>
      </c>
    </row>
    <row r="4" ht="15.1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2268</v>
      </c>
      <c r="C8" s="94">
        <v>0.081</v>
      </c>
      <c r="D8" s="94">
        <v>0.082</v>
      </c>
      <c r="E8" s="94">
        <v>0.07</v>
      </c>
      <c r="F8" s="94">
        <v>0.096</v>
      </c>
      <c r="G8" s="95">
        <v>0.089</v>
      </c>
    </row>
    <row r="9" ht="15.15" spans="1:7">
      <c r="A9" s="96" t="s">
        <v>232</v>
      </c>
      <c r="B9" s="97" t="s">
        <v>2280</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2269</v>
      </c>
      <c r="C13" s="94">
        <v>0.097</v>
      </c>
      <c r="D13" s="94">
        <v>0.092</v>
      </c>
      <c r="E13" s="94">
        <v>0.095</v>
      </c>
      <c r="F13" s="94">
        <v>0.1</v>
      </c>
      <c r="G13" s="95">
        <v>0.097</v>
      </c>
    </row>
    <row r="14" spans="1:7">
      <c r="A14" s="92" t="s">
        <v>243</v>
      </c>
      <c r="B14" s="93" t="s">
        <v>2281</v>
      </c>
      <c r="C14" s="94">
        <v>0.097</v>
      </c>
      <c r="D14" s="94">
        <v>0.097</v>
      </c>
      <c r="E14" s="94">
        <v>0.097</v>
      </c>
      <c r="F14" s="94">
        <v>0.1</v>
      </c>
      <c r="G14" s="95">
        <v>0.098</v>
      </c>
    </row>
    <row r="15" spans="1:7">
      <c r="A15" s="92" t="s">
        <v>243</v>
      </c>
      <c r="B15" s="93" t="s">
        <v>2292</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5.15" spans="1:7">
      <c r="A29" s="96" t="s">
        <v>243</v>
      </c>
      <c r="B29" s="97" t="s">
        <v>2433</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2270</v>
      </c>
      <c r="C33" s="94">
        <v>0.099</v>
      </c>
      <c r="D33" s="94">
        <v>0.092</v>
      </c>
      <c r="E33" s="94">
        <v>0.087</v>
      </c>
      <c r="F33" s="94">
        <v>0.1</v>
      </c>
      <c r="G33" s="95">
        <v>0.097</v>
      </c>
    </row>
    <row r="34" spans="1:7">
      <c r="A34" s="104" t="s">
        <v>253</v>
      </c>
      <c r="B34" s="93" t="s">
        <v>2282</v>
      </c>
      <c r="C34" s="94">
        <v>0.084</v>
      </c>
      <c r="D34" s="94">
        <v>0.097</v>
      </c>
      <c r="E34" s="94">
        <v>0.071</v>
      </c>
      <c r="F34" s="94">
        <v>0.1</v>
      </c>
      <c r="G34" s="95">
        <v>0.098</v>
      </c>
    </row>
    <row r="35" spans="1:7">
      <c r="A35" s="104" t="s">
        <v>253</v>
      </c>
      <c r="B35" s="93" t="s">
        <v>2293</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5.15" spans="1:7">
      <c r="A54" s="107" t="s">
        <v>253</v>
      </c>
      <c r="B54" s="97" t="s">
        <v>2475</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2271</v>
      </c>
      <c r="C58" s="94">
        <v>0.098</v>
      </c>
      <c r="D58" s="94">
        <v>0.095</v>
      </c>
      <c r="E58" s="94">
        <v>0.057</v>
      </c>
      <c r="F58" s="94">
        <v>0.1</v>
      </c>
      <c r="G58" s="95">
        <v>0.096</v>
      </c>
    </row>
    <row r="59" spans="1:7">
      <c r="A59" s="104" t="s">
        <v>261</v>
      </c>
      <c r="B59" s="93" t="s">
        <v>2283</v>
      </c>
      <c r="C59" s="94">
        <v>0.095</v>
      </c>
      <c r="D59" s="94">
        <v>0.1</v>
      </c>
      <c r="E59" s="94">
        <v>0.075</v>
      </c>
      <c r="F59" s="94">
        <v>0.1</v>
      </c>
      <c r="G59" s="95">
        <v>0.1</v>
      </c>
    </row>
    <row r="60" spans="1:7">
      <c r="A60" s="104" t="s">
        <v>261</v>
      </c>
      <c r="B60" s="93" t="s">
        <v>408</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5.15" spans="1:7">
      <c r="A86" s="107" t="s">
        <v>261</v>
      </c>
      <c r="B86" s="97" t="s">
        <v>2525</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2272</v>
      </c>
      <c r="C90" s="94">
        <v>0.096</v>
      </c>
      <c r="D90" s="94">
        <v>0.096</v>
      </c>
      <c r="E90" s="94">
        <v>0.1</v>
      </c>
      <c r="F90" s="94">
        <v>0.1</v>
      </c>
      <c r="G90" s="95">
        <v>0.098</v>
      </c>
    </row>
    <row r="91" spans="1:7">
      <c r="A91" s="104" t="s">
        <v>269</v>
      </c>
      <c r="B91" s="93" t="s">
        <v>2284</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2273</v>
      </c>
      <c r="C130" s="94">
        <v>0.13</v>
      </c>
      <c r="D130" s="94">
        <v>0.13</v>
      </c>
      <c r="E130" s="94">
        <v>0.126</v>
      </c>
      <c r="F130" s="94">
        <v>0.13</v>
      </c>
      <c r="G130" s="95">
        <v>0.13</v>
      </c>
    </row>
    <row r="131" spans="1:7">
      <c r="A131" s="104" t="s">
        <v>275</v>
      </c>
      <c r="B131" s="93" t="s">
        <v>2285</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2274</v>
      </c>
      <c r="C193" s="94">
        <v>0.13</v>
      </c>
      <c r="D193" s="94">
        <v>0.13</v>
      </c>
      <c r="E193" s="94">
        <v>0.13</v>
      </c>
      <c r="F193" s="94">
        <v>0.13</v>
      </c>
      <c r="G193" s="95">
        <v>0.13</v>
      </c>
    </row>
    <row r="194" spans="1:7">
      <c r="A194" s="104" t="s">
        <v>281</v>
      </c>
      <c r="B194" s="93" t="s">
        <v>2286</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2275</v>
      </c>
      <c r="C237" s="94">
        <v>0.15</v>
      </c>
      <c r="D237" s="94">
        <v>0.15</v>
      </c>
      <c r="E237" s="94">
        <v>0.15</v>
      </c>
      <c r="F237" s="94">
        <v>0.15</v>
      </c>
      <c r="G237" s="95">
        <v>0.15</v>
      </c>
    </row>
    <row r="238" spans="1:7">
      <c r="A238" s="104" t="s">
        <v>287</v>
      </c>
      <c r="B238" s="93" t="s">
        <v>2287</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2276</v>
      </c>
      <c r="C280" s="94">
        <v>0.15</v>
      </c>
      <c r="D280" s="94">
        <v>0.15</v>
      </c>
      <c r="E280" s="94">
        <v>0.15</v>
      </c>
      <c r="F280" s="94">
        <v>0.15</v>
      </c>
      <c r="G280" s="95">
        <v>0.15</v>
      </c>
    </row>
    <row r="281" spans="1:7">
      <c r="A281" s="104" t="s">
        <v>291</v>
      </c>
      <c r="B281" s="93" t="s">
        <v>2288</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2277</v>
      </c>
      <c r="C330" s="94">
        <v>0.15</v>
      </c>
      <c r="D330" s="94">
        <v>0.15</v>
      </c>
      <c r="E330" s="94">
        <v>0.15</v>
      </c>
      <c r="F330" s="94">
        <v>0.15</v>
      </c>
      <c r="G330" s="95">
        <v>0.15</v>
      </c>
    </row>
    <row r="331" spans="1:7">
      <c r="A331" s="104" t="s">
        <v>294</v>
      </c>
      <c r="B331" s="93" t="s">
        <v>2289</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5.15" spans="1:7">
      <c r="A357" s="107" t="s">
        <v>294</v>
      </c>
      <c r="B357" s="97" t="s">
        <v>2524</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2278</v>
      </c>
      <c r="C361" s="94">
        <v>0.15</v>
      </c>
      <c r="D361" s="94">
        <v>0.15</v>
      </c>
      <c r="E361" s="94">
        <v>0.15</v>
      </c>
      <c r="F361" s="94">
        <v>0.115</v>
      </c>
      <c r="G361" s="95">
        <v>0.15</v>
      </c>
    </row>
    <row r="362" spans="1:7">
      <c r="A362" s="104" t="s">
        <v>297</v>
      </c>
      <c r="B362" s="93" t="s">
        <v>2290</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5.15" spans="1:7">
      <c r="A377" s="107" t="s">
        <v>297</v>
      </c>
      <c r="B377" s="97" t="s">
        <v>2442</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2279</v>
      </c>
      <c r="C381" s="94">
        <v>0.15</v>
      </c>
      <c r="D381" s="94">
        <v>0.15</v>
      </c>
      <c r="E381" s="94">
        <v>0.15</v>
      </c>
      <c r="F381" s="94">
        <v>0.126</v>
      </c>
      <c r="G381" s="95">
        <v>0.15</v>
      </c>
    </row>
    <row r="382" spans="1:7">
      <c r="A382" s="104" t="s">
        <v>300</v>
      </c>
      <c r="B382" s="93" t="s">
        <v>2291</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5.1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7962962962963" style="13" customWidth="1"/>
    <col min="2" max="2" width="13.212962962963"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12962962963"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7962962962963" style="15" customWidth="1"/>
    <col min="258" max="258" width="13.212962962963"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7962962962963" style="15" customWidth="1"/>
    <col min="514" max="514" width="13.212962962963"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7962962962963" style="15" customWidth="1"/>
    <col min="770" max="770" width="13.212962962963"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7962962962963" style="15" customWidth="1"/>
    <col min="1026" max="1026" width="13.212962962963"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7962962962963" style="15" customWidth="1"/>
    <col min="1282" max="1282" width="13.212962962963"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7962962962963" style="15" customWidth="1"/>
    <col min="1538" max="1538" width="13.212962962963"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7962962962963" style="15" customWidth="1"/>
    <col min="1794" max="1794" width="13.212962962963"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7962962962963" style="15" customWidth="1"/>
    <col min="2050" max="2050" width="13.212962962963"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7962962962963" style="15" customWidth="1"/>
    <col min="2306" max="2306" width="13.212962962963"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7962962962963" style="15" customWidth="1"/>
    <col min="2562" max="2562" width="13.212962962963"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7962962962963" style="15" customWidth="1"/>
    <col min="2818" max="2818" width="13.212962962963"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7962962962963" style="15" customWidth="1"/>
    <col min="3074" max="3074" width="13.212962962963"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7962962962963" style="15" customWidth="1"/>
    <col min="3330" max="3330" width="13.212962962963"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7962962962963" style="15" customWidth="1"/>
    <col min="3586" max="3586" width="13.212962962963"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7962962962963" style="15" customWidth="1"/>
    <col min="3842" max="3842" width="13.212962962963"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7962962962963" style="15" customWidth="1"/>
    <col min="4098" max="4098" width="13.212962962963"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7962962962963" style="15" customWidth="1"/>
    <col min="4354" max="4354" width="13.212962962963"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7962962962963" style="15" customWidth="1"/>
    <col min="4610" max="4610" width="13.212962962963"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7962962962963" style="15" customWidth="1"/>
    <col min="4866" max="4866" width="13.212962962963"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7962962962963" style="15" customWidth="1"/>
    <col min="5122" max="5122" width="13.212962962963"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7962962962963" style="15" customWidth="1"/>
    <col min="5378" max="5378" width="13.212962962963"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7962962962963" style="15" customWidth="1"/>
    <col min="5634" max="5634" width="13.212962962963"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7962962962963" style="15" customWidth="1"/>
    <col min="5890" max="5890" width="13.212962962963"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7962962962963" style="15" customWidth="1"/>
    <col min="6146" max="6146" width="13.212962962963"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7962962962963" style="15" customWidth="1"/>
    <col min="6402" max="6402" width="13.212962962963"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7962962962963" style="15" customWidth="1"/>
    <col min="6658" max="6658" width="13.212962962963"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7962962962963" style="15" customWidth="1"/>
    <col min="6914" max="6914" width="13.212962962963"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7962962962963" style="15" customWidth="1"/>
    <col min="7170" max="7170" width="13.212962962963"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7962962962963" style="15" customWidth="1"/>
    <col min="7426" max="7426" width="13.212962962963"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7962962962963" style="15" customWidth="1"/>
    <col min="7682" max="7682" width="13.212962962963"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7962962962963" style="15" customWidth="1"/>
    <col min="7938" max="7938" width="13.212962962963"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7962962962963" style="15" customWidth="1"/>
    <col min="8194" max="8194" width="13.212962962963"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7962962962963" style="15" customWidth="1"/>
    <col min="8450" max="8450" width="13.212962962963"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7962962962963" style="15" customWidth="1"/>
    <col min="8706" max="8706" width="13.212962962963"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7962962962963" style="15" customWidth="1"/>
    <col min="8962" max="8962" width="13.212962962963"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7962962962963" style="15" customWidth="1"/>
    <col min="9218" max="9218" width="13.212962962963"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7962962962963" style="15" customWidth="1"/>
    <col min="9474" max="9474" width="13.212962962963"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7962962962963" style="15" customWidth="1"/>
    <col min="9730" max="9730" width="13.212962962963"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7962962962963" style="15" customWidth="1"/>
    <col min="9986" max="9986" width="13.212962962963"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7962962962963" style="15" customWidth="1"/>
    <col min="10242" max="10242" width="13.212962962963"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7962962962963" style="15" customWidth="1"/>
    <col min="10498" max="10498" width="13.212962962963"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7962962962963" style="15" customWidth="1"/>
    <col min="10754" max="10754" width="13.212962962963"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7962962962963" style="15" customWidth="1"/>
    <col min="11010" max="11010" width="13.212962962963"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7962962962963" style="15" customWidth="1"/>
    <col min="11266" max="11266" width="13.212962962963"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7962962962963" style="15" customWidth="1"/>
    <col min="11522" max="11522" width="13.212962962963"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7962962962963" style="15" customWidth="1"/>
    <col min="11778" max="11778" width="13.212962962963"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7962962962963" style="15" customWidth="1"/>
    <col min="12034" max="12034" width="13.212962962963"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7962962962963" style="15" customWidth="1"/>
    <col min="12290" max="12290" width="13.212962962963"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7962962962963" style="15" customWidth="1"/>
    <col min="12546" max="12546" width="13.212962962963"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7962962962963" style="15" customWidth="1"/>
    <col min="12802" max="12802" width="13.212962962963"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7962962962963" style="15" customWidth="1"/>
    <col min="13058" max="13058" width="13.212962962963"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7962962962963" style="15" customWidth="1"/>
    <col min="13314" max="13314" width="13.212962962963"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7962962962963" style="15" customWidth="1"/>
    <col min="13570" max="13570" width="13.212962962963"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7962962962963" style="15" customWidth="1"/>
    <col min="13826" max="13826" width="13.212962962963"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7962962962963" style="15" customWidth="1"/>
    <col min="14082" max="14082" width="13.212962962963"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7962962962963" style="15" customWidth="1"/>
    <col min="14338" max="14338" width="13.212962962963"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7962962962963" style="15" customWidth="1"/>
    <col min="14594" max="14594" width="13.212962962963"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7962962962963" style="15" customWidth="1"/>
    <col min="14850" max="14850" width="13.212962962963"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7962962962963" style="15" customWidth="1"/>
    <col min="15106" max="15106" width="13.212962962963"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7962962962963" style="15" customWidth="1"/>
    <col min="15362" max="15362" width="13.212962962963"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7962962962963" style="15" customWidth="1"/>
    <col min="15618" max="15618" width="13.212962962963"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7962962962963" style="15" customWidth="1"/>
    <col min="15874" max="15874" width="13.212962962963"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7962962962963" style="15" customWidth="1"/>
    <col min="16130" max="16130" width="13.212962962963"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2616</v>
      </c>
      <c r="C1" s="18">
        <f>项目基本情况!D3</f>
        <v>44888</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12962962963" defaultRowHeight="14.4" outlineLevelCol="5"/>
  <cols>
    <col min="1" max="16384" width="13.212962962963"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1770</v>
      </c>
      <c r="C4" s="7" t="s">
        <v>1563</v>
      </c>
      <c r="D4" s="7" t="s">
        <v>2651</v>
      </c>
      <c r="E4" s="7" t="s">
        <v>1772</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ht="30" customHeight="1" spans="1:4">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ht="15.75" customHeight="1" spans="1:4">
      <c r="A14" s="3148" t="str">
        <f>IF(项目基本情况!B8="抵押","4.本次评估估价师所知悉的法定优先受偿款情况说明如下：","——")</f>
        <v>4.本次评估估价师所知悉的法定优先受偿款情况说明如下：</v>
      </c>
      <c r="B14" s="3149"/>
      <c r="C14" s="3149"/>
      <c r="D14" s="3149"/>
    </row>
    <row r="15" ht="42" customHeight="1" spans="1:4">
      <c r="A15" s="3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故，本次评估不存在估价师知悉的法定优先受偿款</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8"/>
      <c r="C23" s="1558"/>
      <c r="D23" s="1558"/>
    </row>
    <row r="24" spans="1:4">
      <c r="A24" s="3153"/>
      <c r="B24" s="1558"/>
      <c r="C24" s="1558"/>
      <c r="D24" s="1558"/>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44887</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t="str">
        <f ca="1">IF(C4&lt;B2,"已过期",1119970066)</f>
        <v>已过期</v>
      </c>
      <c r="C4" s="3087">
        <v>44876</v>
      </c>
      <c r="D4" s="3088" t="str">
        <f ca="1">A4&amp;"（注册号："&amp;B4&amp;"）"</f>
        <v>梁津（注册号：已过期）</v>
      </c>
      <c r="E4" s="3089" t="s">
        <v>184</v>
      </c>
      <c r="F4" s="3086">
        <f ca="1">IF(G4&lt;B2,"已过期",96010014)</f>
        <v>96010014</v>
      </c>
      <c r="G4" s="3087">
        <v>47118</v>
      </c>
      <c r="H4" s="3090" t="str">
        <f ca="1">E4&amp;"（注册号："&amp;F4&amp;"）"</f>
        <v>梁津（注册号：96010014）</v>
      </c>
    </row>
    <row r="5" customHeight="1" spans="1:8">
      <c r="A5" s="3086" t="s">
        <v>185</v>
      </c>
      <c r="B5" s="3086" t="str">
        <f ca="1">IF(C5&lt;B2,"已过期",1119970111)</f>
        <v>已过期</v>
      </c>
      <c r="C5" s="3087">
        <v>44876</v>
      </c>
      <c r="D5" s="3088" t="str">
        <f ca="1" t="shared" ref="D5:D16" si="0">A5&amp;"（注册号："&amp;B5&amp;"）"</f>
        <v>叶凌（注册号：已过期）</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t="str">
        <f ca="1">IF(C7&lt;B2,"已过期",1120000080)</f>
        <v>已过期</v>
      </c>
      <c r="C7" s="3087">
        <v>44876</v>
      </c>
      <c r="D7" s="3088" t="str">
        <f ca="1" t="shared" si="0"/>
        <v>欧红伟（注册号：已过期）</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t="str">
        <f ca="1">IF(C11&lt;B2,"已过期",1120070131)</f>
        <v>已过期</v>
      </c>
      <c r="C11" s="3087">
        <v>44849</v>
      </c>
      <c r="D11" s="3088" t="str">
        <f ca="1" t="shared" si="0"/>
        <v>郑燚（注册号：已过期）</v>
      </c>
      <c r="E11" s="3089" t="s">
        <v>191</v>
      </c>
      <c r="F11" s="3086">
        <f ca="1">IF(G11&lt;B2,"已过期",2014110011)</f>
        <v>2014110011</v>
      </c>
      <c r="G11" s="3087">
        <v>49302</v>
      </c>
      <c r="H11" s="3090" t="str">
        <f ca="1" t="shared" si="1"/>
        <v>郑燚（注册号：2014110011）</v>
      </c>
    </row>
    <row r="12" customHeight="1" spans="1:8">
      <c r="A12" s="3086" t="s">
        <v>192</v>
      </c>
      <c r="B12" s="3086" t="str">
        <f ca="1">IF(C12&lt;B2,"已过期",1120040230)</f>
        <v>已过期</v>
      </c>
      <c r="C12" s="3091">
        <v>44864</v>
      </c>
      <c r="D12" s="3088" t="str">
        <f ca="1" t="shared" si="0"/>
        <v>苏海（注册号：已过期）</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2022-03-25T05:42:00Z</cp:lastPrinted>
  <dcterms:modified xsi:type="dcterms:W3CDTF">2022-11-22T13:16:40Z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E536ED94843745D7B654F3BA27B4D84F</vt:lpwstr>
  </property>
</Properties>
</file>