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P03\"/>
    </mc:Choice>
  </mc:AlternateContent>
  <xr:revisionPtr revIDLastSave="0" documentId="13_ncr:1_{3DBC8EC8-2508-45C2-B5A8-2FFBE678EB43}" xr6:coauthVersionLast="47" xr6:coauthVersionMax="47" xr10:uidLastSave="{00000000-0000-0000-0000-000000000000}"/>
  <bookViews>
    <workbookView xWindow="156" yWindow="144" windowWidth="12804" windowHeight="12132"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84" i="9" l="1"/>
  <c r="C88" i="9"/>
  <c r="I91" i="9"/>
  <c r="C14" i="74"/>
  <c r="B14" i="74"/>
  <c r="J49" i="67"/>
  <c r="D33" i="43"/>
  <c r="Y6" i="1"/>
  <c r="N6" i="1"/>
  <c r="O20" i="1"/>
  <c r="O22" i="1" s="1"/>
  <c r="B29" i="1"/>
  <c r="B21" i="1"/>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AA31" i="79"/>
  <c r="AD31" i="79" s="1"/>
  <c r="T40" i="79"/>
  <c r="U46" i="79"/>
  <c r="AI46" i="79" s="1"/>
  <c r="AD47" i="79"/>
  <c r="S48" i="79"/>
  <c r="AG48" i="79" s="1"/>
  <c r="U50" i="79"/>
  <c r="AI50" i="79" s="1"/>
  <c r="AD51" i="79"/>
  <c r="T33" i="79"/>
  <c r="T34" i="79"/>
  <c r="T35" i="79"/>
  <c r="AD37" i="79"/>
  <c r="AD36"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4" i="79"/>
  <c r="AK34" i="79" s="1"/>
  <c r="AH34" i="79"/>
  <c r="W15" i="79"/>
  <c r="AK15" i="79" s="1"/>
  <c r="AH15" i="79"/>
  <c r="W43" i="79"/>
  <c r="AK43" i="79" s="1"/>
  <c r="AH43" i="79"/>
  <c r="W38" i="79"/>
  <c r="AK38" i="79" s="1"/>
  <c r="AH38" i="79"/>
  <c r="W40" i="79"/>
  <c r="AK40" i="79" s="1"/>
  <c r="AH40" i="79"/>
  <c r="W11" i="79"/>
  <c r="AK11" i="79" s="1"/>
  <c r="AH11" i="79"/>
  <c r="W39" i="79"/>
  <c r="AK39" i="79" s="1"/>
  <c r="W17" i="79"/>
  <c r="AK17" i="79" s="1"/>
  <c r="AH17" i="79"/>
  <c r="W10" i="79"/>
  <c r="AK10" i="79" s="1"/>
  <c r="AH10" i="79"/>
  <c r="W18" i="79"/>
  <c r="AK18" i="79" s="1"/>
  <c r="AH18" i="79"/>
  <c r="W20" i="79"/>
  <c r="AK20" i="79" s="1"/>
  <c r="AH20" i="79"/>
  <c r="W33" i="79"/>
  <c r="AK33" i="79" s="1"/>
  <c r="AH33"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3" i="3" s="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AZ222"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1"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Z341" i="3"/>
  <c r="AZ506" i="3"/>
  <c r="G548" i="3"/>
  <c r="G538" i="3"/>
  <c r="G520" i="3"/>
  <c r="G502" i="3"/>
  <c r="BS5" i="3"/>
  <c r="BP5" i="3"/>
  <c r="BN5" i="3"/>
  <c r="BK5" i="3"/>
  <c r="BI5" i="3"/>
  <c r="BG5" i="3"/>
  <c r="BE5" i="3"/>
  <c r="BC5" i="3"/>
  <c r="G17" i="3"/>
  <c r="BA17" i="3"/>
  <c r="BT5" i="3"/>
  <c r="AZ356" i="3"/>
  <c r="AZ368" i="3"/>
  <c r="BA15" i="3"/>
  <c r="BB5" i="3"/>
  <c r="BR5" i="3"/>
  <c r="AZ392" i="3"/>
  <c r="AZ499" i="3"/>
  <c r="AZ509" i="3"/>
  <c r="G509" i="3"/>
  <c r="U36" i="40"/>
  <c r="F83" i="43"/>
  <c r="H85" i="43" s="1"/>
  <c r="F50" i="43"/>
  <c r="H54" i="43" s="1"/>
  <c r="F72" i="43"/>
  <c r="H75" i="43" s="1"/>
  <c r="U17" i="39"/>
  <c r="S14" i="35"/>
  <c r="U43" i="21"/>
  <c r="U35" i="21"/>
  <c r="AC35" i="2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56" i="3"/>
  <c r="AZ271" i="3"/>
  <c r="AZ133"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4" i="36"/>
  <c r="U34" i="36"/>
  <c r="AB33" i="36"/>
  <c r="U33" i="36"/>
  <c r="AC12" i="39"/>
  <c r="W12" i="39"/>
  <c r="AZ586" i="3"/>
  <c r="AA32" i="36"/>
  <c r="S32" i="36"/>
  <c r="BL14" i="3"/>
  <c r="U30" i="33"/>
  <c r="AC13" i="34"/>
  <c r="AA47" i="34"/>
  <c r="W28" i="37"/>
  <c r="S19" i="39"/>
  <c r="F12" i="33"/>
  <c r="S12" i="33" s="1"/>
  <c r="H12" i="39"/>
  <c r="U12" i="39" s="1"/>
  <c r="AB12" i="39"/>
  <c r="F39" i="40"/>
  <c r="BA14" i="3"/>
  <c r="AZ14" i="3" s="1"/>
  <c r="AZ254" i="3"/>
  <c r="AZ286"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B23" i="33"/>
  <c r="U23" i="33"/>
  <c r="F23" i="33"/>
  <c r="AA19" i="33"/>
  <c r="H19" i="33"/>
  <c r="G81" i="33"/>
  <c r="H17" i="33"/>
  <c r="U17" i="33" s="1"/>
  <c r="F17" i="33"/>
  <c r="S17" i="33" s="1"/>
  <c r="W17" i="33"/>
  <c r="AC17" i="33"/>
  <c r="S37" i="21"/>
  <c r="AA23" i="21"/>
  <c r="AB15" i="21"/>
  <c r="J23" i="21"/>
  <c r="W23" i="21" s="1"/>
  <c r="F85" i="21"/>
  <c r="G85" i="21" s="1"/>
  <c r="H23" i="21"/>
  <c r="AB23" i="21" s="1"/>
  <c r="D6" i="52"/>
  <c r="AP7" i="1"/>
  <c r="AB9" i="21"/>
  <c r="U9" i="21"/>
  <c r="AC9" i="21"/>
  <c r="U32" i="39"/>
  <c r="AC32" i="39"/>
  <c r="W32" i="39"/>
  <c r="AC23" i="37"/>
  <c r="J11" i="37"/>
  <c r="AC11" i="37" s="1"/>
  <c r="J11" i="34"/>
  <c r="W11" i="34" s="1"/>
  <c r="AB36" i="33"/>
  <c r="AC27" i="33"/>
  <c r="W25" i="33"/>
  <c r="AC25" i="33"/>
  <c r="AB19" i="33"/>
  <c r="U19" i="33"/>
  <c r="AA17" i="33"/>
  <c r="U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2" i="15"/>
  <c r="L48" i="67"/>
  <c r="F7" i="15"/>
  <c r="F3" i="73"/>
  <c r="F20" i="31"/>
  <c r="D35" i="9"/>
  <c r="J15" i="67"/>
  <c r="F7" i="73"/>
  <c r="D6" i="73"/>
  <c r="E11" i="76"/>
  <c r="B12" i="76"/>
  <c r="F5" i="73"/>
  <c r="M26" i="67"/>
  <c r="L47" i="15"/>
  <c r="B7" i="76"/>
  <c r="L47" i="67"/>
  <c r="F16" i="67"/>
  <c r="F9" i="67"/>
  <c r="F43" i="15"/>
  <c r="F6" i="73"/>
  <c r="F40" i="15"/>
  <c r="F38" i="15"/>
  <c r="F42" i="67"/>
  <c r="M9" i="15"/>
  <c r="B10" i="76"/>
  <c r="F6" i="67"/>
  <c r="M24" i="15"/>
  <c r="F8" i="67"/>
  <c r="E7" i="76"/>
  <c r="B13" i="76"/>
  <c r="F43" i="67"/>
  <c r="F13" i="67"/>
  <c r="F7" i="67"/>
  <c r="E8" i="76"/>
  <c r="B8" i="76"/>
  <c r="E2" i="68"/>
  <c r="M29" i="67"/>
  <c r="E13" i="76"/>
  <c r="M9" i="67"/>
  <c r="L48" i="15"/>
  <c r="F16" i="15"/>
  <c r="F36" i="15"/>
  <c r="M29" i="15"/>
  <c r="E12" i="76"/>
  <c r="M24" i="67"/>
  <c r="C76" i="67"/>
  <c r="M22" i="67"/>
  <c r="F36" i="67"/>
  <c r="F6" i="15"/>
  <c r="M6" i="67"/>
  <c r="M8" i="67"/>
  <c r="AO13" i="1"/>
  <c r="F13" i="15"/>
  <c r="M28" i="67"/>
  <c r="B11" i="76"/>
  <c r="M23" i="67"/>
  <c r="M22" i="15"/>
  <c r="M23" i="15"/>
  <c r="M6" i="15"/>
  <c r="E9" i="76"/>
  <c r="B9" i="76"/>
  <c r="E2" i="69"/>
  <c r="F26" i="15"/>
  <c r="J15" i="15"/>
  <c r="F37" i="15"/>
  <c r="F40" i="67"/>
  <c r="F37" i="67"/>
  <c r="F26" i="67"/>
  <c r="M28" i="15"/>
  <c r="D34" i="9"/>
  <c r="F9" i="15"/>
  <c r="F4" i="73"/>
  <c r="F38" i="67"/>
  <c r="E10" i="76"/>
  <c r="C76" i="15"/>
  <c r="F8" i="15"/>
  <c r="M26" i="15"/>
  <c r="M8" i="15"/>
  <c r="A24" i="51" l="1"/>
  <c r="B18" i="72" s="1"/>
  <c r="G29" i="6"/>
  <c r="F29" i="6"/>
  <c r="A2" i="9"/>
  <c r="A118" i="9"/>
  <c r="A4" i="52"/>
  <c r="B41" i="72" s="1"/>
  <c r="AC23" i="21"/>
  <c r="U33" i="40"/>
  <c r="AB33" i="40"/>
  <c r="C21" i="71"/>
  <c r="D21" i="71" s="1"/>
  <c r="S13" i="21"/>
  <c r="M18" i="15"/>
  <c r="M18" i="67"/>
  <c r="F30" i="11"/>
  <c r="C48" i="11" s="1"/>
  <c r="AA35" i="33"/>
  <c r="U27" i="34"/>
  <c r="AC39" i="34"/>
  <c r="S32" i="37"/>
  <c r="S20" i="35"/>
  <c r="AA34" i="33"/>
  <c r="AA12" i="40"/>
  <c r="AZ387" i="3"/>
  <c r="AZ362" i="3"/>
  <c r="AZ338" i="3"/>
  <c r="AZ390" i="3"/>
  <c r="AZ371" i="3"/>
  <c r="AZ351" i="3"/>
  <c r="AZ336" i="3"/>
  <c r="AZ305" i="3"/>
  <c r="AZ360" i="3"/>
  <c r="AZ503" i="3"/>
  <c r="AZ513" i="3"/>
  <c r="AZ575" i="3"/>
  <c r="S14" i="34"/>
  <c r="AA14" i="34"/>
  <c r="W31" i="33"/>
  <c r="AC31" i="33"/>
  <c r="W36" i="34"/>
  <c r="AC36" i="34"/>
  <c r="S29" i="35"/>
  <c r="AA29" i="35"/>
  <c r="U32" i="21"/>
  <c r="S32" i="21"/>
  <c r="AB45" i="21"/>
  <c r="S21" i="39"/>
  <c r="F54" i="9"/>
  <c r="F32" i="15"/>
  <c r="F60" i="15" s="1"/>
  <c r="F52" i="9"/>
  <c r="F30" i="68"/>
  <c r="F48" i="68" s="1"/>
  <c r="S20" i="36"/>
  <c r="S15" i="39"/>
  <c r="AC34" i="33"/>
  <c r="AZ304" i="3"/>
  <c r="AZ306" i="3"/>
  <c r="AZ540" i="3"/>
  <c r="AA14" i="40"/>
  <c r="S14" i="40"/>
  <c r="S14" i="37"/>
  <c r="AA14" i="37"/>
  <c r="U45" i="33"/>
  <c r="AB45" i="33"/>
  <c r="AA44" i="34"/>
  <c r="S44" i="34"/>
  <c r="D68" i="9"/>
  <c r="F30" i="69"/>
  <c r="F48" i="69" s="1"/>
  <c r="F31" i="12"/>
  <c r="C31" i="12" s="1"/>
  <c r="AB20" i="35"/>
  <c r="S43" i="33"/>
  <c r="AC5" i="3"/>
  <c r="AZ357" i="3"/>
  <c r="AZ313" i="3"/>
  <c r="AZ394" i="3"/>
  <c r="S25" i="21"/>
  <c r="AA25" i="21"/>
  <c r="AZ527" i="3"/>
  <c r="AZ571" i="3"/>
  <c r="AZ579" i="3"/>
  <c r="AZ510" i="3"/>
  <c r="AZ552" i="3"/>
  <c r="AZ584" i="3"/>
  <c r="AA41" i="33"/>
  <c r="S41" i="33"/>
  <c r="BL587" i="3"/>
  <c r="AZ587" i="3" s="1"/>
  <c r="W31" i="35"/>
  <c r="AC31" i="35"/>
  <c r="BA551" i="3"/>
  <c r="AZ551" i="3" s="1"/>
  <c r="BA550" i="3"/>
  <c r="BL548" i="3"/>
  <c r="AZ548" i="3" s="1"/>
  <c r="AZ531" i="3"/>
  <c r="AZ583" i="3"/>
  <c r="AZ568" i="3"/>
  <c r="AZ576" i="3"/>
  <c r="G587" i="3"/>
  <c r="B101" i="43"/>
  <c r="B79" i="43"/>
  <c r="H12" i="33"/>
  <c r="U12" i="33" s="1"/>
  <c r="J12" i="33"/>
  <c r="J39" i="40"/>
  <c r="H39" i="40"/>
  <c r="AZ458" i="3"/>
  <c r="AB23" i="34"/>
  <c r="BL585" i="3"/>
  <c r="AZ539" i="3"/>
  <c r="AZ529" i="3"/>
  <c r="AZ537" i="3"/>
  <c r="AZ518" i="3"/>
  <c r="AZ526" i="3"/>
  <c r="AZ546" i="3"/>
  <c r="AZ564" i="3"/>
  <c r="AZ580" i="3"/>
  <c r="AZ585" i="3"/>
  <c r="AB17" i="34"/>
  <c r="J9" i="33"/>
  <c r="H9" i="33"/>
  <c r="H23" i="36"/>
  <c r="J23" i="36"/>
  <c r="AZ443" i="3"/>
  <c r="AZ451" i="3"/>
  <c r="AZ469" i="3"/>
  <c r="BA401" i="3"/>
  <c r="BA403" i="3"/>
  <c r="BA404" i="3"/>
  <c r="AZ404" i="3" s="1"/>
  <c r="BA405" i="3"/>
  <c r="BL410" i="3"/>
  <c r="G412" i="3"/>
  <c r="G418" i="3"/>
  <c r="BA422" i="3"/>
  <c r="BL449" i="3"/>
  <c r="BL450" i="3"/>
  <c r="BL452" i="3"/>
  <c r="BL456" i="3"/>
  <c r="AZ464" i="3"/>
  <c r="BL467" i="3"/>
  <c r="BL468" i="3"/>
  <c r="BL470" i="3"/>
  <c r="G472" i="3"/>
  <c r="G473"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427" i="3"/>
  <c r="BL428" i="3"/>
  <c r="BL429" i="3"/>
  <c r="BL432" i="3"/>
  <c r="BL435" i="3"/>
  <c r="BL436" i="3"/>
  <c r="BA439" i="3"/>
  <c r="BA440" i="3"/>
  <c r="AZ440" i="3" s="1"/>
  <c r="BA442" i="3"/>
  <c r="BA445" i="3"/>
  <c r="BA447" i="3"/>
  <c r="AZ447" i="3" s="1"/>
  <c r="BL454" i="3"/>
  <c r="G458" i="3"/>
  <c r="BL459" i="3"/>
  <c r="G462" i="3"/>
  <c r="BA465" i="3"/>
  <c r="AZ465"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6" i="3"/>
  <c r="BA208" i="3"/>
  <c r="AZ208" i="3" s="1"/>
  <c r="G223" i="3"/>
  <c r="BA228" i="3"/>
  <c r="AZ228" i="3" s="1"/>
  <c r="BA230" i="3"/>
  <c r="AZ230" i="3" s="1"/>
  <c r="B75" i="4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A210" i="3"/>
  <c r="BL210" i="3"/>
  <c r="BL213" i="3"/>
  <c r="BL215" i="3"/>
  <c r="BL234" i="3"/>
  <c r="AZ125" i="3"/>
  <c r="AZ177"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BA459" i="3"/>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9" i="3"/>
  <c r="BA211" i="3"/>
  <c r="AZ211" i="3" s="1"/>
  <c r="BL216" i="3"/>
  <c r="BA221" i="3"/>
  <c r="G225" i="3"/>
  <c r="BL225" i="3"/>
  <c r="BL226" i="3"/>
  <c r="G227" i="3"/>
  <c r="BL232" i="3"/>
  <c r="AZ301" i="3"/>
  <c r="BA268" i="3"/>
  <c r="BL273" i="3"/>
  <c r="G274" i="3"/>
  <c r="BA277" i="3"/>
  <c r="AZ277" i="3" s="1"/>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27" i="3"/>
  <c r="BL30" i="3"/>
  <c r="BL31" i="3"/>
  <c r="G37" i="3"/>
  <c r="BL40" i="3"/>
  <c r="BL41" i="3"/>
  <c r="BL45" i="3"/>
  <c r="BA48" i="3"/>
  <c r="BA49" i="3"/>
  <c r="BA51" i="3"/>
  <c r="G55" i="3"/>
  <c r="BL56" i="3"/>
  <c r="BA58" i="3"/>
  <c r="BL59" i="3"/>
  <c r="BL60" i="3"/>
  <c r="BA61" i="3"/>
  <c r="BL65" i="3"/>
  <c r="BL66" i="3"/>
  <c r="BL72" i="3"/>
  <c r="AZ72" i="3" s="1"/>
  <c r="BL79" i="3"/>
  <c r="BL81" i="3"/>
  <c r="BA82" i="3"/>
  <c r="AZ82" i="3" s="1"/>
  <c r="D31" i="71"/>
  <c r="C32" i="71"/>
  <c r="C60" i="71"/>
  <c r="D59" i="71"/>
  <c r="N67" i="71"/>
  <c r="B66" i="71"/>
  <c r="F66" i="71"/>
  <c r="Q67" i="71"/>
  <c r="V24" i="71"/>
  <c r="E23" i="71"/>
  <c r="E22" i="71" s="1"/>
  <c r="E21" i="71" s="1"/>
  <c r="E20" i="71" s="1"/>
  <c r="BA236" i="3"/>
  <c r="BA238" i="3"/>
  <c r="BA243" i="3"/>
  <c r="AZ243" i="3" s="1"/>
  <c r="BL248" i="3"/>
  <c r="AZ248" i="3" s="1"/>
  <c r="BL250" i="3"/>
  <c r="AZ250" i="3" s="1"/>
  <c r="BA259" i="3"/>
  <c r="AZ259" i="3" s="1"/>
  <c r="BL261" i="3"/>
  <c r="BA263" i="3"/>
  <c r="BA267" i="3"/>
  <c r="AZ267" i="3" s="1"/>
  <c r="BA296" i="3"/>
  <c r="BL157" i="3"/>
  <c r="AZ157" i="3" s="1"/>
  <c r="BL159" i="3"/>
  <c r="AZ159" i="3" s="1"/>
  <c r="BL177" i="3"/>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AZ52" i="3"/>
  <c r="AZ65" i="3"/>
  <c r="BA80" i="3"/>
  <c r="C44" i="71"/>
  <c r="D43" i="7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BL67" i="3"/>
  <c r="AZ67" i="3" s="1"/>
  <c r="BA70" i="3"/>
  <c r="AZ70" i="3" s="1"/>
  <c r="BL74" i="3"/>
  <c r="BL75" i="3"/>
  <c r="BA78" i="3"/>
  <c r="BL86" i="3"/>
  <c r="C47" i="71"/>
  <c r="D47" i="71" s="1"/>
  <c r="D46" i="71"/>
  <c r="C52" i="71"/>
  <c r="D51" i="71"/>
  <c r="C55" i="71"/>
  <c r="D54" i="7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67"/>
  <c r="D5" i="73"/>
  <c r="D4" i="73"/>
  <c r="D7" i="73"/>
  <c r="C16" i="15"/>
  <c r="N94" i="46" l="1"/>
  <c r="F26" i="43"/>
  <c r="N370" i="46"/>
  <c r="J26" i="43"/>
  <c r="C30" i="11"/>
  <c r="E59" i="40"/>
  <c r="P6" i="1"/>
  <c r="C13" i="12" s="1"/>
  <c r="H16" i="1"/>
  <c r="K16" i="1"/>
  <c r="E26" i="43"/>
  <c r="H26" i="43"/>
  <c r="D26" i="43" s="1"/>
  <c r="C25" i="43" s="1"/>
  <c r="G16" i="1"/>
  <c r="F10" i="39" s="1"/>
  <c r="AA10" i="39" s="1"/>
  <c r="T28" i="71"/>
  <c r="D28" i="71"/>
  <c r="U28" i="71" s="1"/>
  <c r="C27" i="71"/>
  <c r="D79" i="71"/>
  <c r="C78" i="71"/>
  <c r="D78" i="71" s="1"/>
  <c r="AZ31" i="3"/>
  <c r="AZ190" i="3"/>
  <c r="D60" i="71"/>
  <c r="T60" i="71"/>
  <c r="AZ58" i="3"/>
  <c r="AZ49" i="3"/>
  <c r="AZ5" i="3" s="1"/>
  <c r="AZ459" i="3"/>
  <c r="AZ421" i="3"/>
  <c r="AZ414" i="3"/>
  <c r="U23" i="35"/>
  <c r="AB23" i="35"/>
  <c r="AZ422" i="3"/>
  <c r="AZ405" i="3"/>
  <c r="AB23" i="36"/>
  <c r="U23" i="36"/>
  <c r="D83" i="71"/>
  <c r="C82" i="71"/>
  <c r="D82" i="71" s="1"/>
  <c r="O65" i="71"/>
  <c r="D66" i="71"/>
  <c r="O66" i="71"/>
  <c r="T52" i="71"/>
  <c r="D52" i="71"/>
  <c r="D44" i="71"/>
  <c r="T44" i="71"/>
  <c r="AZ263" i="3"/>
  <c r="N65" i="71"/>
  <c r="N66" i="71"/>
  <c r="T32" i="71"/>
  <c r="D32" i="71"/>
  <c r="AZ61" i="3"/>
  <c r="AZ137" i="3"/>
  <c r="AZ483" i="3"/>
  <c r="AZ457" i="3"/>
  <c r="AZ491" i="3"/>
  <c r="AB9" i="33"/>
  <c r="U9" i="33"/>
  <c r="U39" i="40"/>
  <c r="AB39" i="40"/>
  <c r="AZ550" i="3"/>
  <c r="C40" i="71"/>
  <c r="D39" i="71"/>
  <c r="AZ302" i="3"/>
  <c r="AZ284" i="3"/>
  <c r="AZ403" i="3"/>
  <c r="AC9" i="33"/>
  <c r="W9" i="33"/>
  <c r="AC39" i="40"/>
  <c r="W39" i="40"/>
  <c r="G5" i="3"/>
  <c r="B3" i="3" s="1"/>
  <c r="E539" i="3" s="1"/>
  <c r="C70" i="71"/>
  <c r="D70" i="71" s="1"/>
  <c r="D71" i="71"/>
  <c r="C36" i="71"/>
  <c r="D35" i="71"/>
  <c r="AZ75" i="3"/>
  <c r="C56" i="71"/>
  <c r="D55" i="71"/>
  <c r="AZ251" i="3"/>
  <c r="AZ247" i="3"/>
  <c r="AZ21" i="3"/>
  <c r="AZ45" i="3"/>
  <c r="AZ197" i="3"/>
  <c r="AZ238" i="3"/>
  <c r="AZ51" i="3"/>
  <c r="AZ130" i="3"/>
  <c r="AZ460" i="3"/>
  <c r="AZ210" i="3"/>
  <c r="AZ401" i="3"/>
  <c r="AC23" i="36"/>
  <c r="W23" i="36"/>
  <c r="W12" i="33"/>
  <c r="AC12" i="33"/>
  <c r="J7" i="37"/>
  <c r="K1" i="73"/>
  <c r="E510" i="3"/>
  <c r="R6" i="3"/>
  <c r="E255" i="3"/>
  <c r="I3" i="6"/>
  <c r="E56" i="3"/>
  <c r="E292" i="3"/>
  <c r="E363" i="3"/>
  <c r="E425" i="3"/>
  <c r="E249" i="3"/>
  <c r="E300" i="3"/>
  <c r="E144" i="3"/>
  <c r="E81" i="3"/>
  <c r="E264" i="3"/>
  <c r="E281" i="3"/>
  <c r="E332" i="3"/>
  <c r="E96" i="3"/>
  <c r="E129" i="3"/>
  <c r="E206" i="3"/>
  <c r="E251" i="3"/>
  <c r="E205" i="3"/>
  <c r="E140" i="3"/>
  <c r="E456" i="3"/>
  <c r="E469" i="3"/>
  <c r="E13" i="3"/>
  <c r="E452" i="3"/>
  <c r="E225" i="3"/>
  <c r="E243" i="3"/>
  <c r="E324" i="3"/>
  <c r="E342" i="3"/>
  <c r="E326" i="3"/>
  <c r="E83" i="3"/>
  <c r="E393" i="3"/>
  <c r="E493" i="3"/>
  <c r="E440" i="3"/>
  <c r="E490" i="3"/>
  <c r="E463" i="3"/>
  <c r="E40" i="3"/>
  <c r="E346" i="3"/>
  <c r="E333" i="3"/>
  <c r="E15" i="3"/>
  <c r="E455" i="3"/>
  <c r="E299" i="3"/>
  <c r="E339" i="3"/>
  <c r="E123" i="3"/>
  <c r="E147" i="3"/>
  <c r="E176" i="3"/>
  <c r="E218" i="3"/>
  <c r="E552" i="3"/>
  <c r="E398" i="3"/>
  <c r="E521" i="3"/>
  <c r="E65" i="3"/>
  <c r="E312" i="3"/>
  <c r="E421" i="3"/>
  <c r="E138" i="3"/>
  <c r="E20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S10" i="39" l="1"/>
  <c r="H10" i="39"/>
  <c r="U10" i="39" s="1"/>
  <c r="E33" i="3"/>
  <c r="E484" i="3"/>
  <c r="E479" i="3"/>
  <c r="E499"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J10" i="40"/>
  <c r="AC10" i="40" s="1"/>
  <c r="J10" i="39"/>
  <c r="W10" i="39" s="1"/>
  <c r="H10" i="40"/>
  <c r="AB10" i="40" s="1"/>
  <c r="F10" i="40"/>
  <c r="S10" i="40" s="1"/>
  <c r="AY6" i="3"/>
  <c r="E3" i="6"/>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T40" i="71"/>
  <c r="D40" i="71"/>
  <c r="C26" i="71"/>
  <c r="D26" i="71" s="1"/>
  <c r="D27" i="71"/>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2" i="68" l="1"/>
  <c r="C44" i="68" s="1"/>
  <c r="D41" i="68" s="1"/>
  <c r="F25" i="12"/>
  <c r="AC10" i="39"/>
  <c r="G54" i="34"/>
  <c r="H54" i="34" s="1"/>
  <c r="U10" i="40"/>
  <c r="H6" i="3"/>
  <c r="AC6" i="3"/>
  <c r="E6" i="3" s="1"/>
  <c r="AA10" i="40"/>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66" i="67"/>
  <c r="C60" i="67"/>
  <c r="D10" i="69"/>
  <c r="C34" i="69"/>
  <c r="D10" i="68"/>
  <c r="C17" i="15"/>
  <c r="C14" i="67"/>
  <c r="C17" i="67"/>
  <c r="C26" i="68" l="1"/>
  <c r="D22" i="68" s="1"/>
  <c r="F41" i="68"/>
  <c r="C23"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19" i="9"/>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7" i="1"/>
  <c r="AO9" i="1"/>
  <c r="AO10" i="1"/>
  <c r="D20" i="9"/>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C105" i="9"/>
  <c r="H118" i="9"/>
  <c r="D14" i="74" s="1"/>
  <c r="G14" i="74" s="1"/>
  <c r="B6" i="74" s="1"/>
  <c r="D6" i="74" s="1"/>
  <c r="H102" i="9"/>
  <c r="E118" i="9"/>
  <c r="E14" i="74" l="1"/>
  <c r="B5" i="74"/>
  <c r="D5" i="74" s="1"/>
  <c r="F14" i="74"/>
  <c r="D7" i="53"/>
  <c r="B21" i="72" s="1"/>
  <c r="C104" i="9"/>
  <c r="H4" i="52"/>
  <c r="H119" i="9"/>
  <c r="H5" i="52" s="1"/>
  <c r="H101" i="9"/>
  <c r="D118" i="9"/>
  <c r="E4" i="52"/>
  <c r="B48" i="72" s="1"/>
  <c r="F119" i="9"/>
  <c r="F5" i="52" s="1"/>
  <c r="B53" i="72" s="1"/>
  <c r="F4" i="52"/>
  <c r="B51" i="72" s="1"/>
  <c r="C5" i="74" l="1"/>
  <c r="D4" i="52"/>
  <c r="B47" i="72" s="1"/>
  <c r="D119" i="9"/>
  <c r="D5" i="52" s="1"/>
  <c r="B49" i="72" s="1"/>
  <c r="M48" i="9"/>
  <c r="D5" i="53"/>
  <c r="D45" i="9"/>
  <c r="H107" i="9"/>
  <c r="D6" i="53" l="1"/>
  <c r="B22" i="72" s="1"/>
  <c r="B20" i="72"/>
  <c r="D122" i="9"/>
  <c r="M49" i="9"/>
  <c r="D13" i="53"/>
  <c r="H108" i="9"/>
  <c r="D55" i="9"/>
  <c r="M53" i="9" s="1"/>
  <c r="C78" i="9"/>
  <c r="C73" i="9" s="1"/>
  <c r="D53" i="9"/>
  <c r="D48" i="9" s="1"/>
  <c r="M52" i="9" s="1"/>
  <c r="D52" i="9"/>
  <c r="C85" i="9"/>
  <c r="C93" i="9"/>
  <c r="C86" i="9" s="1"/>
  <c r="C72" i="9"/>
  <c r="C64" i="9"/>
  <c r="C63" i="9" s="1"/>
  <c r="C67" i="9" s="1"/>
  <c r="D8" i="52" l="1"/>
  <c r="D123" i="9"/>
  <c r="D9" i="52" s="1"/>
  <c r="C95" i="9"/>
  <c r="D15" i="53"/>
  <c r="B31" i="72" s="1"/>
  <c r="C6" i="74"/>
  <c r="L65" i="9"/>
  <c r="M65" i="9" s="1"/>
  <c r="L64" i="9"/>
  <c r="M64" i="9" s="1"/>
  <c r="L68" i="9"/>
  <c r="M68" i="9" s="1"/>
  <c r="L67" i="9"/>
  <c r="M67" i="9" s="1"/>
  <c r="L66" i="9"/>
  <c r="M66" i="9" s="1"/>
  <c r="L63" i="9"/>
  <c r="M63" i="9" s="1"/>
  <c r="D59" i="9"/>
  <c r="M55" i="9" s="1"/>
  <c r="C68" i="9"/>
  <c r="D54" i="9" s="1"/>
  <c r="C79" i="9"/>
  <c r="B30" i="72"/>
  <c r="D14" i="53"/>
  <c r="B32" i="72" s="1"/>
  <c r="M69" i="9" l="1"/>
  <c r="N69" i="9" s="1"/>
  <c r="C80" i="9"/>
  <c r="E80" i="9" s="1"/>
  <c r="E81" i="9" s="1"/>
  <c r="C96" i="9"/>
  <c r="E96" i="9" s="1"/>
  <c r="E97" i="9" s="1"/>
  <c r="C97" i="9" l="1"/>
  <c r="D58" i="9" s="1"/>
  <c r="D56" i="9" s="1"/>
  <c r="M54" i="9" s="1"/>
  <c r="N57" i="9" s="1"/>
  <c r="P57" i="9" s="1"/>
  <c r="C81" i="9"/>
  <c r="N59" i="9" l="1"/>
  <c r="I14" i="74" s="1"/>
  <c r="B8" i="74" s="1"/>
  <c r="D8" i="74" s="1"/>
  <c r="N58" i="9"/>
  <c r="N61" i="9"/>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FB222356-ECD6-4690-BB38-A51F68AF0EF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<sst xmlns="http://schemas.openxmlformats.org/spreadsheetml/2006/main" count="7871" uniqueCount="3454">
  <si>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</si>
  <si>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</si>
  <si>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</si>
  <si>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</si>
  <si>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</si>
  <si>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</si>
  <si>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</si>
  <si>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</si>
  <si>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</si>
  <si>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</si>
  <si>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</si>
  <si>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</si>
  <si>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</si>
  <si>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</si>
  <si>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</si>
  <si>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</si>
  <si>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</si>
  <si>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</si>
  <si>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</si>
  <si>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</si>
  <si>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</si>
  <si>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</si>
  <si>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</si>
  <si>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</si>
  <si>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</si>
  <si>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</si>
  <si>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</si>
  <si>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</si>
  <si>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</si>
  <si>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</si>
  <si>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</si>
  <si>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</si>
  <si>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</si>
  <si>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</si>
  <si>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</si>
  <si>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</si>
  <si>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</si>
  <si>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</si>
  <si>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</si>
  <si>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</si>
  <si>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</si>
  <si>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</si>
  <si>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</si>
  <si>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</si>
  <si>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</si>
  <si>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</si>
  <si>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</si>
  <si>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</si>
  <si>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</si>
  <si>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</si>
  <si>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</si>
  <si>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</si>
  <si>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</si>
  <si>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</si>
  <si>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</si>
  <si>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</si>
  <si>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</si>
  <si>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</si>
  <si>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</si>
  <si>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</si>
  <si>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</si>
  <si>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</si>
  <si>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</si>
  <si>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</si>
  <si>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</si>
  <si>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</si>
  <si>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</si>
  <si>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</si>
  <si>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</si>
  <si>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</si>
  <si>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</si>
  <si>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</si>
  <si>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</si>
  <si>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</si>
  <si>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</si>
  <si>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</si>
  <si>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</si>
  <si>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</si>
  <si>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</si>
  <si>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</si>
  <si>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</si>
  <si>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</si>
  <si>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</si>
  <si>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</si>
  <si>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</si>
  <si>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</si>
  <si>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</si>
  <si>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</si>
  <si>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</si>
  <si>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</si>
  <si>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</si>
  <si>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</si>
  <si>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</si>
  <si>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</si>
  <si>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</si>
  <si>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</si>
  <si>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</si>
  <si>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</si>
  <si>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</si>
  <si>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</si>
  <si>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</si>
  <si>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</si>
  <si>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</si>
  <si>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</si>
  <si>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</si>
  <si>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</si>
  <si>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</si>
  <si>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</si>
  <si>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</si>
  <si>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</si>
  <si>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</si>
  <si>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</si>
  <si>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</si>
  <si>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</si>
  <si>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</si>
  <si>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</si>
  <si>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</si>
  <si>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</si>
  <si>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</si>
  <si>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</si>
  <si>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</si>
  <si>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</si>
  <si>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</si>
  <si>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</si>
  <si>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</si>
  <si>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</si>
  <si>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</si>
  <si>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</si>
  <si>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</si>
  <si>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</si>
  <si>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</si>
  <si>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</si>
  <si>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</si>
  <si>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</si>
  <si>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</si>
  <si>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</si>
  <si>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</si>
  <si>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</si>
  <si>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</si>
  <si>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</si>
  <si>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</si>
  <si>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</si>
  <si>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</si>
  <si>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</si>
  <si>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</si>
  <si>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</si>
  <si>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</si>
  <si>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</si>
  <si>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</si>
  <si>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</si>
  <si>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</si>
  <si>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</si>
  <si>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</si>
  <si>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</si>
  <si>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</si>
  <si>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</si>
  <si>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</si>
  <si>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</si>
  <si>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</si>
  <si>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</si>
  <si>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</si>
  <si>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</si>
  <si>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</si>
  <si>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</si>
  <si>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</si>
  <si>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</si>
  <si>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</si>
  <si>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</si>
  <si>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</si>
  <si>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</si>
  <si>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</si>
  <si>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</si>
  <si>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</si>
  <si>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</si>
  <si>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</si>
  <si>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</si>
  <si>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</si>
  <si>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</si>
  <si>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</si>
  <si>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</si>
  <si>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</si>
  <si>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</si>
  <si>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</si>
  <si>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</si>
  <si>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</si>
  <si>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</si>
  <si>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</si>
  <si>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</si>
  <si>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</si>
  <si>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</si>
  <si>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</si>
  <si>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</si>
  <si>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</si>
  <si>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</si>
  <si>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</si>
  <si>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</si>
  <si>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</si>
  <si>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</si>
  <si>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</si>
  <si>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</si>
  <si>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</si>
  <si>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</si>
  <si>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</si>
  <si>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</si>
  <si>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</si>
  <si>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</si>
  <si>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</si>
  <si>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</si>
  <si>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</si>
  <si>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</si>
  <si>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</si>
  <si>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</si>
  <si>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</si>
  <si>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</si>
  <si>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</si>
  <si>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</si>
  <si>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</si>
  <si>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</si>
  <si>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</si>
  <si>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</si>
  <si>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</si>
  <si>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</si>
  <si>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</si>
  <si>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</si>
  <si>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</si>
  <si>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</si>
  <si>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</si>
  <si>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</si>
  <si>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</si>
  <si>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</si>
  <si>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</si>
  <si>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</si>
  <si>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</si>
  <si>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</si>
  <si>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</si>
  <si>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</si>
  <si>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</si>
  <si>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</si>
  <si>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</si>
  <si>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</si>
  <si>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</si>
  <si>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</si>
  <si>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</si>
  <si>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</si>
  <si>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</si>
  <si>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</si>
  <si>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</si>
  <si>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</si>
  <si>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</si>
  <si>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</si>
  <si>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</si>
  <si>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</si>
  <si>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</si>
  <si>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</si>
  <si>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</si>
  <si>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</si>
  <si>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</si>
  <si>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</si>
  <si>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</si>
  <si>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</si>
  <si>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</si>
  <si>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</si>
  <si>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</si>
  <si>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</si>
  <si>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</si>
  <si>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</si>
  <si>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</si>
  <si>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</si>
  <si>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</si>
  <si>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</si>
  <si>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</si>
  <si>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</si>
  <si>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</si>
  <si>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</si>
  <si>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</si>
  <si>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</si>
  <si>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</si>
  <si>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</si>
  <si>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</si>
  <si>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</si>
  <si>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</si>
  <si>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</si>
  <si>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</si>
  <si>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</si>
  <si>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</si>
  <si>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</si>
  <si>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</si>
  <si>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</si>
  <si>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</si>
  <si>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</si>
  <si>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</si>
  <si>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</si>
  <si>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</si>
  <si>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</si>
  <si>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</si>
  <si>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</si>
  <si>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</si>
  <si>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</si>
  <si>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</si>
  <si>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</si>
  <si>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</si>
  <si>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</si>
  <si>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</si>
  <si>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</si>
  <si>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</si>
  <si>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</si>
  <si>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</si>
  <si>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</si>
  <si>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</si>
  <si>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</si>
  <si>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</si>
  <si>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</si>
  <si>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</si>
  <si>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</si>
  <si>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</si>
  <si>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</si>
  <si>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</si>
  <si>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</si>
  <si>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</si>
  <si>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</si>
  <si>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</si>
  <si>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</si>
  <si>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</si>
  <si>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</si>
  <si>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</si>
  <si>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</si>
  <si>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</si>
  <si>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</si>
  <si>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</si>
  <si>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</si>
  <si>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</si>
  <si>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</si>
  <si>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</si>
  <si>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</si>
  <si>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</si>
  <si>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</si>
  <si>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</si>
  <si>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</si>
  <si>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</si>
  <si>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</si>
  <si>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</si>
  <si>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</si>
  <si>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</si>
  <si>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</si>
  <si>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</si>
  <si>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</si>
  <si>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</si>
  <si>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</si>
  <si>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</si>
  <si>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</si>
  <si>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</si>
  <si>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</si>
  <si>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</si>
  <si>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</si>
  <si>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</si>
  <si>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</si>
  <si>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</si>
  <si>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</si>
  <si>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</si>
  <si>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</si>
  <si>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</si>
  <si>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</si>
  <si>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</si>
  <si>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</si>
  <si>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</si>
  <si>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</si>
  <si>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</si>
  <si>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</si>
  <si>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</si>
  <si>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</si>
  <si>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</si>
  <si>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</si>
  <si>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</si>
  <si>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</si>
  <si>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</si>
  <si>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</si>
  <si>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</si>
  <si>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</si>
  <si>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</si>
  <si>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</si>
  <si>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</si>
  <si>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</si>
  <si>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</si>
  <si>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</si>
  <si>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</si>
  <si>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</si>
  <si>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</si>
  <si>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</si>
  <si>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</si>
  <si>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</si>
  <si>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</si>
  <si>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</si>
  <si>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</si>
  <si>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</si>
  <si>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</si>
  <si>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</si>
  <si>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</si>
  <si>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</si>
  <si>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</si>
  <si>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</si>
  <si>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</si>
  <si>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</si>
  <si>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</si>
  <si>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</si>
  <si>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</si>
  <si>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</si>
  <si>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</si>
  <si>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</si>
  <si>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</si>
  <si>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</si>
  <si>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</si>
  <si>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</si>
  <si>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</si>
  <si>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</si>
  <si>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</si>
  <si>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</si>
  <si>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</si>
  <si>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</si>
  <si>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</si>
  <si>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</si>
  <si>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</si>
  <si>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</si>
  <si>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</si>
  <si>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</si>
  <si>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</si>
  <si>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</si>
  <si>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</si>
  <si>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</si>
  <si>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</si>
  <si>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</si>
  <si>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</si>
  <si>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</si>
  <si>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</si>
  <si>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</si>
  <si>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</si>
  <si>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</si>
  <si>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</si>
  <si>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</si>
  <si>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</si>
  <si>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</si>
  <si>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</si>
  <si>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</si>
  <si>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</si>
  <si>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</si>
  <si>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</si>
  <si>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</si>
  <si>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</si>
  <si>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</si>
  <si>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</si>
  <si>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</si>
  <si>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</si>
  <si>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</si>
  <si>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</si>
  <si>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</si>
  <si>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</si>
  <si>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</si>
  <si>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</si>
  <si>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</si>
  <si>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</si>
  <si>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</si>
  <si>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</si>
  <si>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</si>
  <si>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</si>
  <si>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</si>
  <si>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</si>
  <si>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</si>
  <si>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</si>
  <si>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</si>
  <si>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</si>
  <si>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</si>
  <si>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</si>
  <si>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</si>
  <si>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</si>
  <si>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</si>
  <si>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</si>
  <si>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</si>
  <si>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</si>
  <si>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</si>
  <si>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</si>
  <si>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</si>
  <si>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</si>
  <si>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</si>
  <si>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</si>
  <si>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</si>
  <si>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</si>
  <si>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</si>
  <si>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</si>
  <si>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</si>
  <si>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</si>
  <si>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</si>
  <si>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</si>
  <si>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</si>
  <si>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</si>
  <si>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</si>
  <si>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</si>
  <si>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</si>
  <si>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</si>
  <si>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</si>
  <si>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</si>
  <si>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</si>
  <si>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</si>
  <si>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</si>
  <si>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</si>
  <si>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</si>
  <si>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</si>
  <si>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</si>
  <si>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</si>
  <si>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</si>
  <si>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</si>
  <si>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</si>
  <si>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</si>
  <si>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</si>
  <si>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</si>
  <si>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</si>
  <si>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</si>
  <si>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</si>
  <si>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</si>
  <si>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</si>
  <si>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</si>
  <si>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</si>
  <si>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</si>
  <si>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</si>
  <si>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</si>
  <si>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</si>
  <si>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</si>
  <si>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</si>
  <si>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</si>
  <si>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</si>
  <si>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</si>
  <si>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</si>
  <si>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</si>
  <si>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</si>
  <si>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</si>
  <si>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</si>
  <si>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</si>
  <si>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</si>
  <si>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</si>
  <si>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</si>
  <si>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</si>
  <si>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</si>
  <si>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</si>
  <si>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</si>
  <si>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</si>
  <si>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</si>
  <si>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</si>
  <si>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</si>
  <si>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</si>
  <si>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</si>
  <si>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</si>
  <si>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</si>
  <si>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</si>
  <si>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</si>
  <si>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</si>
  <si>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</si>
  <si>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</si>
  <si>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</si>
  <si>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</si>
  <si>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</si>
  <si>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</si>
  <si>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</si>
  <si>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</si>
  <si>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</si>
  <si>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</si>
  <si>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</si>
  <si>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</si>
  <si>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</si>
  <si>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</si>
  <si>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</si>
  <si>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</si>
  <si>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</si>
  <si>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</si>
  <si>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</si>
  <si>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</si>
  <si>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</si>
  <si>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</si>
  <si>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</si>
  <si>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</si>
  <si>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</si>
  <si>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</si>
  <si>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</si>
  <si>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</si>
  <si>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</si>
  <si>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</si>
  <si>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</si>
  <si>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</si>
  <si>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</si>
  <si>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</si>
  <si>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</si>
  <si>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</si>
  <si>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</si>
  <si>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</si>
  <si>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</si>
  <si>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</si>
  <si>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</si>
  <si>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</si>
  <si>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</si>
  <si>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</si>
  <si>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</si>
  <si>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</si>
  <si>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</si>
  <si>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</si>
  <si>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</si>
  <si>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</si>
  <si>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</si>
  <si>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</si>
  <si>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</si>
  <si>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</si>
  <si>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</si>
  <si>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</si>
  <si>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</si>
  <si>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</si>
  <si>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</si>
  <si>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</si>
  <si>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</si>
  <si>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</si>
  <si>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</si>
  <si>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</si>
  <si>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</si>
  <si>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</si>
  <si>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</si>
  <si>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</si>
  <si>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</si>
  <si>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</si>
  <si>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</si>
  <si>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</si>
  <si>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</si>
  <si>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</si>
  <si>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</si>
  <si>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</si>
  <si>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</si>
  <si>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</si>
  <si>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</si>
  <si>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</si>
  <si>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</si>
  <si>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</si>
  <si>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</si>
  <si>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</si>
  <si>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</si>
  <si>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</si>
  <si>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</si>
  <si>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</si>
  <si>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</si>
  <si>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</si>
  <si>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</si>
  <si>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</si>
  <si>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</si>
  <si>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</si>
  <si>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</si>
  <si>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</si>
  <si>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</si>
  <si>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</si>
  <si>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</si>
  <si>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</si>
  <si>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</si>
  <si>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</si>
  <si>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</si>
  <si>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</si>
  <si>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</si>
  <si>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</si>
  <si>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</si>
  <si>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</si>
  <si>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</si>
  <si>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</si>
  <si>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</si>
  <si>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</si>
  <si>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</si>
  <si>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</si>
  <si>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</si>
  <si>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</si>
  <si>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</si>
  <si>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</si>
  <si>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</si>
  <si>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</si>
  <si>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</si>
  <si>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</si>
  <si>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</si>
  <si>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</si>
  <si>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</si>
  <si>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</si>
  <si>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</si>
  <si>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</si>
  <si>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</si>
  <si>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</si>
  <si>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</si>
  <si>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</si>
  <si>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</si>
  <si>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</si>
  <si>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</si>
  <si>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</si>
  <si>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</si>
  <si>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</si>
  <si>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</si>
  <si>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</si>
  <si>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</si>
  <si>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</si>
  <si>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</si>
  <si>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</si>
  <si>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</si>
  <si>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</si>
  <si>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</si>
  <si>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</si>
  <si>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</si>
  <si>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</si>
  <si>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</si>
  <si>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</si>
  <si>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</si>
  <si>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</si>
  <si>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</si>
  <si>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</si>
  <si>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</si>
  <si>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</si>
  <si>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</si>
  <si>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</si>
  <si>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</si>
  <si>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</si>
  <si>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</si>
  <si>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</si>
  <si>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</si>
  <si>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</si>
  <si>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</si>
  <si>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</si>
  <si>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</si>
  <si>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</si>
  <si>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</si>
  <si>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</si>
  <si>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</si>
  <si>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</si>
  <si>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</si>
  <si>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</si>
  <si>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</si>
  <si>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</si>
  <si>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</si>
  <si>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</si>
  <si>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</si>
  <si>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</si>
  <si>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</si>
  <si>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</si>
  <si>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</si>
  <si>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</si>
  <si>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</si>
  <si>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</si>
  <si>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</si>
  <si>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</si>
  <si>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</si>
  <si>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</si>
  <si>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</si>
  <si>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</si>
  <si>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</si>
  <si>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</si>
  <si>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</si>
  <si>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</si>
  <si>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</si>
  <si>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</si>
  <si>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</si>
  <si>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</si>
  <si>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</si>
  <si>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</si>
  <si>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</si>
  <si>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</si>
  <si>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</si>
  <si>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</si>
  <si>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</si>
  <si>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</si>
  <si>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</si>
  <si>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</si>
  <si>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</si>
  <si>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</si>
  <si>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</si>
  <si>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</si>
  <si>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</si>
  <si>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</si>
  <si>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</si>
  <si>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</si>
  <si>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</si>
  <si>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</si>
  <si>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</si>
  <si>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</si>
  <si>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</si>
  <si>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</si>
  <si>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</si>
  <si>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</si>
  <si>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</si>
  <si>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</si>
  <si>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</si>
  <si>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</si>
  <si>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</si>
  <si>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</si>
  <si>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</si>
  <si>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</si>
  <si>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</si>
  <si>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</si>
  <si>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</si>
  <si>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</si>
  <si>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</si>
  <si>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</si>
  <si>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</si>
  <si>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</si>
  <si>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</si>
  <si>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</si>
  <si>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</si>
  <si>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</si>
  <si>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</si>
  <si>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</si>
  <si>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</si>
  <si>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</si>
  <si>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</si>
  <si>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</si>
  <si>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</si>
  <si>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</si>
  <si>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</si>
  <si>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</si>
  <si>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</si>
  <si>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</si>
  <si>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</si>
  <si>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</si>
  <si>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</si>
  <si>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</si>
  <si>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</si>
  <si>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</si>
  <si>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</si>
  <si>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</si>
  <si>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</si>
  <si>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</si>
  <si>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</si>
  <si>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</si>
  <si>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</si>
  <si>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</si>
  <si>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</si>
  <si>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</si>
  <si>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</si>
  <si>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</si>
  <si>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</si>
  <si>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</si>
  <si>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</si>
  <si>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</si>
  <si>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</si>
  <si>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</si>
  <si>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</si>
  <si>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</si>
  <si>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</si>
  <si>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</si>
  <si>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</si>
  <si>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</si>
  <si>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</si>
  <si>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</si>
  <si>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</si>
  <si>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</si>
  <si>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</si>
  <si>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</si>
  <si>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</si>
  <si>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</si>
  <si>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</si>
  <si>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</si>
  <si>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</si>
  <si>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</si>
  <si>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</si>
  <si>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</si>
  <si>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</si>
  <si>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</si>
  <si>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</si>
  <si>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</si>
  <si>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</si>
  <si>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</si>
  <si>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</si>
  <si>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</si>
  <si>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</si>
  <si>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</si>
  <si>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</si>
  <si>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</si>
  <si>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</si>
  <si>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</si>
  <si>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</si>
  <si>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</si>
  <si>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</si>
  <si>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</si>
  <si>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</si>
  <si>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</si>
  <si>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</si>
  <si>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</si>
  <si>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</si>
  <si>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</si>
  <si>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</si>
  <si>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</si>
  <si>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</si>
  <si>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</si>
  <si>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</si>
  <si>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</si>
  <si>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</si>
  <si>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</si>
  <si>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</si>
  <si>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</si>
  <si>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</si>
  <si>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</si>
  <si>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</si>
  <si>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</si>
  <si>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</si>
  <si>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</si>
  <si>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</si>
  <si>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</si>
  <si>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</si>
  <si>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</si>
  <si>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</si>
  <si>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</si>
  <si>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</si>
  <si>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</si>
  <si>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</si>
  <si>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</si>
  <si>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</si>
  <si>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</si>
  <si>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</si>
  <si>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</si>
  <si>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</si>
  <si>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</si>
  <si>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</si>
  <si>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</si>
  <si>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</si>
  <si>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</si>
  <si>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</si>
  <si>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</si>
  <si>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</si>
  <si>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</si>
  <si>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</si>
  <si>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</si>
  <si>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</si>
  <si>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</si>
  <si>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</si>
  <si>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</si>
  <si>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</si>
  <si>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</si>
  <si>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</si>
  <si>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</si>
  <si>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</si>
  <si>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</si>
  <si>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</si>
  <si>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</si>
  <si>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</si>
  <si>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</si>
  <si>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</si>
  <si>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</si>
  <si>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</si>
  <si>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</si>
  <si>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</si>
  <si>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</si>
  <si>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</si>
  <si>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</si>
  <si>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</si>
  <si>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</si>
  <si>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</si>
  <si>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</si>
  <si>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</si>
  <si>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</si>
  <si>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</si>
  <si>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</si>
  <si>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</si>
  <si>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</si>
  <si>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</si>
  <si>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</si>
  <si>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</si>
  <si>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</si>
  <si>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</si>
  <si>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</si>
  <si>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</si>
  <si>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</si>
  <si>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</si>
  <si>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</si>
  <si>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</si>
  <si>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</si>
  <si>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</si>
  <si>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</si>
  <si>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</si>
  <si>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</si>
  <si>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</si>
  <si>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</si>
  <si>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</si>
  <si>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</si>
  <si>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</si>
  <si>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</si>
  <si>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</si>
  <si>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</si>
  <si>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</si>
  <si>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</si>
  <si>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</si>
  <si>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</si>
  <si>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</si>
  <si>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</si>
  <si>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</si>
  <si>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</si>
  <si>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</si>
  <si>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</si>
  <si>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</si>
  <si>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</si>
  <si>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</si>
  <si>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</si>
  <si>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</si>
  <si>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</si>
  <si>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</si>
  <si>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</si>
  <si>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</si>
  <si>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</si>
  <si>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</si>
  <si>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</si>
  <si>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</si>
  <si>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</si>
  <si>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</si>
  <si>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</si>
  <si>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</si>
  <si>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</si>
  <si>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</si>
  <si>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</si>
  <si>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</si>
  <si>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</si>
  <si>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</si>
  <si>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</si>
  <si>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</si>
  <si>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</si>
  <si>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</si>
  <si>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</si>
  <si>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</si>
  <si>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</si>
  <si>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</si>
  <si>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</si>
  <si>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</si>
  <si>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</si>
  <si>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</si>
  <si>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</si>
  <si>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</si>
  <si>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</si>
  <si>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</si>
  <si>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</si>
  <si>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</si>
  <si>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</si>
  <si>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</si>
  <si>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</si>
  <si>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</si>
  <si>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</si>
  <si>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</si>
  <si>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</si>
  <si>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</si>
  <si>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</si>
  <si>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</si>
  <si>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</si>
  <si>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</si>
  <si>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</si>
  <si>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</si>
  <si>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</si>
  <si>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</si>
  <si>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</si>
  <si>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</si>
  <si>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</si>
  <si>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</si>
  <si>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</si>
  <si>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</si>
  <si>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</si>
  <si>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</si>
  <si>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</si>
  <si>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</si>
  <si>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</si>
  <si>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</si>
  <si>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</si>
  <si>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</si>
  <si>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</si>
  <si>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</si>
  <si>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</si>
  <si>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</si>
  <si>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</si>
  <si>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</si>
  <si>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</si>
  <si>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</si>
  <si>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</si>
  <si>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</si>
  <si>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</si>
  <si>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</si>
  <si>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</si>
  <si>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</si>
  <si>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</si>
  <si>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</si>
  <si>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</si>
  <si>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</si>
  <si>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</si>
  <si>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</si>
  <si>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</si>
  <si>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</si>
  <si>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</si>
  <si>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</si>
  <si>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</si>
  <si>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</si>
  <si>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</si>
  <si>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</si>
  <si>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</si>
  <si>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</si>
  <si>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</si>
  <si>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</si>
  <si>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</si>
  <si>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</si>
  <si>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</si>
  <si>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</si>
  <si>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</si>
  <si>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</si>
  <si>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</si>
  <si>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</si>
  <si>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</si>
  <si>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</si>
  <si>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</si>
  <si>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</si>
  <si>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</si>
  <si>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</si>
  <si>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</si>
  <si>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</si>
  <si>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</si>
  <si>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</si>
  <si>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</si>
  <si>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</si>
  <si>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</si>
  <si>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</si>
  <si>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</si>
  <si>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</si>
  <si>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</si>
  <si>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</si>
  <si>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</si>
  <si>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</si>
  <si>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</si>
  <si>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</si>
  <si>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</si>
  <si>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</si>
  <si>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</si>
  <si>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</si>
  <si>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</si>
  <si>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</si>
  <si>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</si>
  <si>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</si>
  <si>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</si>
  <si>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</si>
  <si>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</si>
  <si>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</si>
  <si>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</si>
  <si>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</si>
  <si>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</si>
  <si>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</si>
  <si>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</si>
  <si>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</si>
  <si>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</si>
  <si>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</si>
  <si>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</si>
  <si>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</si>
  <si>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</si>
  <si>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</si>
  <si>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</si>
  <si>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</si>
  <si>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</si>
  <si>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</si>
  <si>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</si>
  <si>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</si>
  <si>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</si>
  <si>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</si>
  <si>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</si>
  <si>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</si>
  <si>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</si>
  <si>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</si>
  <si>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</si>
  <si>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</si>
  <si>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</si>
  <si>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</si>
  <si>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</si>
  <si>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</si>
  <si>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</si>
  <si>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</si>
  <si>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</si>
  <si>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</si>
  <si>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</si>
  <si>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</si>
  <si>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</si>
  <si>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</si>
  <si>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</si>
  <si>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</si>
  <si>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</si>
  <si>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</si>
  <si>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</si>
  <si>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</si>
  <si>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</si>
  <si>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</si>
  <si>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</si>
  <si>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</si>
  <si>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</si>
  <si>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</si>
  <si>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</si>
  <si>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</si>
  <si>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</si>
  <si>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</si>
  <si>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</si>
  <si>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</si>
  <si>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</si>
  <si>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</si>
  <si>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</si>
  <si>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</si>
  <si>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</si>
  <si>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</si>
  <si>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</si>
  <si>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</si>
  <si>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</si>
  <si>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</si>
  <si>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</si>
  <si>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</si>
  <si>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</si>
  <si>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</si>
  <si>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</si>
  <si>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</si>
  <si>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</si>
  <si>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</si>
  <si>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</si>
  <si>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</si>
  <si>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</si>
  <si>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</si>
  <si>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</si>
  <si>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</si>
  <si>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</si>
  <si>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</si>
  <si>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</si>
  <si>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</si>
  <si>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</si>
  <si>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</si>
  <si>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</si>
  <si>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</si>
  <si>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</si>
  <si>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</si>
  <si>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</si>
  <si>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</si>
  <si>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</si>
  <si>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</si>
  <si>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</si>
  <si>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</si>
  <si>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</si>
  <si>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</si>
  <si>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</si>
  <si>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</si>
  <si>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</si>
  <si>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</si>
  <si>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</si>
  <si>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</si>
  <si>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</si>
  <si>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</si>
  <si>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</si>
  <si>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</si>
  <si>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</si>
  <si>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</si>
  <si>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</si>
  <si>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</si>
  <si>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</si>
  <si>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</si>
  <si>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</si>
  <si>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</si>
  <si>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</si>
  <si>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</si>
  <si>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</si>
  <si>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</si>
  <si>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</si>
  <si>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</si>
  <si>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</si>
  <si>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</si>
  <si>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</si>
  <si>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</si>
  <si>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</si>
  <si>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</si>
  <si>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</si>
  <si>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</si>
  <si>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</si>
  <si>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</si>
  <si>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</si>
  <si>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</si>
  <si>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</si>
  <si>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</si>
  <si>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</si>
  <si>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</si>
  <si>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</si>
  <si>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</si>
  <si>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</si>
  <si>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</si>
  <si>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</si>
  <si>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</si>
  <si>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</si>
  <si>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</si>
  <si>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</si>
  <si>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</si>
  <si>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</si>
  <si>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</si>
  <si>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</si>
  <si>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</si>
  <si>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</si>
  <si>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</si>
  <si>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</si>
  <si>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</si>
  <si>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</si>
  <si>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</si>
  <si>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</si>
  <si>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</si>
  <si>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</si>
  <si>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</si>
  <si>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</si>
  <si>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</si>
  <si>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</si>
  <si>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</si>
  <si>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</si>
  <si>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</si>
  <si>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</si>
  <si>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</si>
  <si>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</si>
  <si>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</si>
  <si>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</si>
  <si>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</si>
  <si>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</si>
  <si>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</si>
  <si>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</si>
  <si>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</si>
  <si>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</si>
  <si>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</si>
  <si>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</si>
  <si>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</si>
  <si>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</si>
  <si>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</si>
  <si>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</si>
  <si>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</si>
  <si>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</si>
  <si>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</si>
  <si>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</si>
  <si>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</si>
  <si>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</si>
  <si>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</si>
  <si>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</si>
  <si>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</si>
  <si>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</si>
  <si>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</si>
  <si>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</si>
  <si>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</si>
  <si>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</si>
  <si>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</si>
  <si>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</si>
  <si>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</si>
  <si>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</si>
  <si>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</si>
  <si>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</si>
  <si>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</si>
  <si>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</si>
  <si>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</si>
  <si>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</si>
  <si>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</si>
  <si>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</si>
  <si>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</si>
  <si>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</si>
  <si>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</si>
  <si>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</si>
  <si>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</si>
  <si>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</si>
  <si>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</si>
  <si>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</si>
  <si>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</si>
  <si>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</si>
  <si>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</si>
  <si>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</si>
  <si>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</si>
  <si>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</si>
  <si>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</si>
  <si>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</si>
  <si>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</si>
  <si>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</si>
  <si>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</si>
  <si>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</si>
  <si>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</si>
  <si>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</si>
  <si>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</si>
  <si>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</si>
  <si>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</si>
  <si>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</si>
  <si>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</si>
  <si>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</si>
  <si>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</si>
  <si>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</si>
  <si>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</si>
  <si>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</si>
  <si>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</si>
  <si>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</si>
  <si>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</si>
  <si>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</si>
  <si>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</si>
  <si>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</si>
  <si>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</si>
  <si>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</si>
  <si>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</si>
  <si>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</si>
  <si>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</si>
  <si>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</si>
  <si>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</si>
  <si>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</si>
  <si>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</si>
  <si>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</si>
  <si>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</si>
  <si>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</si>
  <si>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</si>
  <si>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</si>
  <si>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</si>
  <si>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</si>
  <si>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</si>
  <si>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</si>
  <si>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</si>
  <si>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</si>
  <si>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</si>
  <si>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</si>
  <si>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</si>
  <si>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</si>
  <si>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</si>
  <si>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</si>
  <si>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</si>
  <si>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</si>
  <si>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</si>
  <si>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</si>
  <si>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</si>
  <si>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</si>
  <si>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</si>
  <si>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</si>
  <si>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</si>
  <si>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</si>
  <si>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</si>
  <si>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</si>
  <si>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</si>
  <si>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</si>
  <si>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</si>
  <si>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</si>
  <si>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</si>
  <si>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</si>
  <si>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</si>
  <si>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</si>
  <si>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</si>
  <si>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</si>
  <si>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</si>
  <si>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</si>
  <si>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</si>
  <si>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</si>
  <si>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</si>
  <si>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</si>
  <si>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</si>
  <si>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</si>
  <si>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</si>
  <si>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</si>
  <si>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</si>
  <si>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</si>
  <si>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</si>
  <si>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</si>
  <si>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</si>
  <si>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</si>
  <si>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</si>
  <si>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</si>
  <si>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</si>
  <si>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</si>
  <si>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</si>
  <si>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</si>
  <si>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</si>
  <si>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</si>
  <si>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</si>
  <si>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</si>
  <si>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</si>
  <si>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</si>
  <si>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</si>
  <si>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</si>
  <si>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</si>
  <si>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</si>
  <si>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</si>
  <si>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</si>
  <si>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</si>
  <si>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</si>
  <si>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</si>
  <si>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</si>
  <si>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</si>
  <si>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</si>
  <si>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</si>
  <si>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</si>
  <si>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</si>
  <si>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</si>
  <si>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</si>
  <si>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</si>
  <si>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</si>
  <si>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</si>
  <si>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</si>
  <si>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</si>
  <si>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</si>
  <si>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</si>
  <si>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</si>
  <si>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</si>
  <si>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</si>
  <si>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</si>
  <si>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</si>
  <si>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</si>
  <si>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</si>
  <si>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</si>
  <si>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</si>
  <si>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</si>
  <si>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</si>
  <si>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</si>
  <si>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</si>
  <si>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</si>
  <si>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</si>
  <si>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</si>
  <si>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</si>
  <si>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</si>
  <si>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</si>
  <si>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</si>
  <si>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</si>
  <si>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</si>
  <si>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</si>
  <si>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</si>
  <si>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</si>
  <si>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</si>
  <si>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</si>
  <si>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</si>
  <si>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</si>
  <si>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</si>
  <si>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</si>
  <si>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</si>
  <si>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</si>
  <si>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</si>
  <si>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</si>
  <si>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</si>
  <si>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</si>
  <si>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</si>
  <si>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</si>
  <si>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</si>
  <si>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</si>
  <si>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</si>
  <si>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</si>
  <si>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</si>
  <si>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</si>
  <si>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</si>
  <si>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</si>
  <si>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</si>
  <si>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</si>
  <si>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</si>
  <si>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</si>
  <si>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</si>
  <si>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</si>
  <si>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</si>
  <si>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</si>
  <si>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</si>
  <si>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</si>
  <si>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</si>
  <si>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</si>
  <si>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</si>
  <si>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</si>
  <si>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</si>
  <si>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</si>
  <si>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</si>
  <si>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</si>
  <si>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</si>
  <si>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</si>
  <si>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</si>
  <si>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</si>
  <si>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</si>
  <si>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</si>
  <si>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</si>
  <si>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</si>
  <si>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</si>
  <si>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</si>
  <si>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</si>
  <si>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</si>
  <si>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</si>
  <si>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</si>
  <si>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</si>
  <si>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</si>
  <si>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</si>
  <si>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</si>
  <si>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</si>
  <si>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</si>
  <si>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</si>
  <si>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</si>
  <si>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</si>
  <si>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</si>
  <si>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</si>
  <si>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</si>
  <si>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</si>
  <si>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</si>
  <si>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</si>
  <si>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</si>
  <si>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</si>
  <si>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</si>
  <si>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</si>
  <si>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</si>
  <si>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</si>
  <si>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</si>
  <si>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</si>
  <si>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</si>
  <si>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</si>
  <si>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</si>
  <si>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</si>
  <si>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</si>
  <si>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</si>
  <si>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</si>
  <si>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</si>
  <si>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</si>
  <si>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</si>
  <si>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</si>
  <si>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</si>
  <si>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</si>
  <si>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</si>
  <si>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</si>
  <si>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</si>
  <si>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</si>
  <si>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</si>
  <si>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</si>
  <si>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</si>
  <si>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</si>
  <si>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</si>
  <si>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</si>
  <si>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</si>
  <si>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</si>
  <si>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</si>
  <si>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</si>
  <si>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</si>
  <si>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</si>
  <si>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</si>
  <si>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</si>
  <si>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</si>
  <si>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</si>
  <si>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</si>
  <si>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</si>
  <si>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</si>
  <si>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</si>
  <si>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</si>
  <si>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</si>
  <si>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</si>
  <si>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</si>
  <si>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</si>
  <si>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</si>
  <si>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</si>
  <si>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</si>
  <si>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</si>
  <si>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</si>
  <si>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</si>
  <si>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</si>
  <si>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</si>
  <si>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</si>
  <si>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</si>
  <si>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</si>
  <si>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</si>
  <si>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</si>
  <si>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</si>
  <si>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</si>
  <si>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</si>
  <si>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</si>
  <si>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</si>
  <si>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</si>
  <si>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</si>
  <si>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</si>
  <si>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</si>
  <si>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</si>
  <si>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</si>
  <si>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</si>
  <si>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</si>
  <si>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</si>
  <si>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</si>
  <si>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</si>
  <si>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</si>
  <si>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</si>
  <si>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</si>
  <si>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</si>
  <si>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</si>
  <si>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</si>
  <si>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</si>
  <si>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</si>
  <si>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</si>
  <si>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</si>
  <si>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</si>
  <si>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</si>
  <si>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</si>
  <si>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</si>
  <si>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</si>
  <si>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</si>
  <si>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</si>
  <si>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</si>
  <si>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</si>
  <si>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</si>
  <si>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</si>
  <si>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</si>
  <si>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</si>
  <si>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</si>
  <si>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</si>
  <si>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</si>
  <si>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</si>
  <si>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</si>
  <si>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</si>
  <si>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</si>
  <si>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</si>
  <si>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</si>
  <si>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</si>
  <si>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</si>
  <si>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</si>
  <si>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</si>
  <si>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</si>
  <si>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</si>
  <si>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</si>
  <si>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</si>
  <si>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</si>
  <si>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</si>
  <si>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</si>
  <si>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</si>
  <si>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</si>
  <si>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</si>
  <si>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</si>
  <si>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</si>
  <si>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</si>
  <si>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</si>
  <si>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</si>
  <si>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</si>
  <si>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</si>
  <si>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</si>
  <si>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</si>
  <si>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</si>
  <si>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</si>
  <si>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</si>
  <si>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</si>
  <si>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</si>
  <si>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</si>
  <si>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</si>
  <si>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</si>
  <si>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</si>
  <si>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</si>
  <si>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</si>
  <si>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</si>
  <si>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</si>
  <si>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</si>
  <si>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</si>
  <si>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</si>
  <si>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</si>
  <si>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</si>
  <si>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</si>
  <si>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</si>
  <si>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</si>
  <si>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</si>
  <si>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</si>
  <si>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</si>
  <si>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</si>
  <si>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</si>
  <si>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</si>
  <si>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</si>
  <si>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</si>
  <si>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</si>
  <si>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</si>
  <si>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</si>
  <si>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</si>
  <si>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</si>
  <si>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</si>
  <si>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</si>
  <si>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</si>
  <si>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</si>
  <si>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</si>
  <si>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</si>
  <si>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</si>
  <si>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</si>
  <si>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</si>
  <si>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</si>
  <si>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</si>
  <si>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</si>
  <si>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</si>
  <si>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</si>
  <si>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</si>
  <si>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</si>
  <si>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</si>
  <si>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</si>
  <si>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</si>
  <si>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</si>
  <si>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</si>
  <si>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</si>
  <si>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</si>
  <si>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</si>
  <si>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</si>
  <si>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</si>
  <si>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</si>
  <si>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</si>
  <si>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</si>
  <si>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</si>
  <si>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</si>
  <si>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</si>
  <si>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</si>
  <si>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</si>
  <si>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</si>
  <si>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</si>
  <si>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</si>
  <si>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</si>
  <si>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</si>
  <si>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</si>
  <si>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</si>
  <si>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</si>
  <si>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</si>
  <si>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</si>
  <si>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</si>
  <si>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</si>
  <si>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</si>
  <si>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</si>
  <si>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</si>
  <si>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</si>
  <si>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</si>
  <si>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</si>
  <si>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</si>
  <si>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</si>
  <si>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</si>
  <si>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</si>
  <si>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</si>
  <si>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</si>
  <si>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</si>
  <si>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</si>
  <si>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</si>
  <si>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</si>
  <si>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</si>
  <si>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</si>
  <si>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</si>
  <si>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</si>
  <si>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</si>
  <si>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</si>
  <si>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</si>
  <si>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</si>
  <si>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</si>
  <si>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</si>
  <si>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</si>
  <si>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</si>
  <si>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</si>
  <si>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</si>
  <si>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</si>
  <si>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</si>
  <si>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</si>
  <si>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</si>
  <si>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</si>
  <si>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</si>
  <si>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</si>
  <si>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</si>
  <si>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</si>
  <si>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</si>
  <si>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</si>
  <si>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</si>
  <si>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</si>
  <si>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</si>
  <si>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</si>
  <si>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</si>
  <si>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</si>
  <si>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</si>
  <si>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</si>
  <si>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</si>
  <si>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</si>
  <si>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</si>
  <si>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</si>
  <si>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</si>
  <si>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</si>
  <si>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</si>
  <si>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</si>
  <si>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</si>
  <si>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</si>
  <si>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</si>
  <si>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</si>
  <si>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</si>
  <si>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</si>
  <si>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</si>
  <si>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</si>
  <si>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</si>
  <si>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</si>
  <si>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</si>
  <si>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</si>
  <si>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</si>
  <si>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</si>
  <si>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</si>
  <si>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</si>
  <si>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</si>
  <si>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</si>
  <si>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</si>
  <si>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</si>
  <si>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</si>
  <si>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</si>
  <si>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</si>
  <si>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</si>
  <si>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</si>
  <si>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</si>
  <si>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</si>
  <si>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</si>
  <si>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</si>
  <si>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</si>
  <si>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</si>
  <si>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</si>
  <si>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</si>
  <si>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</si>
  <si>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</si>
  <si>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</si>
  <si>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</si>
  <si>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</si>
  <si>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</si>
  <si>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</si>
  <si>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</si>
  <si>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</si>
  <si>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</si>
  <si>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</si>
  <si>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</si>
  <si>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</si>
  <si>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</si>
  <si>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</si>
  <si>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</si>
  <si>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</si>
  <si>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</si>
  <si>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</si>
  <si>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</si>
  <si>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</si>
  <si>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</si>
  <si>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</si>
  <si>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</si>
  <si>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</si>
  <si>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</si>
  <si>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</si>
  <si>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</si>
  <si>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</si>
  <si>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</si>
  <si>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</si>
  <si>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</si>
  <si>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</si>
  <si>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</si>
  <si>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</si>
  <si>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</si>
  <si>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</si>
  <si>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</si>
  <si>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</si>
  <si>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</si>
  <si>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</si>
  <si>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</si>
  <si>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</si>
  <si>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</si>
  <si>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</si>
  <si>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</si>
  <si>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</si>
  <si>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</si>
  <si>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</si>
  <si>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</si>
  <si>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</si>
  <si>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</si>
  <si>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</si>
  <si>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</si>
  <si>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</si>
  <si>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</si>
  <si>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</si>
  <si>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</si>
  <si>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</si>
  <si>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</si>
  <si>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</si>
  <si>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</si>
  <si>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</si>
  <si>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</si>
  <si>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</si>
  <si>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</si>
  <si>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</si>
  <si>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</si>
  <si>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</si>
  <si>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</si>
  <si>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</si>
  <si>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</si>
  <si>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</si>
  <si>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</si>
  <si>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</si>
  <si>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</si>
  <si>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</si>
  <si>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</si>
  <si>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</si>
  <si>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</si>
  <si>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</si>
  <si>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</si>
  <si>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</si>
  <si>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</si>
  <si>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</si>
  <si>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</si>
  <si>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</si>
  <si>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</si>
  <si>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</si>
  <si>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</si>
  <si>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</si>
  <si>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</si>
  <si>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</si>
  <si>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</si>
  <si>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</si>
  <si>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</si>
  <si>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</si>
  <si>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</si>
  <si>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</si>
  <si>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</si>
  <si>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</si>
  <si>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</si>
  <si>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</si>
  <si>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</si>
  <si>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</si>
  <si>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</si>
  <si>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</si>
  <si>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</si>
  <si>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</si>
  <si>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</si>
  <si>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</si>
  <si>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</si>
  <si>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</si>
  <si>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</si>
  <si>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</si>
  <si>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</si>
  <si>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</si>
  <si>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</si>
  <si>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</si>
  <si>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</si>
  <si>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</si>
  <si>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</si>
  <si>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</si>
  <si>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</si>
  <si>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</si>
  <si>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</si>
  <si>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</si>
  <si>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</si>
  <si>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</si>
  <si>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</si>
  <si>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</si>
  <si>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</si>
  <si>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</si>
  <si>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</si>
  <si>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</si>
  <si>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</si>
  <si>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</si>
  <si>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</si>
  <si>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</si>
  <si>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</si>
  <si>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</si>
  <si>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</si>
  <si>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</si>
  <si>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</si>
  <si>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</si>
  <si>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</si>
  <si>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</si>
  <si>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</si>
  <si>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</si>
  <si>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</si>
  <si>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</si>
  <si>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</si>
  <si>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</si>
  <si>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</si>
  <si>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</si>
  <si>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</si>
  <si>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</si>
  <si>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</si>
  <si>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</si>
  <si>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</si>
  <si>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</si>
  <si>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</si>
  <si>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</si>
  <si>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</si>
  <si>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</si>
  <si>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</si>
  <si>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</si>
  <si>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</si>
  <si>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</si>
  <si>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</si>
  <si>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</si>
  <si>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</si>
  <si>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</si>
  <si>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</si>
  <si>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</si>
  <si>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</si>
  <si>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</si>
  <si>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</si>
  <si>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</si>
  <si>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</si>
  <si>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</si>
  <si>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</si>
  <si>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</si>
  <si>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</si>
  <si>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</si>
  <si>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</si>
  <si>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</si>
  <si>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</si>
  <si>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</si>
  <si>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</si>
  <si>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</si>
  <si>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</si>
  <si>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</si>
  <si>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</si>
  <si>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</si>
  <si>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</si>
  <si>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</si>
  <si>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</si>
  <si>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</si>
  <si>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</si>
  <si>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</si>
  <si>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</si>
  <si>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</si>
  <si>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</si>
  <si>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</si>
  <si>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</si>
  <si>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</si>
  <si>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</si>
  <si>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</si>
  <si>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</si>
  <si>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</si>
  <si>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</si>
  <si>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</si>
  <si>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</si>
  <si>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</si>
  <si>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</si>
  <si>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</si>
  <si>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</si>
  <si>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</si>
  <si>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</si>
  <si>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</si>
  <si>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</si>
  <si>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</si>
  <si>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</si>
  <si>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</si>
  <si>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</si>
  <si>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</si>
  <si>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</si>
  <si>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</si>
  <si>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</si>
  <si>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</si>
  <si>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</si>
  <si>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</si>
  <si>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</si>
  <si>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</si>
  <si>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</si>
  <si>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</si>
  <si>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</si>
  <si>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</si>
  <si>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</si>
  <si>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</si>
  <si>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</si>
  <si>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</si>
  <si>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</si>
  <si>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</si>
  <si>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</si>
  <si>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</si>
  <si>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</si>
  <si>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</si>
  <si>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</si>
  <si>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</si>
  <si>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</si>
  <si>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</si>
  <si>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</si>
  <si>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</si>
  <si>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</si>
  <si>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</si>
  <si>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</si>
  <si>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</si>
  <si>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</si>
  <si>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</si>
  <si>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</si>
  <si>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</si>
  <si>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</si>
  <si>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</si>
  <si>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</si>
  <si>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</si>
  <si>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</si>
  <si>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</si>
  <si>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</si>
  <si>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</si>
  <si>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</si>
  <si>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</si>
  <si>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</si>
  <si>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</si>
  <si>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</si>
  <si>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</si>
  <si>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</si>
  <si>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</si>
  <si>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</si>
  <si>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</si>
  <si>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</si>
  <si>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</si>
  <si>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</si>
  <si>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</si>
  <si>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</si>
  <si>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</si>
  <si>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</si>
  <si>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</si>
  <si>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</si>
  <si>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</si>
  <si>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</si>
  <si>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</si>
  <si>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</si>
  <si>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</si>
  <si>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</si>
  <si>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</si>
  <si>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</si>
  <si>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</si>
  <si>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</si>
  <si>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</si>
  <si>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</si>
  <si>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</si>
  <si>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</si>
  <si>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</si>
  <si>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</si>
  <si>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</si>
  <si>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</si>
  <si>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</si>
  <si>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</si>
  <si>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</si>
  <si>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</si>
  <si>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</si>
  <si>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</si>
  <si>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</si>
  <si>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</si>
  <si>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</si>
  <si>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</si>
  <si>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</si>
  <si>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</si>
  <si>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</si>
  <si>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</si>
  <si>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</si>
  <si>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</si>
  <si>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</si>
  <si>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</si>
  <si>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</si>
  <si>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</si>
  <si>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</si>
  <si>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</si>
  <si>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</si>
  <si>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</si>
  <si>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</si>
  <si>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</si>
  <si>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</si>
  <si>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</si>
  <si>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</si>
  <si>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</si>
  <si>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</si>
  <si>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</si>
  <si>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</si>
  <si>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</si>
  <si>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</si>
  <si>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</si>
  <si>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</si>
  <si>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</si>
  <si>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</si>
  <si>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</si>
  <si>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</si>
  <si>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</si>
  <si>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</si>
  <si>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</si>
  <si>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</si>
  <si>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</si>
  <si>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</si>
  <si>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</si>
  <si>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</si>
  <si>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</si>
  <si>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</si>
  <si>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</si>
  <si>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</si>
  <si>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</si>
  <si>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</si>
  <si>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</si>
  <si>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</si>
  <si>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</si>
  <si>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</si>
  <si>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</si>
  <si>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</si>
  <si>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</si>
  <si>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</si>
  <si>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</si>
  <si>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</si>
  <si>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</si>
  <si>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</si>
  <si>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</si>
  <si>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</si>
  <si>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</si>
  <si>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</si>
  <si>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</si>
  <si>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</si>
  <si>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</si>
  <si>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</si>
  <si>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</si>
  <si>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</si>
  <si>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</si>
  <si>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</si>
  <si>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</si>
  <si>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</si>
  <si>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</si>
  <si>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</si>
  <si>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</si>
  <si>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</si>
  <si>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</si>
  <si>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</si>
  <si>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</si>
  <si>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</si>
  <si>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</si>
  <si>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</si>
  <si>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</si>
  <si>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</si>
  <si>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</si>
  <si>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</si>
  <si>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</si>
  <si>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</si>
  <si>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</si>
  <si>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</si>
  <si>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</si>
  <si>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</si>
  <si>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</si>
  <si>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</si>
  <si>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</si>
  <si>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</si>
  <si>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</si>
  <si>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</si>
  <si>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</si>
  <si>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</si>
  <si>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</si>
  <si>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</si>
  <si>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</si>
  <si>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</si>
  <si>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</si>
  <si>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</si>
  <si>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</si>
  <si>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</si>
  <si>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</si>
  <si>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</si>
  <si>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</si>
  <si>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</si>
  <si>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</si>
  <si>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</si>
  <si>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</si>
  <si>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</si>
  <si>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</si>
  <si>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</si>
  <si>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</si>
  <si>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</si>
  <si>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</si>
  <si>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</si>
  <si>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</si>
  <si>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</si>
  <si>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</si>
  <si>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</si>
  <si>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</si>
  <si>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</si>
  <si>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</si>
  <si>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</si>
  <si>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</si>
  <si>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</si>
  <si>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</si>
  <si>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</si>
  <si>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</si>
  <si>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</si>
  <si>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</si>
  <si>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</si>
  <si>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</si>
  <si>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</si>
  <si>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</si>
  <si>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</si>
  <si>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</si>
  <si>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</si>
  <si>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</si>
  <si>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</si>
  <si>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</si>
  <si>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</si>
  <si>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</si>
  <si>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</si>
  <si>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</si>
  <si>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</si>
  <si>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</si>
  <si>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</si>
  <si>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</si>
  <si>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</si>
  <si>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</si>
  <si>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</si>
  <si>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</si>
  <si>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</si>
  <si>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</si>
  <si>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</si>
  <si>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</si>
  <si>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</si>
  <si>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</si>
  <si>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</si>
  <si>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</si>
  <si>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</si>
  <si>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</si>
  <si>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</si>
  <si>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</si>
  <si>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</si>
  <si>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</si>
  <si>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</si>
  <si>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</si>
  <si>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</si>
  <si>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</si>
  <si>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</si>
  <si>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</si>
  <si>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</si>
  <si>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</si>
  <si>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</si>
  <si>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</si>
  <si>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</si>
  <si>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</si>
  <si>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</si>
  <si>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</si>
  <si>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</si>
  <si>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</si>
  <si>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</si>
  <si>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</si>
  <si>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</si>
  <si>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</si>
  <si>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</si>
  <si>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</si>
  <si>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</si>
  <si>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</si>
  <si>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</si>
  <si>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</si>
  <si>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</si>
  <si>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</si>
  <si>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</si>
  <si>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</si>
  <si>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</si>
  <si>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</si>
  <si>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</si>
  <si>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</si>
  <si>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</si>
  <si>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</si>
  <si>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</si>
  <si>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</si>
  <si>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</si>
  <si>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</si>
  <si>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</si>
  <si>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</si>
  <si>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</si>
  <si>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</si>
  <si>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</si>
  <si>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</si>
  <si>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</si>
  <si>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</si>
  <si>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</si>
  <si>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</si>
  <si>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</si>
  <si>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</si>
  <si>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</si>
  <si>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</si>
  <si>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</si>
  <si>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</si>
  <si>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</si>
  <si>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</si>
  <si>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</si>
  <si>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</si>
  <si>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</si>
  <si>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</si>
  <si>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</si>
  <si>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</si>
  <si>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</si>
  <si>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</si>
  <si>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</si>
  <si>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</si>
  <si>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</si>
  <si>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</si>
  <si>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</si>
  <si>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</si>
  <si>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</si>
  <si>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</si>
  <si>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</si>
  <si>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</si>
  <si>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</si>
  <si>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</si>
  <si>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</si>
  <si>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</si>
  <si>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</si>
  <si>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</si>
  <si>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</si>
  <si>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</si>
  <si>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</si>
  <si>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</si>
  <si>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</si>
  <si>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</si>
  <si>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</si>
  <si>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</si>
  <si>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</si>
  <si>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</si>
  <si>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</si>
  <si>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</si>
  <si>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</si>
  <si>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</si>
  <si>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</si>
  <si>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</si>
  <si>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</si>
  <si>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</si>
  <si>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</si>
  <si>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</si>
  <si>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</si>
  <si>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</si>
  <si>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</si>
  <si>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</si>
  <si>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</si>
  <si>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</si>
  <si>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</si>
  <si>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</si>
  <si>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</si>
  <si>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</si>
  <si>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</si>
  <si>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</si>
  <si>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</si>
  <si>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</si>
  <si>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</si>
  <si>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</si>
  <si>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</si>
  <si>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</si>
  <si>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</si>
  <si>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</si>
  <si>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</si>
  <si>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</si>
  <si>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</si>
  <si>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</si>
  <si>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</si>
  <si>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</si>
  <si>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</si>
  <si>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</si>
  <si>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</si>
  <si>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</si>
  <si>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</si>
  <si>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</si>
  <si>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</si>
  <si>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</si>
  <si>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</si>
  <si>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</si>
  <si>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</si>
  <si>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</si>
  <si>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</si>
  <si>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</si>
  <si>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</si>
  <si>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</si>
  <si>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</si>
  <si>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</si>
  <si>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</si>
  <si>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</si>
  <si>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</si>
  <si>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</si>
  <si>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</si>
  <si>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</si>
  <si>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</si>
  <si>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</si>
  <si>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</si>
  <si>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</si>
  <si>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</si>
  <si>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</si>
  <si>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</si>
  <si>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</si>
  <si>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</si>
  <si>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</si>
  <si>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</si>
  <si>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</si>
  <si>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</si>
  <si>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</si>
  <si>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</si>
  <si>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</si>
  <si>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</si>
  <si>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</si>
  <si>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</si>
  <si>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</si>
  <si>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</si>
  <si>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</si>
  <si>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</si>
  <si>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</si>
  <si>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</si>
  <si>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</si>
  <si>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</si>
  <si>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</si>
  <si>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</si>
  <si>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</si>
  <si>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</si>
  <si>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</si>
  <si>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</si>
  <si>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</si>
  <si>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</si>
  <si>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</si>
  <si>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</si>
  <si>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</si>
  <si>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</si>
  <si>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</si>
  <si>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</si>
  <si>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</si>
  <si>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</si>
  <si>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</si>
  <si>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</si>
  <si>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</si>
  <si>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</si>
  <si>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</si>
  <si>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</si>
  <si>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</si>
  <si>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</si>
  <si>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</si>
  <si>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</si>
  <si>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</si>
  <si>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</si>
  <si>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</si>
  <si>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</si>
  <si>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</si>
  <si>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</si>
  <si>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</si>
  <si>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</si>
  <si>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</si>
  <si>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</si>
  <si>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</si>
  <si>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</si>
  <si>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</si>
  <si>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</si>
  <si>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</si>
  <si>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</si>
  <si>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</si>
  <si>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</si>
  <si>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</si>
  <si>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</si>
  <si>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</si>
  <si>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</si>
  <si>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</si>
  <si>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</si>
  <si>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</si>
  <si>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</si>
  <si>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</si>
  <si>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</si>
  <si>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</si>
  <si>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</si>
  <si>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</si>
  <si>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</si>
  <si>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</si>
  <si>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</si>
  <si>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</si>
  <si>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</si>
  <si>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</si>
  <si>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</si>
  <si>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</si>
  <si>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</si>
  <si>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</si>
  <si>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</si>
  <si>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</si>
  <si>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</si>
  <si>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</si>
  <si>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</si>
  <si>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</si>
  <si>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</si>
  <si>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</si>
  <si>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</si>
  <si>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</si>
  <si>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</si>
  <si>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</si>
  <si>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</si>
  <si>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</si>
  <si>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</si>
  <si>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</si>
  <si>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</si>
  <si>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</si>
  <si>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</si>
  <si>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</si>
  <si>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</si>
  <si>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</si>
  <si>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</si>
  <si>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</si>
  <si>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</si>
  <si>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</si>
  <si>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</si>
  <si>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</si>
  <si>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</si>
  <si>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</si>
  <si>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</si>
  <si>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</si>
  <si>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</si>
  <si>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</si>
  <si>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</si>
  <si>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</si>
  <si>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</si>
  <si>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</si>
  <si>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</si>
  <si>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</si>
  <si>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</si>
  <si>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</si>
  <si>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</si>
  <si>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</si>
  <si>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</si>
  <si>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</si>
  <si>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</si>
  <si>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</si>
  <si>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</si>
  <si>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</si>
  <si>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</si>
  <si>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</si>
  <si>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</si>
  <si>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</si>
  <si>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</si>
  <si>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</si>
  <si>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</si>
  <si>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</si>
  <si>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</si>
  <si>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</si>
  <si>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</si>
  <si>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</si>
  <si>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</si>
  <si>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</si>
  <si>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</si>
  <si>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</si>
  <si>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</si>
  <si>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</si>
  <si>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</si>
  <si>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</si>
  <si>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</si>
  <si>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</si>
  <si>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</si>
  <si>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</si>
  <si>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</si>
  <si>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</si>
  <si>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</si>
  <si>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</si>
  <si>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</si>
  <si>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</si>
  <si>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</si>
  <si>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</si>
  <si>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</si>
  <si>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</si>
  <si>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</si>
  <si>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</si>
  <si>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</si>
  <si>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</si>
  <si>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</si>
  <si>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</si>
  <si>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</si>
  <si>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</si>
  <si>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</si>
  <si>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</si>
  <si>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</si>
  <si>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</si>
  <si>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</si>
  <si>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</si>
  <si>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</si>
  <si>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</si>
  <si>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</si>
  <si>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</si>
  <si>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</si>
  <si>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</si>
  <si>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</si>
  <si>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</si>
  <si>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</si>
  <si>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</si>
  <si>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</si>
  <si>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</si>
  <si>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</si>
  <si>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</si>
  <si>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</si>
  <si>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</si>
  <si>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</si>
  <si>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</si>
  <si>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</si>
  <si>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</si>
  <si>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</si>
  <si>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</si>
  <si>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</si>
  <si>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</si>
  <si>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</si>
  <si>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</si>
  <si>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</si>
  <si>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</si>
  <si>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</si>
  <si>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</si>
  <si>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</si>
  <si>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</si>
  <si>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</si>
  <si>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</si>
  <si>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</si>
  <si>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</si>
  <si>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</si>
  <si>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</si>
  <si>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</si>
  <si>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</si>
  <si>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</si>
  <si>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</si>
  <si>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</si>
  <si>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</si>
  <si>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</si>
  <si>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</si>
  <si>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</si>
  <si>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</si>
  <si>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</si>
  <si>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</si>
  <si>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</si>
  <si>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</si>
  <si>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</si>
  <si>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</si>
  <si>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</si>
  <si>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</si>
  <si>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</si>
  <si>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</si>
  <si>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</si>
  <si>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</si>
  <si>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</si>
  <si>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</si>
  <si>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</si>
  <si>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</si>
  <si>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</si>
  <si>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</si>
  <si>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</si>
  <si>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</si>
  <si>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</si>
  <si>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</si>
  <si>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</si>
  <si>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</si>
  <si>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</si>
  <si>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</si>
  <si>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</si>
  <si>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</si>
  <si>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</si>
  <si>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</si>
  <si>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</si>
  <si>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</si>
  <si>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</si>
  <si>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</si>
  <si>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</si>
  <si>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</si>
  <si>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</si>
  <si>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</si>
  <si>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</si>
  <si>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</si>
  <si>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</si>
  <si>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</si>
  <si>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</si>
  <si>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</si>
  <si>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</si>
  <si>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</si>
  <si>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</si>
  <si>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</si>
  <si>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</si>
  <si>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</si>
  <si>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</si>
  <si>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</si>
  <si>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</si>
  <si>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</si>
  <si>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</si>
  <si>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</si>
  <si>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</si>
  <si>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</si>
  <si>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</si>
  <si>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</si>
  <si>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</si>
  <si>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</si>
  <si>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</si>
  <si>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</si>
  <si>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</si>
  <si>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</si>
  <si>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</si>
  <si>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</si>
  <si>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</si>
  <si>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</si>
  <si>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</si>
  <si>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</si>
  <si>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</si>
  <si>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</si>
  <si>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</si>
  <si>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</si>
  <si>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</si>
  <si>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</si>
  <si>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</si>
  <si>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</si>
  <si>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</si>
  <si>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</si>
  <si>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</si>
  <si>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</si>
  <si>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</si>
  <si>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</si>
  <si>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</si>
  <si>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</si>
  <si>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</si>
  <si>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</si>
  <si>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</si>
  <si>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</si>
  <si>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</si>
  <si>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</si>
  <si>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</si>
  <si>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</si>
  <si>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</si>
  <si>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</si>
  <si>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</si>
  <si>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</si>
  <si>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</si>
  <si>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</si>
  <si>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</si>
  <si>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</si>
  <si>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</si>
  <si>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</si>
  <si>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</si>
  <si>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</si>
  <si>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</si>
  <si>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</si>
  <si>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</si>
  <si>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</si>
  <si>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</si>
  <si>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</si>
  <si>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</si>
  <si>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</si>
  <si>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</si>
  <si>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</si>
  <si>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</si>
  <si>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</si>
  <si>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</si>
  <si>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</si>
  <si>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</si>
  <si>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</si>
  <si>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</si>
  <si>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</si>
  <si>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</si>
  <si>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</si>
  <si>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</si>
  <si>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</si>
  <si>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</si>
  <si>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</si>
  <si>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</si>
  <si>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</si>
  <si>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</si>
  <si>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</si>
  <si>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</si>
  <si>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</si>
  <si>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</si>
  <si>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</si>
  <si>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</si>
  <si>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</si>
  <si>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</si>
  <si>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</si>
  <si>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</si>
  <si>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</si>
  <si>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</si>
  <si>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</si>
  <si>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</si>
  <si>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</si>
  <si>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</si>
  <si>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</si>
  <si>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</si>
  <si>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</si>
  <si>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</si>
  <si>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</si>
  <si>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</si>
  <si>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</si>
  <si>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</si>
  <si>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</si>
  <si>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</si>
  <si>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</si>
  <si>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</si>
  <si>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</si>
  <si>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</si>
  <si>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</si>
  <si>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</si>
  <si>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</si>
  <si>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</si>
  <si>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</si>
  <si>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</si>
  <si>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</si>
  <si>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</si>
  <si>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</si>
  <si>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</si>
  <si>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</si>
  <si>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</si>
  <si>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</si>
  <si>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</si>
  <si>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</si>
  <si>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</si>
  <si>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</si>
  <si>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</si>
  <si>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</si>
  <si>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</si>
  <si>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</si>
  <si>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</si>
  <si>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</si>
  <si>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</si>
  <si>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</si>
  <si>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</si>
  <si>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</si>
  <si>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</si>
  <si>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</si>
  <si>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</si>
  <si>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</si>
  <si>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</si>
  <si>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</si>
  <si>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</si>
  <si>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</si>
  <si>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</si>
  <si>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</si>
  <si>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</si>
  <si>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</si>
  <si>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</si>
  <si>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</si>
  <si>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</si>
  <si>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</si>
  <si>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</si>
  <si>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</si>
  <si>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</si>
  <si>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</si>
  <si>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</si>
  <si>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</si>
  <si>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</si>
  <si>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</si>
  <si>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</si>
  <si>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</si>
  <si>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</si>
  <si>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</si>
  <si>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</si>
  <si>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</si>
  <si>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</si>
  <si>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</si>
  <si>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</si>
  <si>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</si>
  <si>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</si>
  <si>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</si>
  <si>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</si>
  <si>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</si>
  <si>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</si>
  <si>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</si>
  <si>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</si>
  <si>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</si>
  <si>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</si>
  <si>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</si>
  <si>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</si>
  <si>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</si>
  <si>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</si>
  <si>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</si>
  <si>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</si>
  <si>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</si>
  <si>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</si>
  <si>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</si>
  <si>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</si>
  <si>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</si>
  <si>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</si>
  <si>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</si>
  <si>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</si>
  <si>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</si>
  <si>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</si>
  <si>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</si>
  <si>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</si>
  <si>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</si>
  <si>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</si>
  <si>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</si>
  <si>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</si>
  <si>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</si>
  <si>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</si>
  <si>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</si>
  <si>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</si>
  <si>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</si>
  <si>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</si>
  <si>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</si>
  <si>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</si>
  <si>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</si>
  <si>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</si>
  <si>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</si>
  <si>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</si>
  <si>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</si>
  <si>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</si>
  <si>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</si>
  <si>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</si>
  <si>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</si>
  <si>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</si>
  <si>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</si>
  <si>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</si>
  <si>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</si>
  <si>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</si>
  <si>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</si>
  <si>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</si>
  <si>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</si>
  <si>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</si>
  <si>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</si>
  <si>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</si>
  <si>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</si>
  <si>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</si>
  <si>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</si>
  <si>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</si>
  <si>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</si>
  <si>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</si>
  <si>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</si>
  <si>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</si>
  <si>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</si>
  <si>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</si>
  <si>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</si>
  <si>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</si>
  <si>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</si>
  <si>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</si>
  <si>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</si>
  <si>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</si>
  <si>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</si>
  <si>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</si>
  <si>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</si>
  <si>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</si>
  <si>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</si>
  <si>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</si>
  <si>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</si>
  <si>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</si>
  <si>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</si>
  <si>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</si>
  <si>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</si>
  <si>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</si>
  <si>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</si>
  <si>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</si>
  <si>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</si>
  <si>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</si>
  <si>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</si>
  <si>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</si>
  <si>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</si>
  <si>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</si>
  <si>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</si>
  <si>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</si>
  <si>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</si>
  <si>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</si>
  <si>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</si>
  <si>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</si>
  <si>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</si>
  <si>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</si>
  <si>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</si>
  <si>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</si>
  <si>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</si>
  <si>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</si>
  <si>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</si>
  <si>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</si>
  <si>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</si>
  <si>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</si>
  <si>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</si>
  <si>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</si>
  <si>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</si>
  <si>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</si>
  <si>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</si>
  <si>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</si>
  <si>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</si>
  <si>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</si>
  <si>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</si>
  <si>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</si>
  <si>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</si>
  <si>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</si>
  <si>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</si>
  <si>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</si>
  <si>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</si>
  <si>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</si>
  <si>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</si>
  <si>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</si>
  <si>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</si>
  <si>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</si>
  <si>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</si>
  <si>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</si>
  <si>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</si>
  <si>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</si>
  <si>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</si>
  <si>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</si>
  <si>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</si>
  <si>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</si>
  <si>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</si>
  <si>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</si>
  <si>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</si>
  <si>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</si>
  <si>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</si>
  <si>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</si>
  <si>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</si>
  <si>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</si>
  <si>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</si>
  <si>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</si>
  <si>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</si>
  <si>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</si>
  <si>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</si>
  <si>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</si>
  <si>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</si>
  <si>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</si>
  <si>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</si>
  <si>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</si>
  <si>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</si>
  <si>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</si>
  <si>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</si>
  <si>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</si>
  <si>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</si>
  <si>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</si>
  <si>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</si>
  <si>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</si>
  <si>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</si>
  <si>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</si>
  <si>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</si>
  <si>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</si>
  <si>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</si>
  <si>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</si>
  <si>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</si>
  <si>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</si>
  <si>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</si>
  <si>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</si>
  <si>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</si>
  <si>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</si>
  <si>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</si>
  <si>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</si>
  <si>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</si>
  <si>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</si>
  <si>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</si>
  <si>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</si>
  <si>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</si>
  <si>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</si>
  <si>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</si>
  <si>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</si>
  <si>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</si>
  <si>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</si>
  <si>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</si>
  <si>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</si>
  <si>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</si>
  <si>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</si>
  <si>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</si>
  <si>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</si>
  <si>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</si>
  <si>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</si>
  <si>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</si>
  <si>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</si>
  <si>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</si>
  <si>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</si>
  <si>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</si>
  <si>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</si>
  <si>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</si>
  <si>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</si>
  <si>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</si>
  <si>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</si>
  <si>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</si>
  <si>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</si>
  <si>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</si>
  <si>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</si>
  <si>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</si>
  <si>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</si>
  <si>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</si>
  <si>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</si>
  <si>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</si>
  <si>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</si>
  <si>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</si>
  <si>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</si>
  <si>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</si>
  <si>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</si>
  <si>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</si>
  <si>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</si>
  <si>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</si>
  <si>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</si>
  <si>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</si>
  <si>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</si>
  <si>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</si>
  <si>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</si>
  <si>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</si>
  <si>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</si>
  <si>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</si>
  <si>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</si>
  <si>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</si>
  <si>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</si>
  <si>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</si>
  <si>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</si>
  <si>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</si>
  <si>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</si>
  <si>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</si>
  <si>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</si>
  <si>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</si>
  <si>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</si>
  <si>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</si>
  <si>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</si>
  <si>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</si>
  <si>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</si>
  <si>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</si>
  <si>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</si>
  <si>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</si>
  <si>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</si>
  <si>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</si>
  <si>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</si>
  <si>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</si>
  <si>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</si>
  <si>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</si>
  <si>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</si>
  <si>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</si>
  <si>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</si>
  <si>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</si>
  <si>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</si>
  <si>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</si>
  <si>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</si>
  <si>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</si>
  <si>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</si>
  <si>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</si>
  <si>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</si>
  <si>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</si>
  <si>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</si>
  <si>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</si>
  <si>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</si>
  <si>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</si>
  <si>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</si>
  <si>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</si>
  <si>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</si>
  <si>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</si>
  <si>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</si>
  <si>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</si>
  <si>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</si>
  <si>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</si>
  <si>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</si>
  <si>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</si>
  <si>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</si>
  <si>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</si>
  <si>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</si>
  <si>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</si>
  <si>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</si>
  <si>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</si>
  <si>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</si>
  <si>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</si>
  <si>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</si>
  <si>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</si>
  <si>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</si>
  <si>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</si>
  <si>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</si>
  <si>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</si>
  <si>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</si>
  <si>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</si>
  <si>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</si>
  <si>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</si>
  <si>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</si>
  <si>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</si>
  <si>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</si>
  <si>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</si>
  <si>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</si>
  <si>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</si>
  <si>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</si>
  <si>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</si>
  <si>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</si>
  <si>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</si>
  <si>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</si>
  <si>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</si>
  <si>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</si>
  <si>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</si>
  <si>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</si>
  <si>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</si>
  <si>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</si>
  <si>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</si>
  <si>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</si>
  <si>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</si>
  <si>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</si>
  <si>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</si>
  <si>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</si>
  <si>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</si>
  <si>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</si>
  <si>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</si>
  <si>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</si>
  <si>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</si>
  <si>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</si>
  <si>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</si>
  <si>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</si>
  <si>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</si>
  <si>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</si>
  <si>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</si>
  <si>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</si>
  <si>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</si>
  <si>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</si>
  <si>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</si>
  <si>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</si>
  <si>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</si>
  <si>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</si>
  <si>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</si>
  <si>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</si>
  <si>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</si>
  <si>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</si>
  <si>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</si>
  <si>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</si>
  <si>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</si>
  <si>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</si>
  <si>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</si>
  <si>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</si>
  <si>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</si>
  <si>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</si>
  <si>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</si>
  <si>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</si>
  <si>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</si>
  <si>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</si>
  <si>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</si>
  <si>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</si>
  <si>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</si>
  <si>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</si>
  <si>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</si>
  <si>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</si>
  <si>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</si>
  <si>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</si>
  <si>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</si>
  <si>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</si>
  <si>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</si>
  <si>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</si>
  <si>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</si>
  <si>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</si>
  <si>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</si>
  <si>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</si>
  <si>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</si>
  <si>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</si>
  <si>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</si>
  <si>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</si>
  <si>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</si>
  <si>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</si>
  <si>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</si>
  <si>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</si>
  <si>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</si>
  <si>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</si>
  <si>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</si>
  <si>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</si>
  <si>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</si>
  <si>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</si>
  <si>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</si>
  <si>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</si>
  <si>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</si>
  <si>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</si>
  <si>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</si>
  <si>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</si>
  <si>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</si>
  <si>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</si>
  <si>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</si>
  <si>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</si>
  <si>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</si>
  <si>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</si>
  <si>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</si>
  <si>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</si>
  <si>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</si>
  <si>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</si>
  <si>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</si>
  <si>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</si>
  <si>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</si>
  <si>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</si>
  <si>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</si>
  <si>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</si>
  <si>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</si>
  <si>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</si>
  <si>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</si>
  <si>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</si>
  <si>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</si>
  <si>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</si>
  <si>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</si>
  <si>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</si>
  <si>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</si>
  <si>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</si>
  <si>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</si>
  <si>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</si>
  <si>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</si>
  <si>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</si>
  <si>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</si>
  <si>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</si>
  <si>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3" type="noConversion"/>
  </si>
  <si>
    <t>抵押</t>
  </si>
  <si>
    <t>房地产抵押价值</t>
  </si>
  <si>
    <t>北京市</t>
  </si>
  <si>
    <t>企业</t>
  </si>
  <si>
    <t>总建筑面积</t>
    <phoneticPr fontId="3" type="noConversion"/>
  </si>
  <si>
    <t>总土地面积</t>
    <phoneticPr fontId="3" type="noConversion"/>
  </si>
  <si>
    <t>地上</t>
  </si>
  <si>
    <t>512-516</t>
    <phoneticPr fontId="3" type="noConversion"/>
  </si>
  <si>
    <t>是</t>
  </si>
  <si>
    <t>成新度</t>
  </si>
  <si>
    <t>竣工时间</t>
    <phoneticPr fontId="3" type="noConversion"/>
  </si>
  <si>
    <t>直线</t>
    <phoneticPr fontId="3" type="noConversion"/>
  </si>
  <si>
    <t>观察</t>
    <phoneticPr fontId="3" type="noConversion"/>
  </si>
  <si>
    <t>收益法 (元)</t>
  </si>
  <si>
    <t>商务金融用地</t>
  </si>
  <si>
    <t>自定义容积率</t>
  </si>
  <si>
    <t>不临65条商业街</t>
  </si>
  <si>
    <t>与级别开发程度不一致</t>
  </si>
  <si>
    <t>通路</t>
  </si>
  <si>
    <t>通电</t>
  </si>
  <si>
    <t>通讯</t>
  </si>
  <si>
    <t>通上水</t>
  </si>
  <si>
    <t>通下水</t>
  </si>
  <si>
    <t>平整</t>
  </si>
  <si>
    <t>未包含在土地购买价格中</t>
  </si>
  <si>
    <t>已包含在土地取得成本中</t>
  </si>
  <si>
    <t>押一</t>
  </si>
  <si>
    <t>钢混</t>
  </si>
  <si>
    <t>非生产用房</t>
  </si>
  <si>
    <t>现房</t>
  </si>
  <si>
    <t>项目局部</t>
  </si>
  <si>
    <t>楼面单价</t>
  </si>
  <si>
    <t>成本法 (元)</t>
  </si>
  <si>
    <t>出让金+开发费</t>
  </si>
  <si>
    <t>企业提供（在右侧录入）</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</si>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</sst>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317-&#20016;&#32852;&#24191;&#22330;&#21150;&#20844;&#21450;&#22320;&#19979;&#21830;&#19994;\P02\&#26368;&#32456;\&#30005;&#31639;&#34920;-&#20016;&#32852;&#24191;&#22330;22&#23618;&#21150;&#20844;0423.xlsx" TargetMode="External"/><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估价对象为北京市北京市朝阳区朝阳门外大街18号房地产，为所有。根据《国有土地使用证》[]，估价对象（分摊）出让国有建设用地使用权面积为147.42平方米，建筑面积为1286.47平方米。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147.42平方米，规划建筑面积为1286.47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2025年6月10日（评估专业人员实地查勘之日）</v>
      </c>
    </row>
    <row r="13" spans="1:2">
      <c r="A13" s="1119" t="s">
        <v>529</v>
      </c>
      <c r="B13" s="1120"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4213</v>
      </c>
    </row>
    <row r="21" spans="1:2">
      <c r="A21" s="1119" t="s">
        <v>537</v>
      </c>
      <c r="B21" s="1120">
        <f ca="1">'预评函-2'!D7</f>
        <v>32746</v>
      </c>
    </row>
    <row r="22" spans="1:2">
      <c r="A22" s="1119" t="s">
        <v>538</v>
      </c>
      <c r="B22" s="1120" t="str">
        <f ca="1">'预评函-2'!D6</f>
        <v>肆仟贰佰壹拾叁万元整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4213</v>
      </c>
    </row>
    <row r="31" spans="1:2">
      <c r="A31" s="1119" t="s">
        <v>576</v>
      </c>
      <c r="B31" s="1120">
        <f ca="1">'预评函-2'!D15</f>
        <v>32746</v>
      </c>
    </row>
    <row r="32" spans="1:2">
      <c r="A32" s="1119" t="s">
        <v>543</v>
      </c>
      <c r="B32" s="1120" t="str">
        <f ca="1">'预评函-2'!D14</f>
        <v>肆仟贰佰壹拾叁万元整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3304</v>
      </c>
    </row>
    <row r="39" spans="1:2">
      <c r="A39" s="1119" t="s">
        <v>545</v>
      </c>
      <c r="B39" s="1120">
        <f ca="1">'预评函-2'!D21</f>
        <v>25683</v>
      </c>
    </row>
    <row r="40" spans="1:2">
      <c r="A40" s="1119" t="s">
        <v>546</v>
      </c>
      <c r="B40" s="1120" t="str">
        <f ca="1">'预评函-2'!D20</f>
        <v>叁仟叁佰零肆万元整</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1286.47</v>
      </c>
    </row>
    <row r="44" spans="1:2" ht="31.2">
      <c r="A44" s="1119" t="s">
        <v>575</v>
      </c>
      <c r="B44" s="1120" t="str">
        <f>'预评函-3'!C2</f>
        <v>(分摊)土地面积</v>
      </c>
    </row>
    <row r="45" spans="1:2">
      <c r="A45" s="1119" t="s">
        <v>547</v>
      </c>
      <c r="B45" s="1120">
        <f>'预评函-3'!C4</f>
        <v>147.41999999999999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45818</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1.52</v>
      </c>
      <c r="D5" s="2767">
        <f>IF(ISERROR(ROUND(POWER(1+E5,A5-C5)*(POWER(1+E5,C5)-1)/(POWER(1+E5,A5)-1),3)),0,ROUND(POWER(1+E5,A5-C5)*(POWER(1+E5,C5)-1)/(POWER(1+E5,A5)-1),4))</f>
        <v>7.3099999999999998E-2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11.53</v>
      </c>
      <c r="D6" s="2767">
        <f>IF(ISERROR(ROUND(POWER(1+E6,A6-C6)*(POWER(1+E6,C6)-1)/(POWER(1+E6,A6)-1),3)),0,ROUND(POWER(1+E6,A6-C6)*(POWER(1+E6,C6)-1)/(POWER(1+E6,A6)-1),4))</f>
        <v>0.4234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31.54</v>
      </c>
      <c r="D7" s="2767">
        <f>IF(ISERROR(ROUND(POWER(1+E7,A7-C7)*(POWER(1+E7,C7)-1)/(POWER(1+E7,A7)-1),3)),0,ROUND(POWER(1+E7,A7-C7)*(POWER(1+E7,C7)-1)/(POWER(1+E7,A7)-1),4))</f>
        <v>0.75849999999999995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4" sqref="E3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北京市北京市朝阳区朝阳门外大街18号房地产抵押价值预评估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45818</v>
      </c>
      <c r="C3" s="2186" t="s">
        <v>2171</v>
      </c>
      <c r="D3" s="2185">
        <v>45818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1120070131</v>
      </c>
      <c r="D4" s="2187" t="s">
        <v>3413</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18" t="s">
        <v>2177</v>
      </c>
      <c r="E8" s="2202" t="s">
        <v>3416</v>
      </c>
      <c r="F8" s="2203"/>
      <c r="G8" s="2442"/>
      <c r="H8" s="2442"/>
      <c r="I8" s="2442"/>
      <c r="J8" s="2245"/>
      <c r="K8" s="2400"/>
      <c r="L8" s="2399"/>
      <c r="M8" s="2399"/>
      <c r="N8" s="2245"/>
      <c r="O8" s="1670"/>
      <c r="P8" s="2245"/>
      <c r="Q8" s="2245"/>
      <c r="R8" s="2245"/>
    </row>
    <row r="9" spans="1:30" ht="13.8" thickBot="1">
      <c r="A9" s="2204" t="s">
        <v>2178</v>
      </c>
      <c r="B9" s="2205" t="s">
        <v>3416</v>
      </c>
      <c r="C9" s="2206"/>
      <c r="D9" s="3219"/>
      <c r="E9" s="2205" t="s">
        <v>587</v>
      </c>
      <c r="F9" s="2207"/>
      <c r="G9" s="2443"/>
      <c r="H9" s="2443"/>
      <c r="I9" s="2443"/>
      <c r="J9" s="2245"/>
      <c r="K9" s="2402"/>
      <c r="L9" s="2399"/>
      <c r="M9" s="2399"/>
      <c r="N9" s="2245"/>
      <c r="O9" s="1670"/>
      <c r="P9" s="2245"/>
      <c r="Q9" s="2245"/>
      <c r="R9" s="2245"/>
    </row>
    <row r="10" spans="1:30" ht="13.8" thickTop="1">
      <c r="A10" s="2208" t="s">
        <v>2179</v>
      </c>
      <c r="B10" s="2209" t="s">
        <v>3417</v>
      </c>
      <c r="C10" s="2210"/>
      <c r="D10" s="2193"/>
      <c r="E10" s="2211" t="s">
        <v>2180</v>
      </c>
      <c r="F10" s="3162" t="s">
        <v>3414</v>
      </c>
      <c r="G10" s="2444"/>
      <c r="H10" s="2445"/>
      <c r="I10" s="2446"/>
      <c r="J10" s="2245"/>
      <c r="K10" s="2402"/>
      <c r="L10" s="2399"/>
      <c r="M10" s="2399"/>
      <c r="N10" s="2245"/>
      <c r="O10" s="1670"/>
      <c r="P10" s="2245"/>
      <c r="Q10" s="2245"/>
      <c r="R10" s="2245"/>
    </row>
    <row r="11" spans="1:30">
      <c r="A11" s="2212" t="s">
        <v>2181</v>
      </c>
      <c r="B11" s="2213" t="s">
        <v>3418</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48977</v>
      </c>
      <c r="E13" s="803">
        <v>52629</v>
      </c>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8.65</v>
      </c>
      <c r="E15" s="2221">
        <f>IF(A13="出让",IF(E13="","",ROUNDDOWN(MIN((E13-$D$3)/365,E14),2)),E14)</f>
        <v>18.66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1286.47</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147.41999999999999</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145</v>
      </c>
      <c r="C38" s="2238" t="s">
        <v>145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147.41999999999999</v>
      </c>
      <c r="B3" s="11">
        <f>IF(C3="否",G5-AT5,G5)</f>
        <v>1286.47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1286.47</v>
      </c>
      <c r="H5" s="13">
        <f t="shared" ref="H5:AT5" si="0">SUM(H13:H656)</f>
        <v>1286.47</v>
      </c>
      <c r="I5" s="13">
        <f t="shared" si="0"/>
        <v>1286.47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1286.47</v>
      </c>
      <c r="BA5" s="15">
        <f t="shared" si="1"/>
        <v>1286.47</v>
      </c>
      <c r="BB5" s="15">
        <f t="shared" si="1"/>
        <v>1286.47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147.41999999999999</v>
      </c>
      <c r="F6" s="13" t="s">
        <v>0</v>
      </c>
      <c r="G6" s="13" t="s">
        <v>1</v>
      </c>
      <c r="H6" s="17">
        <f>SUMIF(I$12:AB$12,"总值",I6:AB6)</f>
        <v>147.41999999999999</v>
      </c>
      <c r="I6" s="13">
        <f t="shared" ref="I6:AB6" si="2">ROUND($A$3*I5/$B$3,2)</f>
        <v>147.41999999999999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147.41999999999999</v>
      </c>
      <c r="AZ6" s="13" t="s">
        <v>2</v>
      </c>
      <c r="BA6" s="13">
        <f>ROUND($AY$6*BA5/$AZ$5,2)</f>
        <v>147.41999999999999</v>
      </c>
      <c r="BB6" s="13">
        <f>ROUND($AY$6*BB5/$AZ$5,2)</f>
        <v>147.41999999999999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3419</v>
      </c>
      <c r="B13" s="31">
        <v>93222.79</v>
      </c>
      <c r="C13" s="3163" t="s">
        <v>3422</v>
      </c>
      <c r="D13" s="1513" t="s">
        <v>3423</v>
      </c>
      <c r="E13" s="13">
        <f>IF($C$3="是",ROUND($A$3*G13/$B$3,2),ROUND($A$3*(G13-AT13)/$B$3,2))</f>
        <v>147.41999999999999</v>
      </c>
      <c r="F13" s="29"/>
      <c r="G13" s="30">
        <f>H13+AC13+AT13</f>
        <v>1286.47</v>
      </c>
      <c r="H13" s="17">
        <f>SUMIF(I$12:AB$12,"总值",I13:AB13)</f>
        <v>1286.47</v>
      </c>
      <c r="I13" s="1514">
        <v>1286.47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512-516</v>
      </c>
      <c r="AY13" s="1260">
        <f>ROUND($AY$6*AZ13/$AZ$5,2)</f>
        <v>147.41999999999999</v>
      </c>
      <c r="AZ13" s="13">
        <f>BA13+BL13</f>
        <v>1286.47</v>
      </c>
      <c r="BA13" s="13">
        <f>SUM(BB13:BK13)</f>
        <v>1286.47</v>
      </c>
      <c r="BB13" s="13">
        <f>IF($D13="是",I13-J13,0)</f>
        <v>1286.47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3420</v>
      </c>
      <c r="B14" s="31">
        <v>10682.89</v>
      </c>
      <c r="C14" s="3163"/>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f>'数据-基础表'!AY6</f>
        <v>147.41999999999999</v>
      </c>
      <c r="E3" s="41">
        <f>'数据-基础表'!AZ5</f>
        <v>1286.47</v>
      </c>
      <c r="F3" s="2439"/>
      <c r="G3" s="42"/>
      <c r="H3" s="43" t="s">
        <v>1106</v>
      </c>
      <c r="I3" s="802">
        <f>ROUND('数据-基础表'!B3/'数据-基础表'!A3,2)</f>
        <v>8.73</v>
      </c>
      <c r="J3" s="2439"/>
      <c r="K3" s="2439"/>
      <c r="L3" s="2439"/>
      <c r="M3" s="2439"/>
      <c r="N3" s="2440"/>
      <c r="O3" s="2439"/>
      <c r="P3" s="2439"/>
    </row>
    <row r="4" spans="1:16" ht="14.4">
      <c r="A4" s="3248"/>
      <c r="B4" s="3249"/>
      <c r="C4" s="3250"/>
      <c r="D4" s="1524" t="s">
        <v>1107</v>
      </c>
      <c r="E4" s="1525" t="s">
        <v>1108</v>
      </c>
      <c r="F4" s="2439"/>
      <c r="G4" s="2434" t="s">
        <v>1133</v>
      </c>
      <c r="H4" s="43" t="s">
        <v>1113</v>
      </c>
      <c r="I4" s="802">
        <f>ROUND(SUMIF('数据-基础表'!I9:AS9,"地上",'数据-基础表'!I5:AS5)/'数据-基础表'!A3,2)</f>
        <v>8.73</v>
      </c>
      <c r="J4" s="2439"/>
      <c r="K4" s="2439"/>
      <c r="L4" s="2439"/>
      <c r="M4" s="2439"/>
      <c r="N4" s="2440"/>
      <c r="O4" s="2439"/>
      <c r="P4" s="2439"/>
    </row>
    <row r="5" spans="1:16" ht="14.4">
      <c r="A5" s="42" t="s">
        <v>1109</v>
      </c>
      <c r="B5" s="3251" t="s">
        <v>1110</v>
      </c>
      <c r="C5" s="3251"/>
      <c r="D5" s="43">
        <f>ROUND($D$3*E5/$E$3,2)</f>
        <v>0</v>
      </c>
      <c r="E5" s="44">
        <f>SUMIF('数据-基础表'!$11:$11,"住宅",'数据-基础表'!$5:$5)</f>
        <v>0</v>
      </c>
      <c r="F5" s="2439"/>
      <c r="G5" s="42"/>
      <c r="H5" s="43" t="s">
        <v>1106</v>
      </c>
      <c r="I5" s="802">
        <f>ROUND(E31/D31,2)</f>
        <v>8.73</v>
      </c>
      <c r="J5" s="2439"/>
      <c r="K5" s="2439"/>
      <c r="L5" s="2439"/>
      <c r="M5" s="2439"/>
      <c r="N5" s="2439"/>
      <c r="O5" s="2439"/>
      <c r="P5" s="2439"/>
    </row>
    <row r="6" spans="1:16" ht="15" thickBot="1">
      <c r="A6" s="1527"/>
      <c r="B6" s="3251" t="s">
        <v>1111</v>
      </c>
      <c r="C6" s="3251"/>
      <c r="D6" s="43">
        <f>ROUND($D$3*E6/$E$3,2)</f>
        <v>147.41999999999999</v>
      </c>
      <c r="E6" s="44">
        <f>E3-E5</f>
        <v>1286.47</v>
      </c>
      <c r="F6" s="2439"/>
      <c r="G6" s="1529" t="s">
        <v>1112</v>
      </c>
      <c r="H6" s="45" t="s">
        <v>1113</v>
      </c>
      <c r="I6" s="2435">
        <f>ROUND(F31/D31,2)</f>
        <v>8.73</v>
      </c>
      <c r="J6" s="2439"/>
      <c r="K6" s="2439"/>
      <c r="L6" s="2439"/>
      <c r="M6" s="2439"/>
      <c r="N6" s="2439"/>
      <c r="O6" s="2439"/>
      <c r="P6" s="2439"/>
    </row>
    <row r="7" spans="1:16" ht="15" thickBot="1">
      <c r="A7" s="3243"/>
      <c r="B7" s="3244"/>
      <c r="C7" s="3245"/>
      <c r="D7" s="1524" t="s">
        <v>1107</v>
      </c>
      <c r="E7" s="1528" t="s">
        <v>1114</v>
      </c>
      <c r="F7" s="2439"/>
      <c r="G7" s="2436" t="s">
        <v>1115</v>
      </c>
      <c r="H7" s="95"/>
      <c r="I7" s="2437">
        <v>8.73</v>
      </c>
      <c r="J7" s="2439"/>
      <c r="K7" s="2439"/>
      <c r="L7" s="2439"/>
      <c r="M7" s="2439"/>
      <c r="N7" s="2439"/>
      <c r="O7" s="2439"/>
      <c r="P7" s="2439"/>
    </row>
    <row r="8" spans="1:16" ht="14.4">
      <c r="A8" s="42" t="s">
        <v>1116</v>
      </c>
      <c r="B8" s="45" t="s">
        <v>1117</v>
      </c>
      <c r="C8" s="43" t="s">
        <v>1118</v>
      </c>
      <c r="D8" s="43">
        <f t="shared" ref="D8:D15" si="0">ROUND($D$3*E8/$E$3,2)</f>
        <v>147.41999999999999</v>
      </c>
      <c r="E8" s="46">
        <f>SUMIF('数据-基础表'!BB10:BK10,"地上",'数据-基础表'!BB5:BK5)</f>
        <v>1286.47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147.41999999999999</v>
      </c>
      <c r="E16" s="48">
        <f>SUM(E8:E15)</f>
        <v>1286.47</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460</v>
      </c>
      <c r="D19" s="43">
        <f>ROUND($D$3*E19/$E$3,2)</f>
        <v>147.41999999999999</v>
      </c>
      <c r="E19" s="51">
        <f t="shared" ref="E19:E26" si="1">SUM(F19:G19)</f>
        <v>1286.47</v>
      </c>
      <c r="F19" s="2557">
        <f>'数据-基础表'!I13</f>
        <v>1286.47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147.41999999999999</v>
      </c>
      <c r="S19" s="51">
        <f t="shared" si="5"/>
        <v>1286.47</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147.41999999999999</v>
      </c>
      <c r="E27" s="1073">
        <f>IF(SUM(E19:E26)='数据-基础表'!BA5,SUM(E19:E26),IF(F27="地上面积有误","面积有误","地下面积有误"))</f>
        <v>1286.47</v>
      </c>
      <c r="F27" s="1072">
        <f>IF(SUM(F19:F26)=E8,SUM(F19:F26),"地上面积有误")</f>
        <v>1286.47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147.41999999999999</v>
      </c>
      <c r="S27" s="43">
        <f>IF(SUM(S19:S26)=$E$3,SUM(S19:S26),SUM(S19:S26)&amp;"误差"&amp;ROUND(SUM(S19:S26)-E3,2))</f>
        <v>1286.47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147.41999999999999</v>
      </c>
      <c r="E31" s="643">
        <f>E27+E30</f>
        <v>1286.47</v>
      </c>
      <c r="F31" s="644">
        <f>F27+F30</f>
        <v>1286.47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N9" sqref="AN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18.66</v>
      </c>
      <c r="G6" s="62">
        <f>IF(ISERROR(ROUND(POWER(1+H6,D6-F6)*(POWER(1+H6,F6)-1)/(POWER(1+H6,D6)-1),3)),0,ROUND(POWER(1+H6,D6-F6)*(POWER(1+H6,F6)-1)/(POWER(1+H6,D6)-1),3))</f>
        <v>0.65500000000000003</v>
      </c>
      <c r="H6" s="691">
        <v>0.05</v>
      </c>
      <c r="I6" s="691">
        <v>5.5E-2</v>
      </c>
      <c r="J6" s="63">
        <v>7.0000000000000007E-2</v>
      </c>
      <c r="K6" s="970">
        <f>SUMIF('数据-汇总表'!C$19:C$33,A6,'数据-汇总表'!E$19:E$33)</f>
        <v>1286.47</v>
      </c>
      <c r="L6" s="692">
        <v>5600</v>
      </c>
      <c r="M6" s="64">
        <f t="shared" ref="M6:M14" si="0">ROUND(K6*L6/10000,0)</f>
        <v>720</v>
      </c>
      <c r="N6" s="690">
        <f>O22</f>
        <v>0.69</v>
      </c>
      <c r="O6" s="64" t="str">
        <f>IF($N$5="成新度","——",ROUND(M6*N6,0))</f>
        <v>——</v>
      </c>
      <c r="P6" s="65" t="str">
        <f>IF($N$5="成新度","——",M6-O6)</f>
        <v>——</v>
      </c>
      <c r="Q6" s="693">
        <v>0.2</v>
      </c>
      <c r="R6" s="66">
        <f ca="1">SUMIF('数据-汇总表'!C$19:C$33,A6,'数据-汇总表'!R$19:R$27)</f>
        <v>147.41999999999999</v>
      </c>
      <c r="S6" s="49">
        <f>IF('数据-汇总表'!$I$17="按面积比例",SUMIF('数据-汇总表'!C$19:C$33,A6,'数据-汇总表'!K$19:K$33),SUMIF('数据-汇总表'!C$19:C$33,A6,'数据-汇总表'!N$19:N$33))</f>
        <v>0</v>
      </c>
      <c r="T6" s="1092">
        <f>ROUND($L$14*S6/10000,0)</f>
        <v>0</v>
      </c>
      <c r="U6" s="3126">
        <v>6.5</v>
      </c>
      <c r="V6" s="67">
        <v>0.02</v>
      </c>
      <c r="W6" s="67">
        <v>0.1</v>
      </c>
      <c r="X6" s="979"/>
      <c r="Y6" s="68">
        <f>N6</f>
        <v>0.69</v>
      </c>
      <c r="Z6" s="69"/>
      <c r="AA6" s="63"/>
      <c r="AB6" s="63"/>
      <c r="AC6" s="979"/>
      <c r="AD6" s="70"/>
      <c r="AE6" s="980">
        <f ca="1">IF(AN6="",0,SUMIF(INDIRECT("'"&amp;AN6&amp;"'"&amp;"!E:E"),$AE$5,INDIRECT("'"&amp;AN6&amp;"'"&amp;"!F:F")))</f>
        <v>18.66</v>
      </c>
      <c r="AF6" s="74"/>
      <c r="AG6" s="130">
        <f>IF(AF6="",0,AE6-AF6)</f>
        <v>0</v>
      </c>
      <c r="AH6" s="71"/>
      <c r="AI6" s="73">
        <v>365</v>
      </c>
      <c r="AJ6" s="74"/>
      <c r="AK6" s="75">
        <v>3.0000000000000001E-3</v>
      </c>
      <c r="AL6" s="76">
        <v>1E-3</v>
      </c>
      <c r="AM6" s="77">
        <v>5.0000000000000001E-3</v>
      </c>
      <c r="AN6" s="1589" t="s">
        <v>3428</v>
      </c>
      <c r="AO6" s="50">
        <f ca="1">SUMIF(INDIRECT("'"&amp;AN6&amp;"'"&amp;"!A:A"),"总价",INDIRECT("'"&amp;AN6&amp;"'"&amp;"!B:B"))</f>
        <v>3105.7001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0.65500000000000003</v>
      </c>
      <c r="H16" s="84">
        <f>ROUND(SUMPRODUCT(H6:H13,K6:K13)/SUMPRODUCT((H6:H13&gt;0)*(K6:K13)),3)</f>
        <v>0.05</v>
      </c>
      <c r="I16" s="85"/>
      <c r="J16" s="85"/>
      <c r="K16" s="86">
        <f>SUM(K6:K15)</f>
        <v>1286.47</v>
      </c>
      <c r="L16" s="87">
        <f>ROUND(M16*10000/SUM(K6:K14),0)</f>
        <v>5597</v>
      </c>
      <c r="M16" s="87">
        <f>SUM(M6:M14)</f>
        <v>720</v>
      </c>
      <c r="N16" s="88">
        <f>ROUND(SUMPRODUCT(M6:M14,N6:N14)/M16,3)</f>
        <v>0.69</v>
      </c>
      <c r="O16" s="87">
        <f>SUM(O6:O14)</f>
        <v>0</v>
      </c>
      <c r="P16" s="87">
        <f>SUM(P6:P14)</f>
        <v>0</v>
      </c>
      <c r="Q16" s="89">
        <f>ROUND(SUMPRODUCT(Q6:Q13,K6:K13)/SUMPRODUCT((Q6:Q13&gt;0)*(K6:K13)),2)</f>
        <v>0.2</v>
      </c>
      <c r="R16" s="974">
        <f ca="1">SUM(R6:R13)</f>
        <v>147.41999999999999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2448"/>
      <c r="N19" s="3164" t="s">
        <v>3425</v>
      </c>
      <c r="O19" s="2448">
        <v>1996</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3</v>
      </c>
      <c r="C20" s="2561" t="s">
        <v>2300</v>
      </c>
      <c r="D20" s="2451"/>
      <c r="E20" s="2439"/>
      <c r="F20" s="2439"/>
      <c r="G20" s="2439"/>
      <c r="H20" s="2439"/>
      <c r="I20" s="2439"/>
      <c r="J20" s="2439"/>
      <c r="K20" s="2449"/>
      <c r="L20" s="2449"/>
      <c r="M20" s="2448"/>
      <c r="N20" s="3164" t="s">
        <v>3426</v>
      </c>
      <c r="O20" s="2448">
        <f>ROUND(1-(1-0)*(2025-O19)/60,2)</f>
        <v>0.52</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3</v>
      </c>
      <c r="C21" s="2439"/>
      <c r="D21" s="2451"/>
      <c r="E21" s="2439"/>
      <c r="F21" s="2439"/>
      <c r="G21" s="2439"/>
      <c r="H21" s="2439"/>
      <c r="I21" s="2439"/>
      <c r="J21" s="2439"/>
      <c r="K21" s="2449"/>
      <c r="L21" s="2449"/>
      <c r="M21" s="2448"/>
      <c r="N21" s="3164" t="s">
        <v>3427</v>
      </c>
      <c r="O21" s="2448">
        <v>0.85</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3</v>
      </c>
      <c r="C22" s="2439"/>
      <c r="D22" s="2451"/>
      <c r="E22" s="2439"/>
      <c r="F22" s="2439"/>
      <c r="G22" s="2439"/>
      <c r="H22" s="2439"/>
      <c r="I22" s="2439"/>
      <c r="J22" s="2439"/>
      <c r="K22" s="2449"/>
      <c r="L22" s="2449"/>
      <c r="M22" s="2448"/>
      <c r="N22" s="3164" t="s">
        <v>458</v>
      </c>
      <c r="O22" s="2448">
        <f>ROUND((O21+O20)/2,2)</f>
        <v>0.69</v>
      </c>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3</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ROUND(B28*K16/10000,0)</f>
        <v>26</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0.08</v>
      </c>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2.5000000000000001E-2</v>
      </c>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24</v>
      </c>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12</v>
      </c>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3</v>
      </c>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684FDBC-2CFA-4F7D-9FB5-42834A486097}">
      <formula1>"7%,5%,1%"</formula1>
    </dataValidation>
    <dataValidation type="list" allowBlank="1" showInputMessage="1" showErrorMessage="1" sqref="B53" xr:uid="{1DC8AB0E-C101-49C7-8A0C-1465E84E883D}">
      <formula1>城镇土地纳税等级分级范围</formula1>
    </dataValidation>
    <dataValidation type="list" allowBlank="1" showInputMessage="1" showErrorMessage="1" sqref="N5" xr:uid="{91FE56AF-498B-4287-8182-61B2888E2AA9}">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22" sqref="J22"/>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1286.47</v>
      </c>
      <c r="C1" s="2461"/>
      <c r="D1" s="2461"/>
      <c r="E1" s="2461"/>
      <c r="F1" s="2461"/>
      <c r="G1" s="2462"/>
      <c r="H1" s="2462"/>
      <c r="I1" s="2462"/>
      <c r="J1" s="2462"/>
      <c r="K1" s="2462"/>
    </row>
    <row r="2" spans="1:11" ht="16.2">
      <c r="A2" s="2300" t="s">
        <v>653</v>
      </c>
      <c r="B2" s="2300">
        <f>SUM(C14:C23)</f>
        <v>147.41999999999999</v>
      </c>
      <c r="C2" s="2461"/>
      <c r="D2" s="2461"/>
      <c r="E2" s="2461"/>
      <c r="F2" s="2461"/>
      <c r="G2" s="2462"/>
      <c r="H2" s="2462"/>
      <c r="I2" s="2462"/>
      <c r="J2" s="2462"/>
      <c r="K2" s="2462"/>
    </row>
    <row r="3" spans="1:11" ht="15.6">
      <c r="A3" s="2300" t="s">
        <v>662</v>
      </c>
      <c r="B3" s="2302">
        <f>项目基本情况!D3</f>
        <v>45818</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4213</v>
      </c>
      <c r="C5" s="2300">
        <f ca="1">IF(B5=D14,结果表!H102,ROUND(B5*10000/$B$1,0))</f>
        <v>32746</v>
      </c>
      <c r="D5" s="2300">
        <f ca="1">ROUND(B5*10000/$B$2,0)</f>
        <v>285782</v>
      </c>
      <c r="E5" s="2461"/>
      <c r="F5" s="2462"/>
      <c r="G5" s="2462"/>
      <c r="H5" s="2462"/>
      <c r="I5" s="2462"/>
      <c r="J5" s="2462"/>
      <c r="K5" s="2462"/>
    </row>
    <row r="6" spans="1:11" ht="15.6">
      <c r="A6" s="2300" t="s">
        <v>656</v>
      </c>
      <c r="B6" s="2300">
        <f ca="1">SUM(G14:G23)</f>
        <v>4213</v>
      </c>
      <c r="C6" s="2300">
        <f ca="1">IF(B6=G14,结果表!H108,ROUND(B6*10000/$B$1,0))</f>
        <v>32746</v>
      </c>
      <c r="D6" s="2300">
        <f ca="1">ROUND(B6*10000/$B$2,0)</f>
        <v>285782</v>
      </c>
      <c r="E6" s="2461"/>
      <c r="F6" s="2462"/>
      <c r="G6" s="2462"/>
      <c r="H6" s="2462"/>
      <c r="I6" s="2462"/>
      <c r="J6" s="2462"/>
      <c r="K6" s="2462"/>
    </row>
    <row r="7" spans="1:11" ht="15.6">
      <c r="A7" s="2300" t="s">
        <v>664</v>
      </c>
      <c r="B7" s="2300">
        <f>SUM(H14:H23)</f>
        <v>0</v>
      </c>
      <c r="C7" s="2300" t="str">
        <f>IF(B7=H14,结果表!H110,ROUND(B7*10000/$B$1,0))</f>
        <v>——</v>
      </c>
      <c r="D7" s="2300">
        <f>ROUND(B7*10000/$B$2,0)</f>
        <v>0</v>
      </c>
      <c r="E7" s="2461"/>
      <c r="F7" s="2462"/>
      <c r="G7" s="2462"/>
      <c r="H7" s="2462"/>
      <c r="I7" s="2462"/>
      <c r="J7" s="2462"/>
      <c r="K7" s="2462"/>
    </row>
    <row r="8" spans="1:11" ht="15.6">
      <c r="A8" s="2300" t="s">
        <v>587</v>
      </c>
      <c r="B8" s="2300">
        <f ca="1">SUM(I14:I23)</f>
        <v>3304</v>
      </c>
      <c r="C8" s="2300">
        <f ca="1">IF(B8=I14,结果表!H112,ROUND(B8*10000/$B$1,0))</f>
        <v>25683</v>
      </c>
      <c r="D8" s="2300">
        <f ca="1">ROUND(B8*10000/$B$2,0)</f>
        <v>224122</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结果表!B118</f>
        <v>1286.47</v>
      </c>
      <c r="C14" s="2306">
        <f>结果表!C118</f>
        <v>147.41999999999999</v>
      </c>
      <c r="D14" s="2306">
        <f ca="1">结果表!H118</f>
        <v>4213</v>
      </c>
      <c r="E14" s="2306">
        <f ca="1">ROUND(D14*10000/B14,0)</f>
        <v>32749</v>
      </c>
      <c r="F14" s="2306">
        <f ca="1">ROUND(D14*10000/C14,0)</f>
        <v>285782</v>
      </c>
      <c r="G14" s="2306">
        <f ca="1">D14</f>
        <v>4213</v>
      </c>
      <c r="H14" s="2306"/>
      <c r="I14" s="2306">
        <f ca="1">结果表!N59</f>
        <v>3304</v>
      </c>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H46" zoomScale="70" zoomScaleNormal="100" zoomScaleSheetLayoutView="70" zoomScalePageLayoutView="80" workbookViewId="0">
      <selection activeCell="N58" sqref="N5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3444</v>
      </c>
      <c r="H1" s="1621" t="str">
        <f>IF(G1="现房","——","估价对象范围")</f>
        <v>——</v>
      </c>
      <c r="I1" s="1622" t="s">
        <v>3445</v>
      </c>
    </row>
    <row r="2" spans="1:12" ht="21.75" customHeight="1" thickBot="1">
      <c r="A2" s="3288" t="str">
        <f>项目基本情况!S2</f>
        <v>北京市北京市朝阳区朝阳门外大街18号房地产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3447</v>
      </c>
      <c r="D4" s="1626" t="s">
        <v>3428</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ustomHeight="1">
      <c r="A14" s="3268" t="s">
        <v>1281</v>
      </c>
      <c r="B14" s="3255">
        <v>30</v>
      </c>
      <c r="C14" s="3271">
        <v>7</v>
      </c>
      <c r="D14" s="3291">
        <v>3</v>
      </c>
      <c r="E14" s="123" t="s">
        <v>1282</v>
      </c>
      <c r="F14" s="1627"/>
      <c r="G14" s="1627"/>
      <c r="H14" s="1627"/>
      <c r="I14" s="1281"/>
    </row>
    <row r="15" spans="1:12" ht="13.2" customHeight="1">
      <c r="A15" s="3268"/>
      <c r="B15" s="3255"/>
      <c r="C15" s="3272"/>
      <c r="D15" s="3291"/>
      <c r="E15" s="123" t="s">
        <v>1283</v>
      </c>
      <c r="F15" s="1627"/>
      <c r="G15" s="1627"/>
      <c r="H15" s="1627"/>
      <c r="I15" s="1281"/>
    </row>
    <row r="16" spans="1:12" ht="13.2" customHeight="1">
      <c r="A16" s="3268"/>
      <c r="B16" s="3255"/>
      <c r="C16" s="3273"/>
      <c r="D16" s="329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8" t="s">
        <v>2131</v>
      </c>
      <c r="F18" s="3279"/>
      <c r="G18" s="3279"/>
      <c r="H18" s="3279"/>
      <c r="I18" s="3279"/>
      <c r="K18" s="294" t="s">
        <v>1289</v>
      </c>
      <c r="L18" s="294">
        <f>IF(C1="",'数据-汇总表'!E3,SUMIF(项目类型,C1,'数据-汇总表'!E17:E26)+SUMIF(项目类型,C1,'数据-汇总表'!I17:I26))</f>
        <v>1286.47</v>
      </c>
      <c r="M18" s="294">
        <f>IF(C1="",'数据-汇总表'!E3,SUMIF(项目类型,C1,'数据-汇总表'!E17:E26))</f>
        <v>1286.47</v>
      </c>
    </row>
    <row r="19" spans="1:36" ht="14.4">
      <c r="A19" s="1630" t="s">
        <v>1290</v>
      </c>
      <c r="B19" s="1631" t="s">
        <v>1291</v>
      </c>
      <c r="C19" s="126">
        <f ca="1">SUMIF(INDIRECT("'"&amp;C4&amp;"'"&amp;"!A:A"),结果表!B19,INDIRECT("'"&amp;C4&amp;"'"&amp;"!B:B"))</f>
        <v>4687.1147000000001</v>
      </c>
      <c r="D19" s="127">
        <f ca="1">SUMIF(INDIRECT("'"&amp;D4&amp;"'"&amp;"!A:A"),结果表!B19,INDIRECT("'"&amp;D4&amp;"'"&amp;"!B:B"))</f>
        <v>3105.7001</v>
      </c>
      <c r="E19" s="1630" t="s">
        <v>1292</v>
      </c>
      <c r="F19" s="1631" t="s">
        <v>1291</v>
      </c>
      <c r="G19" s="128">
        <f ca="1">ROUND(C19*$C$18+D19*$D$18,0)</f>
        <v>4213</v>
      </c>
      <c r="H19" s="1632" t="s">
        <v>1293</v>
      </c>
      <c r="I19" s="121"/>
      <c r="K19" s="294" t="s">
        <v>1294</v>
      </c>
      <c r="L19" s="294">
        <f>IF(C1="",'数据-汇总表'!D3,SUMIF(项目类型,C1,'数据-汇总表'!D17:D26)+SUMIF(项目类型,C1,'数据-汇总表'!H17:H27))</f>
        <v>147.41999999999999</v>
      </c>
      <c r="M19" s="294">
        <f>IF(C1="",'数据-汇总表'!D3,SUMIF(项目类型,C1,'数据-汇总表'!D17:D26))</f>
        <v>147.41999999999999</v>
      </c>
    </row>
    <row r="20" spans="1:36" ht="14.4">
      <c r="A20" s="1633"/>
      <c r="B20" s="43" t="s">
        <v>1295</v>
      </c>
      <c r="C20" s="129">
        <f ca="1">SUMIF(INDIRECT("'"&amp;C4&amp;"'"&amp;"!A:A"),结果表!B20,INDIRECT("'"&amp;C4&amp;"'"&amp;"!B:B"))</f>
        <v>36434</v>
      </c>
      <c r="D20" s="130">
        <f ca="1">SUMIF(INDIRECT("'"&amp;D4&amp;"'"&amp;"!A:A"),结果表!B20,INDIRECT("'"&amp;D4&amp;"'"&amp;"!B:B"))</f>
        <v>24141</v>
      </c>
      <c r="E20" s="1633"/>
      <c r="F20" s="43" t="s">
        <v>1295</v>
      </c>
      <c r="G20" s="131">
        <f ca="1">ROUND(C20*$C$18+D20*$D$18,0)</f>
        <v>32746</v>
      </c>
      <c r="H20" s="760" t="s">
        <v>1296</v>
      </c>
      <c r="I20" s="121"/>
    </row>
    <row r="21" spans="1:36" ht="15" customHeight="1" thickBot="1">
      <c r="A21" s="449"/>
      <c r="B21" s="93" t="s">
        <v>1297</v>
      </c>
      <c r="C21" s="678">
        <f ca="1">ROUND(C19*10000/L19,0)</f>
        <v>317943</v>
      </c>
      <c r="D21" s="679">
        <f ca="1">ROUND(D19*10000/L19,0)</f>
        <v>210670</v>
      </c>
      <c r="E21" s="449"/>
      <c r="F21" s="93" t="s">
        <v>1297</v>
      </c>
      <c r="G21" s="132">
        <f ca="1">ROUND(G19*10000/L19,0)</f>
        <v>285782</v>
      </c>
      <c r="H21" s="1634" t="s">
        <v>1296</v>
      </c>
      <c r="I21" s="121"/>
    </row>
    <row r="22" spans="1:36" ht="15" thickBot="1">
      <c r="A22" s="1564" t="s">
        <v>1298</v>
      </c>
      <c r="B22" s="1635"/>
      <c r="C22" s="1636"/>
      <c r="D22" s="680">
        <f ca="1">IF(C19&lt;D19,D19/C19-1,C19/D19-1)</f>
        <v>0.50919745921378556</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32746</v>
      </c>
      <c r="D32" s="1641" t="s">
        <v>3446</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4213</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45818</v>
      </c>
      <c r="N47" s="3339"/>
      <c r="O47" s="3339"/>
    </row>
    <row r="48" spans="1:15" ht="26.4">
      <c r="A48" s="3287" t="s">
        <v>1338</v>
      </c>
      <c r="B48" s="3270"/>
      <c r="C48" s="3270"/>
      <c r="D48" s="12">
        <f ca="1">IF(H48="情况1",0,IF(H48="情况2",D52,IF(H48="情况3",D53,IF(H48="情况4",D54))))</f>
        <v>225</v>
      </c>
      <c r="E48" s="1256" t="str">
        <f>IF(H48="情况4","(销售额-原购置价)×税（费）率","销售额×税（费）率")</f>
        <v>销售额×税（费）率</v>
      </c>
      <c r="F48" s="2335">
        <f>IF(H48="情况1","免征",'数据-取费表'!B41)</f>
        <v>5.6000000000000001E-2</v>
      </c>
      <c r="G48" s="2336" t="s">
        <v>1339</v>
      </c>
      <c r="H48" s="2337" t="s">
        <v>3450</v>
      </c>
      <c r="I48" s="1668"/>
      <c r="J48" s="2310">
        <v>3</v>
      </c>
      <c r="K48" s="3318" t="s">
        <v>1340</v>
      </c>
      <c r="L48" s="3318"/>
      <c r="M48" s="3340">
        <f ca="1">H101</f>
        <v>4213</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4213</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399999999999999"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225</v>
      </c>
      <c r="E52" s="1256" t="s">
        <v>1354</v>
      </c>
      <c r="F52" s="2340">
        <f>'数据-取费表'!B41</f>
        <v>5.6000000000000001E-2</v>
      </c>
      <c r="G52" s="2341"/>
      <c r="H52" s="2331"/>
      <c r="I52" s="1669"/>
      <c r="J52" s="2310">
        <v>1</v>
      </c>
      <c r="K52" s="3319" t="s">
        <v>1355</v>
      </c>
      <c r="L52" s="3319"/>
      <c r="M52" s="2312">
        <f ca="1">D48</f>
        <v>225</v>
      </c>
      <c r="N52" s="2310" t="str">
        <f>E48</f>
        <v>销售额×税（费）率</v>
      </c>
      <c r="O52" s="2313">
        <f>F48</f>
        <v>5.6000000000000001E-2</v>
      </c>
    </row>
    <row r="53" spans="1:35" ht="12" customHeight="1">
      <c r="A53" s="2153" t="s">
        <v>1356</v>
      </c>
      <c r="B53" s="3280" t="s">
        <v>2291</v>
      </c>
      <c r="C53" s="3281"/>
      <c r="D53" s="1024">
        <f ca="1">ROUND(D45*'数据-取费表'!B41/(1+'数据-取费表'!C42),0)</f>
        <v>225</v>
      </c>
      <c r="E53" s="1256" t="s">
        <v>1354</v>
      </c>
      <c r="F53" s="2340">
        <f>'数据-取费表'!B41</f>
        <v>5.6000000000000001E-2</v>
      </c>
      <c r="G53" s="2341"/>
      <c r="H53" s="2331"/>
      <c r="I53" s="1669"/>
      <c r="J53" s="2310">
        <v>2</v>
      </c>
      <c r="K53" s="3319" t="s">
        <v>1357</v>
      </c>
      <c r="L53" s="3319"/>
      <c r="M53" s="2312">
        <f t="shared" ref="M53:O54" ca="1" si="0">D55</f>
        <v>2</v>
      </c>
      <c r="N53" s="2310" t="str">
        <f t="shared" si="0"/>
        <v>销售额×税（费）率</v>
      </c>
      <c r="O53" s="2313">
        <f t="shared" si="0"/>
        <v>5.0000000000000001E-4</v>
      </c>
    </row>
    <row r="54" spans="1:35" ht="12" customHeight="1">
      <c r="A54" s="2153" t="s">
        <v>1358</v>
      </c>
      <c r="B54" s="3280" t="s">
        <v>2292</v>
      </c>
      <c r="C54" s="3281"/>
      <c r="D54" s="1024">
        <f ca="1">C68</f>
        <v>225</v>
      </c>
      <c r="E54" s="319" t="s">
        <v>1359</v>
      </c>
      <c r="F54" s="2340">
        <f>'数据-取费表'!B41</f>
        <v>5.6000000000000001E-2</v>
      </c>
      <c r="G54" s="2341"/>
      <c r="H54" s="2342"/>
      <c r="I54" s="1669"/>
      <c r="J54" s="2310">
        <v>3</v>
      </c>
      <c r="K54" s="3319" t="s">
        <v>1360</v>
      </c>
      <c r="L54" s="3319"/>
      <c r="M54" s="2312">
        <f t="shared" ca="1" si="0"/>
        <v>682</v>
      </c>
      <c r="N54" s="2310" t="str">
        <f t="shared" si="0"/>
        <v>增值额×税（费）率</v>
      </c>
      <c r="O54" s="2314" t="str">
        <f t="shared" si="0"/>
        <v>——</v>
      </c>
    </row>
    <row r="55" spans="1:35" ht="24" customHeight="1">
      <c r="A55" s="3269" t="s">
        <v>1361</v>
      </c>
      <c r="B55" s="3270"/>
      <c r="C55" s="3270"/>
      <c r="D55" s="12">
        <f ca="1">IF(H55="个人住宅",0,ROUND(D45*I55,0))</f>
        <v>2</v>
      </c>
      <c r="E55" s="1256" t="s">
        <v>1362</v>
      </c>
      <c r="F55" s="2340">
        <f>IF(H55="正常",I55,"免征")</f>
        <v>5.0000000000000001E-4</v>
      </c>
      <c r="G55" s="2341"/>
      <c r="H55" s="2337" t="s">
        <v>3451</v>
      </c>
      <c r="I55" s="157">
        <f>'数据-取费表'!B49</f>
        <v>5.0000000000000001E-4</v>
      </c>
      <c r="J55" s="2310" t="str">
        <f>IF(H59="非个人房产","",4)</f>
        <v/>
      </c>
      <c r="K55" s="3319" t="str">
        <f>IF(H59="非个人房产","——","个人所得税")</f>
        <v>——</v>
      </c>
      <c r="L55" s="3319"/>
      <c r="M55" s="2315" t="str">
        <f>D59</f>
        <v>——</v>
      </c>
      <c r="N55" s="1883" t="str">
        <f>E59</f>
        <v>——</v>
      </c>
      <c r="O55" s="2316" t="str">
        <f>F59</f>
        <v>——</v>
      </c>
    </row>
    <row r="56" spans="1:35" ht="25.2">
      <c r="A56" s="3269" t="s">
        <v>1363</v>
      </c>
      <c r="B56" s="3270"/>
      <c r="C56" s="3270"/>
      <c r="D56" s="12">
        <f ca="1">IF(H56="个人住宅",D57,D58)</f>
        <v>682</v>
      </c>
      <c r="E56" s="1256" t="s">
        <v>1364</v>
      </c>
      <c r="F56" s="2340" t="str">
        <f>IF(H56="正常",F58,"免征")</f>
        <v>——</v>
      </c>
      <c r="G56" s="2343" t="s">
        <v>1365</v>
      </c>
      <c r="H56" s="2344" t="s">
        <v>3451</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41"/>
      <c r="H57" s="2345"/>
      <c r="I57" s="1670"/>
      <c r="J57" s="3319">
        <f>IF(AND(J55="",J56=""),4,IF(项目基本情况!K6="上海银行",结果表!J56+1,结果表!J55+1))</f>
        <v>4</v>
      </c>
      <c r="K57" s="3319" t="s">
        <v>1367</v>
      </c>
      <c r="L57" s="2317" t="s">
        <v>1368</v>
      </c>
      <c r="M57" s="2318"/>
      <c r="N57" s="2319">
        <f ca="1">SUMIF(M52:M56,"&lt;9e307")</f>
        <v>909</v>
      </c>
      <c r="O57" s="2320"/>
      <c r="P57" s="2464">
        <f ca="1">N57/M49</f>
        <v>0.21576074056491812</v>
      </c>
    </row>
    <row r="58" spans="1:35" ht="25.2">
      <c r="A58" s="2153" t="s">
        <v>1352</v>
      </c>
      <c r="B58" s="3280" t="s">
        <v>1369</v>
      </c>
      <c r="C58" s="3254"/>
      <c r="D58" s="12">
        <f ca="1">IF(H58="转让取得",C81,C97)</f>
        <v>682</v>
      </c>
      <c r="E58" s="1256" t="s">
        <v>1364</v>
      </c>
      <c r="F58" s="294" t="s">
        <v>28</v>
      </c>
      <c r="G58" s="2341"/>
      <c r="H58" s="2344" t="s">
        <v>3452</v>
      </c>
      <c r="I58" s="1670"/>
      <c r="J58" s="3319"/>
      <c r="K58" s="3319"/>
      <c r="L58" s="2317" t="s">
        <v>1370</v>
      </c>
      <c r="M58" s="2321"/>
      <c r="N58" s="2322" t="str">
        <f ca="1">NUMBERSTRING(INT(N57*10000),2)&amp;"元整"</f>
        <v>玖佰零玖万元整</v>
      </c>
      <c r="O58" s="2323"/>
    </row>
    <row r="59" spans="1:35" ht="24.6" thickBot="1">
      <c r="A59" s="3322" t="s">
        <v>1371</v>
      </c>
      <c r="B59" s="3323"/>
      <c r="C59" s="3323"/>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3453</v>
      </c>
      <c r="I59" s="2137" t="s">
        <v>2137</v>
      </c>
      <c r="J59" s="3320">
        <f>J57+1</f>
        <v>5</v>
      </c>
      <c r="K59" s="3319" t="s">
        <v>1372</v>
      </c>
      <c r="L59" s="2310" t="s">
        <v>1368</v>
      </c>
      <c r="M59" s="2324"/>
      <c r="N59" s="2325">
        <f ca="1">M49-N57</f>
        <v>3304</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叁仟叁佰零肆万元整</v>
      </c>
      <c r="O60" s="2323"/>
    </row>
    <row r="61" spans="1:35" ht="13.8" thickBot="1">
      <c r="A61" s="3267" t="s">
        <v>1373</v>
      </c>
      <c r="B61" s="3267"/>
      <c r="C61" s="3267"/>
      <c r="D61" s="3267"/>
      <c r="E61" s="3267"/>
      <c r="F61" s="1670"/>
      <c r="G61" s="1670"/>
      <c r="H61" s="151"/>
      <c r="I61" s="121"/>
      <c r="J61" s="2310">
        <f>J59+1</f>
        <v>6</v>
      </c>
      <c r="K61" s="3319" t="s">
        <v>1374</v>
      </c>
      <c r="L61" s="3319"/>
      <c r="M61" s="2327"/>
      <c r="N61" s="2328">
        <f ca="1">ROUND(N59*10000/'数据-汇总表'!E3,0)</f>
        <v>25683</v>
      </c>
      <c r="O61" s="2329"/>
    </row>
    <row r="62" spans="1:35" ht="13.2">
      <c r="A62" s="3285" t="s">
        <v>1375</v>
      </c>
      <c r="B62" s="3286"/>
      <c r="C62" s="1865"/>
      <c r="D62" s="1865" t="s">
        <v>1376</v>
      </c>
      <c r="E62" s="158" t="s">
        <v>1377</v>
      </c>
      <c r="F62" s="1670"/>
      <c r="G62" s="1670"/>
      <c r="H62" s="151"/>
      <c r="I62" s="121"/>
    </row>
    <row r="63" spans="1:35" ht="13.2">
      <c r="A63" s="165" t="s">
        <v>330</v>
      </c>
      <c r="B63" s="159" t="s">
        <v>1378</v>
      </c>
      <c r="C63" s="2350">
        <f ca="1">ROUND((C64+C65)/(1+'数据-取费表'!C42),0)</f>
        <v>4012</v>
      </c>
      <c r="D63" s="159"/>
      <c r="E63" s="160"/>
      <c r="F63" s="1670"/>
      <c r="G63" s="1670"/>
      <c r="H63" s="151"/>
      <c r="I63" s="121"/>
      <c r="J63" s="3344" t="s">
        <v>1379</v>
      </c>
      <c r="K63" s="1245" t="s">
        <v>1380</v>
      </c>
      <c r="L63" s="1245">
        <f ca="1">IF(M49&gt;10000,M49*0.5%,IF(AND(M49&gt;1000,M49&lt;=10000),M49*1%,IF(AND(M49&gt;100,M49&lt;=1000),M49*3%,IF(AND(M49&gt;10,M49&lt;=100),M49*5%,M49*8%))))</f>
        <v>42.13</v>
      </c>
      <c r="M63" s="294">
        <f ca="1">ROUND(L63,1)</f>
        <v>42.1</v>
      </c>
      <c r="N63" s="2330"/>
      <c r="Z63" s="1623"/>
      <c r="AI63" s="1561"/>
    </row>
    <row r="64" spans="1:35" ht="14.25" customHeight="1">
      <c r="A64" s="161" t="s">
        <v>325</v>
      </c>
      <c r="B64" s="162" t="s">
        <v>1381</v>
      </c>
      <c r="C64" s="2351">
        <f ca="1">D45</f>
        <v>4213</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21.065000000000001</v>
      </c>
      <c r="M64" s="294">
        <f t="shared" ref="M64:M65" ca="1" si="1">ROUND(L64,1)</f>
        <v>21.1</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4.2130000000000001</v>
      </c>
      <c r="M65" s="294">
        <f t="shared" ca="1" si="1"/>
        <v>4.2</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21.065000000000001</v>
      </c>
      <c r="M66" s="294">
        <f ca="1">IF(L66&gt;0.5,0.5,ROUND(L66,0))</f>
        <v>0.5</v>
      </c>
      <c r="N66" s="2331" t="s">
        <v>1388</v>
      </c>
      <c r="Z66" s="1623"/>
      <c r="AI66" s="1561"/>
    </row>
    <row r="67" spans="1:35" ht="14.25" customHeight="1">
      <c r="A67" s="165" t="s">
        <v>328</v>
      </c>
      <c r="B67" s="166" t="s">
        <v>1389</v>
      </c>
      <c r="C67" s="2354">
        <f ca="1">C63-C66</f>
        <v>4012</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225</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84.26</v>
      </c>
      <c r="M68" s="294">
        <f ca="1">ROUND(L68,1)</f>
        <v>84.3</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155</v>
      </c>
      <c r="N69" s="2332">
        <f ca="1">M69/M49</f>
        <v>3.6790885354854024E-2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4012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24</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3988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166.16666666666666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2384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f>'数据-汇总表'!F19</f>
        <v>1286.47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4012</v>
      </c>
      <c r="D85" s="162" t="s">
        <v>26</v>
      </c>
      <c r="E85" s="1257"/>
      <c r="F85" s="1255"/>
      <c r="G85" s="1255"/>
      <c r="H85" s="184"/>
      <c r="I85" s="1681"/>
      <c r="J85" s="1678"/>
      <c r="K85" s="1678">
        <v>11899.22</v>
      </c>
      <c r="L85" s="3165">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2050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915</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8">
        <f>ROUND((K85-L85)*K84/10000,0)</f>
        <v>888</v>
      </c>
      <c r="D88" s="2363"/>
      <c r="E88" s="185" t="s">
        <v>1413</v>
      </c>
      <c r="F88" s="2148"/>
      <c r="G88" s="186" t="s">
        <v>1414</v>
      </c>
      <c r="H88" s="1684" t="s">
        <v>3448</v>
      </c>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27</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643</v>
      </c>
      <c r="D91" s="2363"/>
      <c r="E91" s="3264" t="s">
        <v>1419</v>
      </c>
      <c r="F91" s="3265"/>
      <c r="G91" s="3265"/>
      <c r="H91" s="1685" t="s">
        <v>3449</v>
      </c>
      <c r="I91" s="1686">
        <f>ROUND(K84*L85/10000,0)</f>
        <v>643</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156</v>
      </c>
      <c r="D92" s="2369">
        <v>0.1</v>
      </c>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24</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312</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1962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0.95707317073170728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682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 (元)</v>
      </c>
      <c r="D101" s="2372" t="str">
        <f>D4</f>
        <v>收益法 (元)</v>
      </c>
      <c r="E101" s="3341" t="s">
        <v>1431</v>
      </c>
      <c r="F101" s="3298"/>
      <c r="G101" s="1687" t="s">
        <v>1432</v>
      </c>
      <c r="H101" s="2381">
        <f ca="1">H118</f>
        <v>4213</v>
      </c>
      <c r="I101" s="121"/>
    </row>
    <row r="102" spans="1:35" ht="18.75" customHeight="1">
      <c r="A102" s="3300" t="s">
        <v>1433</v>
      </c>
      <c r="B102" s="2370" t="s">
        <v>1432</v>
      </c>
      <c r="C102" s="2371">
        <f ca="1">IF(D32="楼面单价",ROUND(C19,0),C19)</f>
        <v>4687</v>
      </c>
      <c r="D102" s="2372">
        <f ca="1">IF(D32="楼面单价",ROUND(D19,0),D19)</f>
        <v>3106</v>
      </c>
      <c r="E102" s="3341"/>
      <c r="F102" s="3298"/>
      <c r="G102" s="1687" t="s">
        <v>1434</v>
      </c>
      <c r="H102" s="2341">
        <f ca="1">I118</f>
        <v>32746</v>
      </c>
      <c r="I102" s="121"/>
    </row>
    <row r="103" spans="1:35" ht="42.75" customHeight="1">
      <c r="A103" s="3300"/>
      <c r="B103" s="2370" t="s">
        <v>1434</v>
      </c>
      <c r="C103" s="2373">
        <f ca="1">C20</f>
        <v>36434</v>
      </c>
      <c r="D103" s="2374">
        <f ca="1">D20</f>
        <v>24141</v>
      </c>
      <c r="E103" s="3335" t="s">
        <v>1435</v>
      </c>
      <c r="F103" s="3336"/>
      <c r="G103" s="1688" t="s">
        <v>1436</v>
      </c>
      <c r="H103" s="2381">
        <f>IF(D36="正常操作",H104+H105+H106,H105+H106)</f>
        <v>0</v>
      </c>
      <c r="I103" s="121"/>
    </row>
    <row r="104" spans="1:35" ht="18.75" customHeight="1">
      <c r="A104" s="3300" t="s">
        <v>1437</v>
      </c>
      <c r="B104" s="2375" t="s">
        <v>1432</v>
      </c>
      <c r="C104" s="2376">
        <f ca="1">H118</f>
        <v>4213</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32746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4213</v>
      </c>
      <c r="I107" s="121"/>
    </row>
    <row r="108" spans="1:35" ht="18.75" customHeight="1">
      <c r="A108" s="121"/>
      <c r="B108" s="121"/>
      <c r="C108" s="121"/>
      <c r="D108" s="121"/>
      <c r="E108" s="3297"/>
      <c r="F108" s="3298"/>
      <c r="G108" s="1687" t="s">
        <v>1434</v>
      </c>
      <c r="H108" s="2341">
        <f ca="1">IF(H107=H101,H102,ROUND(H107*10000/'数据-汇总表'!E3,0))</f>
        <v>32746</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299"/>
      <c r="G111" s="1687" t="s">
        <v>1432</v>
      </c>
      <c r="H111" s="2381">
        <f ca="1">IF(E111="——","——",N59)</f>
        <v>3304</v>
      </c>
      <c r="I111" s="121"/>
    </row>
    <row r="112" spans="1:35" ht="18.75" customHeight="1" thickBot="1">
      <c r="A112" s="121"/>
      <c r="B112" s="121"/>
      <c r="C112" s="121"/>
      <c r="D112" s="121"/>
      <c r="E112" s="3330"/>
      <c r="F112" s="3331"/>
      <c r="G112" s="1690" t="s">
        <v>1434</v>
      </c>
      <c r="H112" s="2385">
        <f ca="1">IF(E111="——","——",N61)</f>
        <v>25683</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北京市北京市朝阳区朝阳门外大街18号房地产</v>
      </c>
      <c r="B118" s="2150">
        <f>M18</f>
        <v>1286.47</v>
      </c>
      <c r="C118" s="2150">
        <f>M19</f>
        <v>147.41999999999999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4213</v>
      </c>
      <c r="I118" s="2150">
        <f ca="1">ROUND(IF(D32="楼面单价",C32,H118*10000/B118),0)</f>
        <v>32746</v>
      </c>
    </row>
    <row r="119" spans="1:27" ht="18.75" customHeight="1">
      <c r="A119" s="3268" t="s">
        <v>1452</v>
      </c>
      <c r="B119" s="3268"/>
      <c r="C119" s="3268"/>
      <c r="D119" s="3308" t="e">
        <f ca="1">NUMBERSTRING(INT(D118*10000),2)&amp;"元整"</f>
        <v>#REF!</v>
      </c>
      <c r="E119" s="3310"/>
      <c r="F119" s="3308" t="e">
        <f ca="1">NUMBERSTRING(INT(F118*10000),2)&amp;"元整"</f>
        <v>#REF!</v>
      </c>
      <c r="G119" s="3310"/>
      <c r="H119" s="3308" t="str">
        <f ca="1">NUMBERSTRING(INT(H118*10000),2)&amp;"元整"</f>
        <v>肆仟贰佰壹拾叁万元整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4213</v>
      </c>
      <c r="E122" s="3333"/>
      <c r="F122" s="3333"/>
      <c r="G122" s="3333"/>
      <c r="H122" s="3333"/>
      <c r="I122" s="3334"/>
      <c r="AA122" s="684"/>
    </row>
    <row r="123" spans="1:27" ht="18.75" customHeight="1">
      <c r="A123" s="3268" t="s">
        <v>1452</v>
      </c>
      <c r="B123" s="3268"/>
      <c r="C123" s="3268"/>
      <c r="D123" s="3308" t="str">
        <f ca="1">NUMBERSTRING(INT(D122*10000),2)&amp;"元整"</f>
        <v>肆仟贰佰壹拾叁万元整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抵押净值</v>
      </c>
      <c r="B126" s="3299"/>
      <c r="C126" s="3299"/>
      <c r="D126" s="3332">
        <f ca="1">H111</f>
        <v>3304</v>
      </c>
      <c r="E126" s="3333"/>
      <c r="F126" s="3333"/>
      <c r="G126" s="3333"/>
      <c r="H126" s="3333"/>
      <c r="I126" s="3334"/>
      <c r="AA126" s="684"/>
    </row>
    <row r="127" spans="1:27" ht="18.75" customHeight="1">
      <c r="A127" s="3268" t="s">
        <v>1452</v>
      </c>
      <c r="B127" s="3268"/>
      <c r="C127" s="3268"/>
      <c r="D127" s="3308" t="str">
        <f ca="1">NUMBERSTRING(INT(D126*10000),2)&amp;"元整"</f>
        <v>叁仟叁佰零肆万元整</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6739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26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26</v>
      </c>
      <c r="D10" s="795">
        <f ca="1">IF(B1="",'数据-汇总表'!E6,IF(INDIRECT("'数据-取费表'!c"&amp;$G$1)="住宅",INDIRECT("'数据-取费表'!s"&amp;$G$1),INDIRECT("'数据-取费表'!k"&amp;$G$1)+INDIRECT("'数据-取费表'!s"&amp;$G$1)))</f>
        <v>1286.47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26</v>
      </c>
      <c r="D19" s="204">
        <f ca="1">D9+D10</f>
        <v>1286.47</v>
      </c>
      <c r="E19" s="203">
        <f>'数据-取费表'!B31</f>
        <v>200</v>
      </c>
      <c r="F19" s="223"/>
      <c r="G19" s="1714"/>
    </row>
    <row r="20" spans="1:7" s="206" customFormat="1" ht="13.5" customHeight="1">
      <c r="A20" s="247" t="s">
        <v>1493</v>
      </c>
      <c r="B20" s="202" t="s">
        <v>1494</v>
      </c>
      <c r="C20" s="224">
        <f ca="1">ROUND((C5+C19)*F20,0)</f>
        <v>1</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4</v>
      </c>
      <c r="D22" s="227">
        <f ca="1">C26</f>
        <v>1.4E-3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11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720</v>
      </c>
      <c r="D34" s="209"/>
      <c r="E34" s="212"/>
      <c r="F34" s="249">
        <f ca="1">IF('数据-取费表'!B24=0,1,IF(B1="",'数据-取费表'!N16,INDIRECT("'数据-取费表'!n"&amp;$G$1)))</f>
        <v>1</v>
      </c>
      <c r="G34" s="211" t="s">
        <v>1526</v>
      </c>
    </row>
    <row r="35" spans="1:7" ht="13.5" customHeight="1">
      <c r="A35" s="734" t="s">
        <v>351</v>
      </c>
      <c r="B35" s="207" t="s">
        <v>1527</v>
      </c>
      <c r="C35" s="212">
        <f ca="1">ROUND(C34*F35,0)</f>
        <v>58</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v>
      </c>
      <c r="D37" s="209">
        <f ca="1">D19</f>
        <v>1286.47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20</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38</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37</v>
      </c>
      <c r="D42" s="230"/>
      <c r="E42" s="230"/>
      <c r="F42" s="231"/>
      <c r="G42" s="3348" t="s">
        <v>1544</v>
      </c>
    </row>
    <row r="43" spans="1:7" ht="13.5" customHeight="1">
      <c r="A43" s="734" t="s">
        <v>347</v>
      </c>
      <c r="B43" s="207" t="s">
        <v>1545</v>
      </c>
      <c r="C43" s="230">
        <f ca="1">ROUND(IF('数据-取费表'!B22&lt;=1,C39*F22*'数据-取费表'!B21/2,C39*(POWER((1+F22),'数据-取费表'!B21/2)-1)),0)</f>
        <v>1</v>
      </c>
      <c r="D43" s="230"/>
      <c r="E43" s="230"/>
      <c r="F43" s="231"/>
      <c r="G43" s="3349"/>
    </row>
    <row r="44" spans="1:7" ht="13.5" customHeight="1">
      <c r="A44" s="734" t="s">
        <v>348</v>
      </c>
      <c r="B44" s="207" t="s">
        <v>1546</v>
      </c>
      <c r="C44" s="230">
        <f ca="1">ROUND(IF('数据-取费表'!B22&lt;=1,C40*F22*'数据-取费表'!B21/2,C40*(POWER((1+F22),'数据-取费表'!B21/2)-1)),4)</f>
        <v>1.4E-3</v>
      </c>
      <c r="D44" s="230"/>
      <c r="E44" s="230"/>
      <c r="F44" s="231"/>
      <c r="G44" s="3350"/>
    </row>
    <row r="45" spans="1:7" s="206" customFormat="1" ht="13.5" customHeight="1">
      <c r="A45" s="247" t="s">
        <v>1547</v>
      </c>
      <c r="B45" s="236" t="s">
        <v>1513</v>
      </c>
      <c r="C45" s="237">
        <f ca="1">C46</f>
        <v>168</v>
      </c>
      <c r="D45" s="227">
        <f ca="1">C47</f>
        <v>6.0000000000000001E-3</v>
      </c>
      <c r="E45" s="228" t="s">
        <v>1539</v>
      </c>
      <c r="F45" s="238">
        <f ca="1">F27</f>
        <v>0.2</v>
      </c>
      <c r="G45" s="239" t="s">
        <v>1548</v>
      </c>
    </row>
    <row r="46" spans="1:7" s="206" customFormat="1" ht="13.5" customHeight="1">
      <c r="A46" s="734" t="s">
        <v>346</v>
      </c>
      <c r="B46" s="240" t="s">
        <v>1549</v>
      </c>
      <c r="C46" s="241">
        <f ca="1">ROUND((C33+C39)*F27,0)</f>
        <v>168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1148</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792</v>
      </c>
      <c r="D51" s="224"/>
      <c r="E51" s="224"/>
      <c r="F51" s="256"/>
      <c r="G51" s="226" t="s">
        <v>1560</v>
      </c>
    </row>
    <row r="52" spans="1:7" s="200" customFormat="1" ht="16.8" thickBot="1">
      <c r="A52" s="257" t="s">
        <v>1561</v>
      </c>
      <c r="B52" s="258"/>
      <c r="C52" s="259">
        <f ca="1">C31+C51</f>
        <v>867</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北京市北京市朝阳区朝阳门外大街18号房地产抵押价值预评估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D34" sqref="D3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1286.47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2571</v>
      </c>
      <c r="C2" s="1846" t="s">
        <v>1935</v>
      </c>
      <c r="D2" s="162" t="s">
        <v>1936</v>
      </c>
      <c r="E2" s="3120"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33878</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19985</v>
      </c>
      <c r="C3" s="1846" t="s">
        <v>1941</v>
      </c>
      <c r="D3" s="162" t="s">
        <v>1942</v>
      </c>
      <c r="E3" s="3118" t="s">
        <v>3429</v>
      </c>
      <c r="F3" s="1848" t="s">
        <v>3430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26895</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23239</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21029</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20042</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9"/>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v>1.02</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2" t="s">
        <v>3254</v>
      </c>
      <c r="B20" s="159" t="s">
        <v>1994</v>
      </c>
      <c r="C20" s="3031">
        <f>ROUND(IF(F21="与级别开发程度一致",0,(G21-E21)/C21),0)</f>
        <v>-31</v>
      </c>
      <c r="D20" s="3046" t="s">
        <v>1998</v>
      </c>
      <c r="E20" s="3047"/>
      <c r="F20" s="3368" t="s">
        <v>1995</v>
      </c>
      <c r="G20" s="3369"/>
      <c r="H20" s="3032" t="s">
        <v>3433</v>
      </c>
      <c r="I20" s="3032" t="s">
        <v>3434</v>
      </c>
      <c r="J20" s="3033" t="s">
        <v>3435</v>
      </c>
      <c r="K20" s="1889" t="s">
        <v>3436</v>
      </c>
      <c r="L20" s="1889" t="s">
        <v>3437</v>
      </c>
      <c r="M20" s="1889" t="s">
        <v>43</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3432</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20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45818</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0.6784</v>
      </c>
      <c r="D24" s="1902" t="s">
        <v>2007</v>
      </c>
      <c r="E24" s="1248">
        <f>存贷款利率!E28/100</f>
        <v>4.3499999999999997E-2</v>
      </c>
      <c r="F24" s="1902" t="s">
        <v>1999</v>
      </c>
      <c r="G24" s="724">
        <f>SUMIF(M30:Q30,E2,M33:Q33)</f>
        <v>5.5E-2</v>
      </c>
      <c r="H24" s="1902" t="s">
        <v>2008</v>
      </c>
      <c r="I24" s="725">
        <f>SUMIF('数据-取费表'!C6:C15,E2,'数据-取费表'!F6:F15)/COUNTIF('数据-取费表'!C6:C15,E2)</f>
        <v>18.66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0.89700000000000002</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2571</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19984</v>
      </c>
      <c r="D33" s="1940">
        <f>'数据-汇总表'!F19</f>
        <v>1286.47</v>
      </c>
      <c r="E33" s="727">
        <f>ROUND(C33*D33/10000,0)</f>
        <v>2571</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4996</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6"/>
      <c r="B37" s="1955" t="s">
        <v>2036</v>
      </c>
      <c r="C37" s="167">
        <f>ROUND(D5*C22*C23*C24*C28*F37,0)</f>
        <v>15289</v>
      </c>
      <c r="D37" s="1940"/>
      <c r="E37" s="163">
        <f>ROUND(C37*D37/10000,0)</f>
        <v>0</v>
      </c>
      <c r="F37" s="163">
        <f>SUMIF(修正!A57:A68,G2,修正!B57:B68)</f>
        <v>0.7</v>
      </c>
      <c r="G37" s="163">
        <f>ROUND(IF(E2="工业",C37*$M$42,C37*$M$41),0)</f>
        <v>3822</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8737</v>
      </c>
      <c r="D38" s="1940"/>
      <c r="E38" s="163">
        <f t="shared" ref="E38:E42" si="4">ROUND(C38*D38/10000,0)</f>
        <v>0</v>
      </c>
      <c r="F38" s="163">
        <f>SUMIF(修正!A57:A68,G2,修正!C57:C68)</f>
        <v>0.4</v>
      </c>
      <c r="G38" s="163">
        <f>ROUND(IF(E2="工业",C38*$M$42,C38*$M$41),0)</f>
        <v>2184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7"/>
      <c r="B39" s="1884" t="s">
        <v>3259</v>
      </c>
      <c r="C39" s="167">
        <f>ROUND(D5*C22*C23*C24*C28*F39,0)</f>
        <v>6553</v>
      </c>
      <c r="D39" s="1940"/>
      <c r="E39" s="163">
        <f t="shared" si="4"/>
        <v>0</v>
      </c>
      <c r="F39" s="163">
        <f>SUMIF(修正!A57:A68,G2,修正!D57:D68)</f>
        <v>0.3</v>
      </c>
      <c r="G39" s="163">
        <f>ROUND(IF(E2="工业",C39*$M$42,C39*$M$41),0)</f>
        <v>1638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6553</v>
      </c>
      <c r="D40" s="1940"/>
      <c r="E40" s="163">
        <f t="shared" si="4"/>
        <v>0</v>
      </c>
      <c r="F40" s="167">
        <f>SUMIF(修正!A57:A68,G2,修正!E57:E68)</f>
        <v>0.3</v>
      </c>
      <c r="G40" s="163">
        <f>ROUND(IF(E2="工业",C40*$M$42,C40*$M$41),0)</f>
        <v>1638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f>IF(E2="办公",SUMIF(L1:L12,G2,N1:N12),"——")</f>
        <v>8.2000000000000003E-2</v>
      </c>
      <c r="G61" s="1000"/>
      <c r="H61" s="1003">
        <f t="shared" ref="H61:H69" si="13">IFERROR(ROUNDDOWN($F$61*I61/2,4),"——")</f>
        <v>1.0200000000000001E-2</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f t="shared" si="13"/>
        <v>1.06E-2</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f t="shared" si="13"/>
        <v>4.4999999999999997E-3</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f t="shared" si="13"/>
        <v>2E-3</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f t="shared" si="13"/>
        <v>2E-3</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f t="shared" si="13"/>
        <v>2.3999999999999998E-3</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f t="shared" si="13"/>
        <v>2.3999999999999998E-3</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f t="shared" si="13"/>
        <v>3.5999999999999999E-3</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f t="shared" si="13"/>
        <v>2.8E-3</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4" t="s">
        <v>3294</v>
      </c>
      <c r="B103" s="3364"/>
      <c r="C103" s="3364"/>
      <c r="D103" s="3364"/>
      <c r="E103" s="3364"/>
      <c r="F103" s="3364"/>
      <c r="G103" s="3364"/>
      <c r="H103" s="3364"/>
      <c r="I103" s="3364"/>
      <c r="J103" s="3364"/>
      <c r="K103" s="1667"/>
      <c r="L103" s="1667"/>
      <c r="M103" s="1667"/>
      <c r="N103" s="1667"/>
    </row>
    <row r="104" spans="1:14">
      <c r="A104" s="3365" t="s">
        <v>3295</v>
      </c>
      <c r="B104" s="3365" t="s">
        <v>3296</v>
      </c>
      <c r="C104" s="3090" t="s">
        <v>3297</v>
      </c>
      <c r="D104" s="3091"/>
      <c r="E104" s="3091"/>
      <c r="F104" s="3091"/>
      <c r="G104" s="3091"/>
      <c r="H104" s="3091"/>
      <c r="I104" s="3091"/>
      <c r="J104" s="3092"/>
      <c r="K104" s="3093"/>
      <c r="L104" s="3093"/>
      <c r="M104" s="3093"/>
      <c r="N104" s="3093"/>
    </row>
    <row r="105" spans="1:14">
      <c r="A105" s="3365"/>
      <c r="B105" s="336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5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4" t="s">
        <v>3311</v>
      </c>
      <c r="B113" s="3354"/>
      <c r="C113" s="3354"/>
      <c r="D113" s="3354"/>
      <c r="E113" s="3354"/>
      <c r="F113" s="3354"/>
      <c r="G113" s="3354"/>
      <c r="H113" s="3354"/>
      <c r="I113" s="3354"/>
      <c r="J113" s="335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8.73</v>
      </c>
      <c r="C116" s="3099" t="s">
        <v>3313</v>
      </c>
      <c r="D116" s="3100">
        <f>SUMPRODUCT((A118:A122=F116)*(B117:M117=H116)*B118:M122)</f>
        <v>0.8952</v>
      </c>
      <c r="E116" s="162" t="s">
        <v>3314</v>
      </c>
      <c r="F116" s="3101" t="str">
        <f>E2</f>
        <v>办公</v>
      </c>
      <c r="G116" s="162" t="s">
        <v>3315</v>
      </c>
      <c r="H116" s="3101" t="str">
        <f>G2</f>
        <v>一级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0.90080000000000005</v>
      </c>
      <c r="C118" s="3089">
        <f>B118</f>
        <v>0.90080000000000005</v>
      </c>
      <c r="D118" s="3089">
        <f>ROUND(0.949-0.014*B116,4)</f>
        <v>0.82679999999999998</v>
      </c>
      <c r="E118" s="3089">
        <f>D118</f>
        <v>0.82679999999999998</v>
      </c>
      <c r="F118" s="3089">
        <f>E118</f>
        <v>0.82679999999999998</v>
      </c>
      <c r="G118" s="3089">
        <f>F118</f>
        <v>0.82679999999999998</v>
      </c>
      <c r="H118" s="3089">
        <f>G118</f>
        <v>0.82679999999999998</v>
      </c>
      <c r="I118" s="3089">
        <f>ROUND(0.8486-0.018*B116,4)</f>
        <v>0.6915</v>
      </c>
      <c r="J118" s="3089">
        <f t="shared" ref="J118:M122" si="35">I118</f>
        <v>0.6915</v>
      </c>
      <c r="K118" s="3089">
        <f t="shared" si="35"/>
        <v>0.6915</v>
      </c>
      <c r="L118" s="3089">
        <f t="shared" si="35"/>
        <v>0.6915</v>
      </c>
      <c r="M118" s="3109">
        <f t="shared" si="35"/>
        <v>0.6915</v>
      </c>
      <c r="N118" s="3097"/>
    </row>
    <row r="119" spans="1:14">
      <c r="A119" s="3057" t="s">
        <v>3329</v>
      </c>
      <c r="B119" s="3089">
        <f>ROUND(0.993-0.0112*B116,4)</f>
        <v>0.8952</v>
      </c>
      <c r="C119" s="3089">
        <f>B119</f>
        <v>0.8952</v>
      </c>
      <c r="D119" s="3089">
        <f>ROUND(0.9415-0.0142*B116,4)</f>
        <v>0.8175</v>
      </c>
      <c r="E119" s="3089">
        <f t="shared" ref="E119:H120" si="36">D119</f>
        <v>0.8175</v>
      </c>
      <c r="F119" s="3089">
        <f t="shared" si="36"/>
        <v>0.8175</v>
      </c>
      <c r="G119" s="3089">
        <f t="shared" si="36"/>
        <v>0.8175</v>
      </c>
      <c r="H119" s="3089">
        <f t="shared" si="36"/>
        <v>0.8175</v>
      </c>
      <c r="I119" s="3089">
        <f>ROUND(0.838-0.0182*B116,4)</f>
        <v>0.67910000000000004</v>
      </c>
      <c r="J119" s="3089">
        <f t="shared" si="35"/>
        <v>0.67910000000000004</v>
      </c>
      <c r="K119" s="3089">
        <f t="shared" si="35"/>
        <v>0.67910000000000004</v>
      </c>
      <c r="L119" s="3089">
        <f t="shared" si="35"/>
        <v>0.67910000000000004</v>
      </c>
      <c r="M119" s="3109">
        <f t="shared" si="35"/>
        <v>0.67910000000000004</v>
      </c>
      <c r="N119" s="3097"/>
    </row>
    <row r="120" spans="1:14">
      <c r="A120" s="3057" t="s">
        <v>3330</v>
      </c>
      <c r="B120" s="3089">
        <f>ROUND(0.9448-0.0115*B116,4)</f>
        <v>0.84440000000000004</v>
      </c>
      <c r="C120" s="3089">
        <f>B120</f>
        <v>0.84440000000000004</v>
      </c>
      <c r="D120" s="3089">
        <f>ROUND(0.937-0.0145*B116,4)</f>
        <v>0.81040000000000001</v>
      </c>
      <c r="E120" s="3089">
        <f t="shared" si="36"/>
        <v>0.81040000000000001</v>
      </c>
      <c r="F120" s="3089">
        <f t="shared" si="36"/>
        <v>0.81040000000000001</v>
      </c>
      <c r="G120" s="3089">
        <f t="shared" si="36"/>
        <v>0.81040000000000001</v>
      </c>
      <c r="H120" s="3089">
        <f t="shared" si="36"/>
        <v>0.81040000000000001</v>
      </c>
      <c r="I120" s="3089">
        <f>ROUND(0.7965-0.0185*B116,4)</f>
        <v>0.63500000000000001</v>
      </c>
      <c r="J120" s="3089">
        <f t="shared" si="35"/>
        <v>0.63500000000000001</v>
      </c>
      <c r="K120" s="3089">
        <f t="shared" si="35"/>
        <v>0.63500000000000001</v>
      </c>
      <c r="L120" s="3089">
        <f t="shared" si="35"/>
        <v>0.63500000000000001</v>
      </c>
      <c r="M120" s="3109">
        <f t="shared" si="35"/>
        <v>0.63500000000000001</v>
      </c>
      <c r="N120" s="3097"/>
    </row>
    <row r="121" spans="1:14" ht="13.8" thickBot="1">
      <c r="A121" s="3110" t="s">
        <v>3331</v>
      </c>
      <c r="B121" s="3111">
        <f>ROUND(0.7836-0.012*B116,4)</f>
        <v>0.67879999999999996</v>
      </c>
      <c r="C121" s="3111">
        <f>B121</f>
        <v>0.67879999999999996</v>
      </c>
      <c r="D121" s="3111">
        <f>ROUND(0.753-0.015*B116,4)</f>
        <v>0.62209999999999999</v>
      </c>
      <c r="E121" s="3111">
        <f>D121</f>
        <v>0.62209999999999999</v>
      </c>
      <c r="F121" s="3111">
        <f>E121</f>
        <v>0.62209999999999999</v>
      </c>
      <c r="G121" s="3111">
        <f>ROUND(0.6612-0.018*B116,4)</f>
        <v>0.50409999999999999</v>
      </c>
      <c r="H121" s="3111">
        <f>G121</f>
        <v>0.50409999999999999</v>
      </c>
      <c r="I121" s="3111">
        <f>ROUND(0.5905-0.019*B116,4)</f>
        <v>0.42459999999999998</v>
      </c>
      <c r="J121" s="3111">
        <f t="shared" si="35"/>
        <v>0.42459999999999998</v>
      </c>
      <c r="K121" s="3111">
        <f t="shared" si="35"/>
        <v>0.42459999999999998</v>
      </c>
      <c r="L121" s="3111">
        <f t="shared" si="35"/>
        <v>0.42459999999999998</v>
      </c>
      <c r="M121" s="3112">
        <f t="shared" si="35"/>
        <v>0.42459999999999998</v>
      </c>
      <c r="N121" s="3097"/>
    </row>
    <row r="122" spans="1:14">
      <c r="A122" s="3113" t="s">
        <v>2612</v>
      </c>
      <c r="B122" s="3089">
        <f>ROUND(0.9404-0.0106*B116,4)</f>
        <v>0.84789999999999999</v>
      </c>
      <c r="C122" s="3089">
        <f>B122</f>
        <v>0.84789999999999999</v>
      </c>
      <c r="D122" s="3089">
        <f>ROUND(0.8955-0.0135*B116,4)</f>
        <v>0.77759999999999996</v>
      </c>
      <c r="E122" s="3089">
        <f t="shared" ref="E122:H122" si="37">D122</f>
        <v>0.77759999999999996</v>
      </c>
      <c r="F122" s="3089">
        <f t="shared" si="37"/>
        <v>0.77759999999999996</v>
      </c>
      <c r="G122" s="3089">
        <f t="shared" si="37"/>
        <v>0.77759999999999996</v>
      </c>
      <c r="H122" s="3089">
        <f t="shared" si="37"/>
        <v>0.77759999999999996</v>
      </c>
      <c r="I122" s="3089">
        <f>ROUND(0.7632-0.0166*B116,4)</f>
        <v>0.61829999999999996</v>
      </c>
      <c r="J122" s="3089">
        <f t="shared" si="35"/>
        <v>0.61829999999999996</v>
      </c>
      <c r="K122" s="3089">
        <f t="shared" si="35"/>
        <v>0.61829999999999996</v>
      </c>
      <c r="L122" s="3089">
        <f t="shared" si="35"/>
        <v>0.61829999999999996</v>
      </c>
      <c r="M122" s="3109">
        <f t="shared" si="35"/>
        <v>0.61829999999999996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 zoomScale="85" zoomScaleNormal="70" zoomScaleSheetLayoutView="85" workbookViewId="0">
      <selection activeCell="F27" sqref="F2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4687.1147000000001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36434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26750229</v>
      </c>
      <c r="D5" s="203" t="s">
        <v>1469</v>
      </c>
      <c r="E5" s="204" t="s">
        <v>1470</v>
      </c>
      <c r="F5" s="204" t="s">
        <v>1471</v>
      </c>
      <c r="G5" s="205"/>
    </row>
    <row r="6" spans="1:8" s="206" customFormat="1" ht="13.5" customHeight="1">
      <c r="A6" s="732" t="s">
        <v>1472</v>
      </c>
      <c r="B6" s="207" t="s">
        <v>1473</v>
      </c>
      <c r="C6" s="208">
        <f>ROUND(基准地价修正!D33*基准地价修正!C33,0)</f>
        <v>25708816</v>
      </c>
      <c r="D6" s="209"/>
      <c r="E6" s="210"/>
      <c r="F6" s="210"/>
      <c r="G6" s="211"/>
    </row>
    <row r="7" spans="1:8" s="206" customFormat="1" ht="13.5" customHeight="1">
      <c r="A7" s="732" t="s">
        <v>1474</v>
      </c>
      <c r="B7" s="207" t="s">
        <v>1475</v>
      </c>
      <c r="C7" s="212">
        <f>ROUND(C6*F7,0)</f>
        <v>784119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257294</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257294</v>
      </c>
      <c r="D10" s="795">
        <f ca="1">IF(B1="",'数据-汇总表'!E6,IF(INDIRECT("'数据-取费表'!c"&amp;$G$1)="住宅",INDIRECT("'数据-取费表'!s"&amp;$G$1),INDIRECT("'数据-取费表'!k"&amp;$G$1)+INDIRECT("'数据-取费表'!s"&amp;$G$1)))</f>
        <v>1286.47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1286.47</v>
      </c>
      <c r="E19" s="203">
        <f>'数据-取费表'!B31</f>
        <v>200</v>
      </c>
      <c r="F19" s="223"/>
      <c r="G19" s="1714" t="s">
        <v>3440</v>
      </c>
    </row>
    <row r="20" spans="1:7" s="206" customFormat="1" ht="13.5" customHeight="1">
      <c r="A20" s="247" t="s">
        <v>1574</v>
      </c>
      <c r="B20" s="202" t="s">
        <v>1575</v>
      </c>
      <c r="C20" s="224">
        <f ca="1">ROUND((C5+C19)*F20,0)</f>
        <v>668756</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2510787</v>
      </c>
      <c r="D22" s="227">
        <f ca="1">C26</f>
        <v>1.4E-3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2480468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30319</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5483797</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5483797</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38945968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8181950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7204232</v>
      </c>
      <c r="D34" s="209"/>
      <c r="E34" s="212"/>
      <c r="F34" s="249"/>
      <c r="G34" s="211"/>
    </row>
    <row r="35" spans="1:7" ht="13.5" customHeight="1">
      <c r="A35" s="734" t="s">
        <v>351</v>
      </c>
      <c r="B35" s="207" t="s">
        <v>1527</v>
      </c>
      <c r="C35" s="212">
        <f ca="1">ROUND(C34*F35,0)</f>
        <v>576339</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257294</v>
      </c>
      <c r="D37" s="209">
        <f ca="1">D19</f>
        <v>1286.47</v>
      </c>
      <c r="E37" s="241">
        <f>'数据-取费表'!B35</f>
        <v>200</v>
      </c>
      <c r="F37" s="251"/>
      <c r="G37" s="253"/>
    </row>
    <row r="38" spans="1:7" ht="13.5" customHeight="1">
      <c r="A38" s="734" t="s">
        <v>354</v>
      </c>
      <c r="B38" s="207" t="s">
        <v>1533</v>
      </c>
      <c r="C38" s="212">
        <f ca="1">ROUND(C34*F38,0)</f>
        <v>144085</v>
      </c>
      <c r="D38" s="212"/>
      <c r="E38" s="212"/>
      <c r="F38" s="251">
        <f>'数据-取费表'!B36</f>
        <v>0.02</v>
      </c>
      <c r="G38" s="211" t="s">
        <v>1528</v>
      </c>
    </row>
    <row r="39" spans="1:7" s="206" customFormat="1" ht="13.5" customHeight="1">
      <c r="A39" s="247" t="s">
        <v>1534</v>
      </c>
      <c r="B39" s="202" t="s">
        <v>1535</v>
      </c>
      <c r="C39" s="224">
        <f ca="1">ROUND(C33*F20,0)</f>
        <v>204549</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380209</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370936</v>
      </c>
      <c r="D42" s="230"/>
      <c r="E42" s="230"/>
      <c r="F42" s="231"/>
      <c r="G42" s="3348" t="s">
        <v>1591</v>
      </c>
    </row>
    <row r="43" spans="1:7" ht="13.5" customHeight="1">
      <c r="A43" s="734" t="s">
        <v>347</v>
      </c>
      <c r="B43" s="207" t="s">
        <v>1545</v>
      </c>
      <c r="C43" s="230">
        <f ca="1">ROUND(IF('数据-取费表'!B22&lt;=1,C39*F22*'数据-取费表'!B20/2,C39*(POWER((1+F22),'数据-取费表'!B20/2)-1)),0)</f>
        <v>9273</v>
      </c>
      <c r="D43" s="230"/>
      <c r="E43" s="230"/>
      <c r="F43" s="231"/>
      <c r="G43" s="3349"/>
    </row>
    <row r="44" spans="1:7" ht="13.5" customHeight="1">
      <c r="A44" s="734" t="s">
        <v>348</v>
      </c>
      <c r="B44" s="207" t="s">
        <v>1546</v>
      </c>
      <c r="C44" s="230">
        <f ca="1">ROUND(IF('数据-取费表'!B22&lt;=1,C40*F22*'数据-取费表'!B20/2,C40*(POWER((1+F22),'数据-取费表'!B20/2)-1)),4)</f>
        <v>1.4E-3</v>
      </c>
      <c r="D44" s="230"/>
      <c r="E44" s="230"/>
      <c r="F44" s="231"/>
      <c r="G44" s="3350"/>
    </row>
    <row r="45" spans="1:7" s="206" customFormat="1" ht="13.5" customHeight="1">
      <c r="A45" s="247" t="s">
        <v>1547</v>
      </c>
      <c r="B45" s="236" t="s">
        <v>1513</v>
      </c>
      <c r="C45" s="237">
        <f ca="1">C46</f>
        <v>1677300</v>
      </c>
      <c r="D45" s="227">
        <f ca="1">C47</f>
        <v>6.0000000000000001E-3</v>
      </c>
      <c r="E45" s="228" t="s">
        <v>1539</v>
      </c>
      <c r="F45" s="238">
        <f ca="1">F27</f>
        <v>0.2</v>
      </c>
      <c r="G45" s="239" t="s">
        <v>1548</v>
      </c>
    </row>
    <row r="46" spans="1:7" s="206" customFormat="1" ht="13.5" customHeight="1">
      <c r="A46" s="734" t="s">
        <v>346</v>
      </c>
      <c r="B46" s="240" t="s">
        <v>1549</v>
      </c>
      <c r="C46" s="241">
        <f ca="1">ROUND((C33+C39)*F27,0)</f>
        <v>1677300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11485767</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7925179</v>
      </c>
      <c r="D51" s="224"/>
      <c r="E51" s="224"/>
      <c r="F51" s="256"/>
      <c r="G51" s="226" t="s">
        <v>1560</v>
      </c>
    </row>
    <row r="52" spans="1:7" s="200" customFormat="1" ht="16.8" thickBot="1">
      <c r="A52" s="257" t="s">
        <v>1561</v>
      </c>
      <c r="B52" s="258"/>
      <c r="C52" s="259">
        <f ca="1">C31+C51</f>
        <v>46871147</v>
      </c>
      <c r="D52" s="258"/>
      <c r="E52" s="258"/>
      <c r="F52" s="258"/>
      <c r="G52" s="260"/>
    </row>
    <row r="55" spans="1:7" ht="15">
      <c r="B55" s="262" t="s">
        <v>1562</v>
      </c>
      <c r="C55" s="263"/>
    </row>
    <row r="56" spans="1:7">
      <c r="B56" s="265" t="s">
        <v>802</v>
      </c>
      <c r="C56" s="267">
        <f ca="1">1-C57</f>
        <v>0.83099999999999996</v>
      </c>
    </row>
    <row r="57" spans="1:7">
      <c r="B57" s="265" t="s">
        <v>803</v>
      </c>
      <c r="C57" s="266">
        <f ca="1">ROUND(C51/C52,3)</f>
        <v>0.16900000000000001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1286.47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1286.47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26</v>
      </c>
      <c r="D20" s="796">
        <f ca="1">IF(C1="",'数据-汇总表'!E6,IF(INDIRECT("'数据-取费表'!c"&amp;$K$1)="住宅",INDIRECT("'数据-取费表'!s"&amp;$K$1),INDIRECT("'数据-取费表'!k"&amp;$K$1)+INDIRECT("'数据-取费表'!s"&amp;$K$1)))</f>
        <v>1286.47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57" sqref="E5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18.66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3105.7001</v>
      </c>
      <c r="C2" s="1289" t="s">
        <v>879</v>
      </c>
      <c r="D2" s="1375">
        <f ca="1">C40+J29+L46</f>
        <v>31057001</v>
      </c>
      <c r="E2" s="1295" t="s">
        <v>880</v>
      </c>
      <c r="F2" s="1296"/>
      <c r="G2" s="2478"/>
      <c r="H2" s="2468"/>
      <c r="I2" s="2468"/>
      <c r="J2" s="2468"/>
      <c r="K2" s="2469"/>
      <c r="L2" s="2468"/>
      <c r="M2" s="2468"/>
    </row>
    <row r="3" spans="1:37" ht="18" customHeight="1" thickBot="1">
      <c r="A3" s="1297" t="s">
        <v>881</v>
      </c>
      <c r="B3" s="1298">
        <f ca="1">IF(ISERROR(D2/F43),0,ROUND(D2/F43,0))</f>
        <v>24141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2750369</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2746935</v>
      </c>
      <c r="D6" s="147" t="s">
        <v>2106</v>
      </c>
      <c r="E6" s="294" t="s">
        <v>696</v>
      </c>
      <c r="F6" s="295">
        <f ca="1">INDIRECT("'数据-取费表'!u"&amp;$G$1)</f>
        <v>6.5</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1286.47</v>
      </c>
      <c r="G7" s="1292"/>
      <c r="H7" s="296"/>
      <c r="I7" s="3373"/>
      <c r="J7" s="298"/>
      <c r="K7" s="299"/>
      <c r="L7" s="294" t="s">
        <v>697</v>
      </c>
      <c r="M7" s="295">
        <f ca="1">F7</f>
        <v>1286.47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3434</v>
      </c>
      <c r="D10" s="150" t="s">
        <v>2116</v>
      </c>
      <c r="E10" s="305" t="s">
        <v>701</v>
      </c>
      <c r="F10" s="1053" t="s">
        <v>3441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7925179</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7204232</v>
      </c>
      <c r="D14" s="1257" t="s">
        <v>708</v>
      </c>
      <c r="E14" s="1255"/>
      <c r="F14" s="311"/>
      <c r="G14" s="1292"/>
      <c r="H14" s="928" t="s">
        <v>398</v>
      </c>
      <c r="I14" s="294" t="s">
        <v>709</v>
      </c>
      <c r="J14" s="21">
        <f ca="1">C29</f>
        <v>11485767</v>
      </c>
      <c r="K14" s="12"/>
      <c r="L14" s="759"/>
      <c r="M14" s="760"/>
    </row>
    <row r="15" spans="1:37" s="1304" customFormat="1" ht="18" customHeight="1" thickBot="1">
      <c r="A15" s="928" t="s">
        <v>399</v>
      </c>
      <c r="B15" s="294" t="s">
        <v>710</v>
      </c>
      <c r="C15" s="21">
        <f ca="1">ROUND(C14*F15,0)</f>
        <v>576339</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38880</v>
      </c>
      <c r="K16" s="1024" t="s">
        <v>715</v>
      </c>
      <c r="L16" s="1025"/>
      <c r="M16" s="1009"/>
    </row>
    <row r="17" spans="1:37" s="1304" customFormat="1" ht="18" customHeight="1">
      <c r="A17" s="928" t="s">
        <v>681</v>
      </c>
      <c r="B17" s="294" t="s">
        <v>716</v>
      </c>
      <c r="C17" s="21">
        <f ca="1">ROUND(F17*(F43+INDIRECT("'数据-取费表'!S"&amp;$G$1)),0)</f>
        <v>257294</v>
      </c>
      <c r="D17" s="294" t="s">
        <v>717</v>
      </c>
      <c r="E17" s="294" t="s">
        <v>718</v>
      </c>
      <c r="F17" s="23">
        <f>'数据-取费表'!B35</f>
        <v>200</v>
      </c>
      <c r="G17" s="1303"/>
      <c r="H17" s="928" t="s">
        <v>398</v>
      </c>
      <c r="I17" s="294" t="s">
        <v>719</v>
      </c>
      <c r="J17" s="2140">
        <f ca="1">ROUND(IF(AND(项目基本情况!B11="自然人",项目基本情况!B10="北京市"),J6*M17/(1+'数据-取费表'!C42),J18+J19+J20),0)</f>
        <v>4423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144085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8181950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204549</v>
      </c>
      <c r="D20" s="315" t="s">
        <v>729</v>
      </c>
      <c r="E20" s="294" t="s">
        <v>712</v>
      </c>
      <c r="F20" s="314">
        <f>'数据-取费表'!B37</f>
        <v>2.5000000000000001E-2</v>
      </c>
      <c r="G20" s="1303"/>
      <c r="H20" s="928" t="s">
        <v>680</v>
      </c>
      <c r="I20" s="147" t="s">
        <v>730</v>
      </c>
      <c r="J20" s="22">
        <f ca="1">ROUND(M20*M21,0)</f>
        <v>4423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147.41999999999999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34457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380209</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-38880</v>
      </c>
      <c r="K25" s="1032" t="s">
        <v>753</v>
      </c>
      <c r="L25" s="1033"/>
      <c r="M25" s="1034"/>
    </row>
    <row r="26" spans="1:37" ht="18" customHeight="1">
      <c r="A26" s="928" t="s">
        <v>397</v>
      </c>
      <c r="B26" s="294" t="s">
        <v>754</v>
      </c>
      <c r="C26" s="21">
        <f ca="1">ROUND((C19+C20)*F26,0)</f>
        <v>1677300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11485767</v>
      </c>
      <c r="D29" s="1029"/>
      <c r="E29" s="1027"/>
      <c r="F29" s="1030"/>
      <c r="G29" s="1303"/>
      <c r="H29" s="325" t="s">
        <v>396</v>
      </c>
      <c r="I29" s="326" t="s">
        <v>768</v>
      </c>
      <c r="J29" s="327">
        <f ca="1">ROUND(J26/(1+F40)^F41,0)</f>
        <v>0</v>
      </c>
      <c r="K29" s="328" t="s">
        <v>769</v>
      </c>
      <c r="L29" s="329"/>
      <c r="M29" s="330">
        <f ca="1">INDIRECT("'数据-取费表'!k"&amp;$G$1)</f>
        <v>1286.47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520995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464861</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146503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313935</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4423</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147.41999999999999</v>
      </c>
      <c r="G35" s="1292"/>
      <c r="H35" s="2470"/>
      <c r="I35" s="1305"/>
      <c r="J35" s="1306"/>
      <c r="K35" s="2474"/>
      <c r="L35" s="2473"/>
      <c r="M35" s="2473"/>
    </row>
    <row r="36" spans="1:18" ht="18" customHeight="1">
      <c r="A36" s="1039" t="s">
        <v>402</v>
      </c>
      <c r="B36" s="294" t="s">
        <v>738</v>
      </c>
      <c r="C36" s="21">
        <f ca="1">ROUND(C29*F36,0)</f>
        <v>34457</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7925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13752</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2229374</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29757075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18.66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23131</v>
      </c>
      <c r="D43" s="328" t="s">
        <v>777</v>
      </c>
      <c r="E43" s="329" t="s">
        <v>778</v>
      </c>
      <c r="F43" s="330">
        <f ca="1">INDIRECT("'数据-取费表'!k"&amp;$G$1)</f>
        <v>1286.47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-3029.4719</v>
      </c>
      <c r="D45" s="3130" t="s">
        <v>3353</v>
      </c>
      <c r="E45" s="1307"/>
      <c r="F45" s="1307"/>
      <c r="O45" s="1310" t="s">
        <v>808</v>
      </c>
      <c r="P45" s="1366"/>
      <c r="Q45" s="1366"/>
      <c r="R45" s="1366"/>
    </row>
    <row r="46" spans="1:18" s="1292" customFormat="1" ht="13.8" thickBot="1">
      <c r="A46" s="1311" t="s">
        <v>809</v>
      </c>
      <c r="C46" s="1312">
        <f ca="1">ROUND(C45,0)</f>
        <v>-3029</v>
      </c>
      <c r="D46" s="1313" t="str">
        <f>C2</f>
        <v>万元</v>
      </c>
      <c r="I46" s="1314" t="s">
        <v>810</v>
      </c>
      <c r="J46" s="1315"/>
      <c r="K46" s="1316"/>
      <c r="L46" s="1317">
        <f ca="1">IF(M47="住宅",0,IF(L48&gt;J51,L60,J60))</f>
        <v>1299926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29757075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18.66</v>
      </c>
      <c r="O48" s="1325" t="s">
        <v>404</v>
      </c>
      <c r="P48" s="1326" t="s">
        <v>821</v>
      </c>
      <c r="Q48" s="1327">
        <f ca="1">J60</f>
        <v>1299926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'[2]数据-取费表'!O19</f>
        <v>1996</v>
      </c>
      <c r="K49" s="1330" t="s">
        <v>824</v>
      </c>
      <c r="L49" s="1333"/>
      <c r="O49" s="1334" t="s">
        <v>405</v>
      </c>
      <c r="P49" s="1326" t="s">
        <v>825</v>
      </c>
      <c r="Q49" s="1327">
        <f ca="1">C29</f>
        <v>11485767</v>
      </c>
      <c r="R49" s="1327" t="s">
        <v>818</v>
      </c>
    </row>
    <row r="50" spans="1:18" s="1292" customFormat="1" ht="13.8" thickBot="1">
      <c r="A50" s="922"/>
      <c r="B50" s="925"/>
      <c r="C50" s="926"/>
      <c r="D50" s="899"/>
      <c r="E50" s="993" t="s">
        <v>697</v>
      </c>
      <c r="F50" s="994">
        <f ca="1">F7</f>
        <v>1286.47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26111899</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18.66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18.66</v>
      </c>
      <c r="K53" s="3370" t="s">
        <v>837</v>
      </c>
      <c r="L53" s="3371"/>
      <c r="O53" s="1325" t="s">
        <v>409</v>
      </c>
      <c r="P53" s="1326" t="s">
        <v>838</v>
      </c>
      <c r="Q53" s="1327">
        <f ca="1">Q47+Q48</f>
        <v>31057001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7925179</v>
      </c>
      <c r="D56" s="1352"/>
      <c r="E56" s="1353"/>
      <c r="F56" s="1345"/>
      <c r="I56" s="1354" t="s">
        <v>842</v>
      </c>
      <c r="J56" s="1355"/>
      <c r="K56" s="1328" t="s">
        <v>843</v>
      </c>
      <c r="L56" s="1331" t="str">
        <f ca="1">IF(L48&lt;J51,"——",L48-J51)</f>
        <v>——</v>
      </c>
      <c r="O56" s="1325" t="s">
        <v>403</v>
      </c>
      <c r="P56" s="1326" t="s">
        <v>817</v>
      </c>
      <c r="Q56" s="1327">
        <f ca="1">C40+J29</f>
        <v>29757075</v>
      </c>
      <c r="R56" s="1327" t="s">
        <v>818</v>
      </c>
    </row>
    <row r="57" spans="1:18" s="1292" customFormat="1" ht="24.6" thickBot="1">
      <c r="A57" s="1356"/>
      <c r="B57" s="896" t="s">
        <v>767</v>
      </c>
      <c r="C57" s="230">
        <f ca="1">C29</f>
        <v>11485767</v>
      </c>
      <c r="D57" s="1357"/>
      <c r="E57" s="1358"/>
      <c r="F57" s="1359"/>
      <c r="I57" s="1360" t="s">
        <v>844</v>
      </c>
      <c r="J57" s="1361">
        <f ca="1">IF(OR(M47="住宅",J51&lt;L48,J56="是"),"——",J51-L48)</f>
        <v>12.34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46805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4423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4594307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1299926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4423</v>
      </c>
      <c r="D62" s="911" t="s">
        <v>786</v>
      </c>
      <c r="E62" s="896" t="s">
        <v>787</v>
      </c>
      <c r="F62" s="317">
        <f t="shared" si="0"/>
        <v>30</v>
      </c>
      <c r="I62" s="1367" t="s">
        <v>858</v>
      </c>
      <c r="J62" s="610" t="s">
        <v>859</v>
      </c>
      <c r="K62" s="610" t="s">
        <v>860</v>
      </c>
      <c r="L62" s="610" t="s">
        <v>861</v>
      </c>
      <c r="M62" s="1368" t="s">
        <v>862</v>
      </c>
      <c r="O62" s="1325" t="s">
        <v>409</v>
      </c>
      <c r="P62" s="1326" t="s">
        <v>863</v>
      </c>
      <c r="Q62" s="1327">
        <f ca="1">Q56+Q57</f>
        <v>29757075</v>
      </c>
      <c r="R62" s="1327" t="s">
        <v>410</v>
      </c>
    </row>
    <row r="63" spans="1:18" s="1292" customFormat="1" ht="13.8" thickBot="1">
      <c r="A63" s="318"/>
      <c r="B63" s="902"/>
      <c r="C63" s="26"/>
      <c r="D63" s="912"/>
      <c r="E63" s="896" t="s">
        <v>788</v>
      </c>
      <c r="F63" s="295">
        <f t="shared" ca="1" si="0"/>
        <v>147.41999999999999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34457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7925</v>
      </c>
      <c r="D65" s="910" t="s">
        <v>743</v>
      </c>
      <c r="E65" s="896" t="s">
        <v>744</v>
      </c>
      <c r="F65" s="321">
        <f t="shared" ca="1" si="0"/>
        <v>1E-3</v>
      </c>
      <c r="I65" s="1367" t="s">
        <v>867</v>
      </c>
      <c r="J65" s="610">
        <v>40</v>
      </c>
      <c r="K65" s="610">
        <v>30</v>
      </c>
      <c r="L65" s="610">
        <v>50</v>
      </c>
      <c r="M65" s="1369">
        <v>0.02</v>
      </c>
      <c r="O65" s="1325" t="s">
        <v>403</v>
      </c>
      <c r="P65" s="1326" t="s">
        <v>868</v>
      </c>
      <c r="Q65" s="1327">
        <f ca="1">C40+J29</f>
        <v>29757075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-46805</v>
      </c>
      <c r="D67" s="909" t="s">
        <v>753</v>
      </c>
      <c r="E67" s="914"/>
      <c r="F67" s="915"/>
      <c r="O67" s="1334" t="s">
        <v>405</v>
      </c>
      <c r="P67" s="1326" t="s">
        <v>850</v>
      </c>
      <c r="Q67" s="1370">
        <f ca="1">L51</f>
        <v>26111899</v>
      </c>
      <c r="R67" s="1327" t="s">
        <v>870</v>
      </c>
    </row>
    <row r="68" spans="1:18" s="1292" customFormat="1" ht="16.2" thickBot="1">
      <c r="A68" s="893" t="s">
        <v>395</v>
      </c>
      <c r="B68" s="894" t="s">
        <v>774</v>
      </c>
      <c r="C68" s="293">
        <f ca="1">ROUND(C67*(1-((1+F70)/(1+F68))^F69)/(F68-F70),0)</f>
        <v>-537644</v>
      </c>
      <c r="D68" s="911" t="s">
        <v>758</v>
      </c>
      <c r="E68" s="896" t="s">
        <v>759</v>
      </c>
      <c r="F68" s="304">
        <f ca="1">F40</f>
        <v>5.5E-2</v>
      </c>
      <c r="O68" s="1334" t="s">
        <v>406</v>
      </c>
      <c r="P68" s="1371" t="s">
        <v>871</v>
      </c>
      <c r="Q68" s="1327">
        <f ca="1">ROUND(Q69-Q70*Q71,0)</f>
        <v>1674611</v>
      </c>
      <c r="R68" s="1327" t="s">
        <v>414</v>
      </c>
    </row>
    <row r="69" spans="1:18" s="1292" customFormat="1" ht="13.8" thickBot="1">
      <c r="A69" s="897"/>
      <c r="B69" s="898"/>
      <c r="C69" s="298"/>
      <c r="D69" s="916" t="s">
        <v>762</v>
      </c>
      <c r="E69" s="896" t="s">
        <v>763</v>
      </c>
      <c r="F69" s="324">
        <f ca="1">F41</f>
        <v>18.66</v>
      </c>
      <c r="O69" s="1334" t="s">
        <v>411</v>
      </c>
      <c r="P69" s="1371" t="s">
        <v>872</v>
      </c>
      <c r="Q69" s="1327">
        <f ca="1">C39</f>
        <v>2229374</v>
      </c>
      <c r="R69" s="1327" t="s">
        <v>818</v>
      </c>
    </row>
    <row r="70" spans="1:18" s="1292" customFormat="1" ht="13.8" thickBot="1">
      <c r="A70" s="900"/>
      <c r="B70" s="901"/>
      <c r="C70" s="302"/>
      <c r="D70" s="912"/>
      <c r="E70" s="896" t="s">
        <v>766</v>
      </c>
      <c r="F70" s="991"/>
      <c r="O70" s="1334" t="s">
        <v>412</v>
      </c>
      <c r="P70" s="1371" t="s">
        <v>873</v>
      </c>
      <c r="Q70" s="1327">
        <f ca="1">C13</f>
        <v>7925179</v>
      </c>
      <c r="R70" s="1327" t="s">
        <v>818</v>
      </c>
    </row>
    <row r="71" spans="1:18" s="1292" customFormat="1" ht="13.8" thickBot="1">
      <c r="A71" s="917" t="s">
        <v>396</v>
      </c>
      <c r="B71" s="918" t="s">
        <v>776</v>
      </c>
      <c r="C71" s="327">
        <f ca="1">ROUND(C68/F71,0)</f>
        <v>-418</v>
      </c>
      <c r="D71" s="919" t="s">
        <v>777</v>
      </c>
      <c r="E71" s="920" t="s">
        <v>778</v>
      </c>
      <c r="F71" s="330">
        <f ca="1">F43</f>
        <v>1286.47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554763</v>
      </c>
      <c r="D75" s="1292"/>
      <c r="E75" s="1292"/>
      <c r="F75" s="1292"/>
      <c r="K75" s="1309"/>
      <c r="L75" s="1292"/>
      <c r="O75" s="1325" t="s">
        <v>409</v>
      </c>
      <c r="P75" s="1326" t="s">
        <v>838</v>
      </c>
      <c r="Q75" s="1327">
        <f ca="1">Q65+Q66</f>
        <v>29757075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0.751</v>
      </c>
    </row>
    <row r="80" spans="1:18">
      <c r="B80" s="331" t="s">
        <v>800</v>
      </c>
      <c r="C80" s="266">
        <f ca="1">ROUND(C75/C39,3)</f>
        <v>0.249</v>
      </c>
    </row>
    <row r="81" spans="2:3">
      <c r="B81" s="262" t="s">
        <v>801</v>
      </c>
      <c r="C81" s="230"/>
    </row>
    <row r="82" spans="2:3">
      <c r="B82" s="265" t="s">
        <v>802</v>
      </c>
      <c r="C82" s="267">
        <f ca="1">1-C83</f>
        <v>0.73399999999999999</v>
      </c>
    </row>
    <row r="83" spans="2:3">
      <c r="B83" s="265" t="s">
        <v>803</v>
      </c>
      <c r="C83" s="266">
        <f ca="1">ROUND(C13/C40,3)</f>
        <v>0.26600000000000001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81" t="s">
        <v>2317</v>
      </c>
      <c r="K2" s="338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83" t="s">
        <v>2327</v>
      </c>
      <c r="K3" s="338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83" t="s">
        <v>2329</v>
      </c>
      <c r="K4" s="338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89" t="s">
        <v>2333</v>
      </c>
      <c r="B6" s="3390"/>
      <c r="C6" s="3391"/>
      <c r="D6" s="2621"/>
      <c r="E6" s="2622"/>
      <c r="F6" s="2623"/>
      <c r="G6" s="2624"/>
      <c r="H6" s="2599"/>
      <c r="I6" s="2600"/>
      <c r="J6" s="3375">
        <v>1</v>
      </c>
      <c r="K6" s="337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75"/>
      <c r="K7" s="3377"/>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92" t="s">
        <v>2347</v>
      </c>
      <c r="C8" s="3393"/>
      <c r="D8" s="2640" t="s">
        <v>2348</v>
      </c>
      <c r="E8" s="2641" t="s">
        <v>2349</v>
      </c>
      <c r="F8" s="2642" t="s">
        <v>2350</v>
      </c>
      <c r="G8" s="2643"/>
      <c r="H8" s="2599"/>
      <c r="I8" s="2600"/>
      <c r="J8" s="3375"/>
      <c r="K8" s="3377"/>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92" t="s">
        <v>2353</v>
      </c>
      <c r="C9" s="3393"/>
      <c r="D9" s="2640">
        <f>ROUND(D6*E9,0)</f>
        <v>0</v>
      </c>
      <c r="E9" s="2644"/>
      <c r="F9" s="2645" t="s">
        <v>2354</v>
      </c>
      <c r="G9" s="2624"/>
      <c r="H9" s="2599"/>
      <c r="I9" s="2600"/>
      <c r="J9" s="3375"/>
      <c r="K9" s="3377"/>
      <c r="L9" s="2634" t="s">
        <v>2355</v>
      </c>
      <c r="M9" s="2635"/>
      <c r="N9" s="2611"/>
      <c r="O9" s="2636"/>
      <c r="P9" s="2636"/>
      <c r="Q9" s="2637">
        <v>365</v>
      </c>
      <c r="R9" s="2638">
        <f t="shared" si="0"/>
        <v>0</v>
      </c>
      <c r="S9" s="2592"/>
      <c r="T9" s="2592"/>
      <c r="U9" s="2592"/>
      <c r="V9" s="2600"/>
    </row>
    <row r="10" spans="1:22" s="2604" customFormat="1" ht="13.2" customHeight="1">
      <c r="A10" s="2639">
        <v>2</v>
      </c>
      <c r="B10" s="3392" t="s">
        <v>2356</v>
      </c>
      <c r="C10" s="3393"/>
      <c r="D10" s="2640">
        <f>ROUND(D6*E10,0)</f>
        <v>0</v>
      </c>
      <c r="E10" s="2644"/>
      <c r="F10" s="2645" t="s">
        <v>2357</v>
      </c>
      <c r="G10" s="2624"/>
      <c r="H10" s="2599"/>
      <c r="I10" s="2600"/>
      <c r="J10" s="3375"/>
      <c r="K10" s="3377"/>
      <c r="L10" s="2634" t="s">
        <v>2358</v>
      </c>
      <c r="M10" s="2635"/>
      <c r="N10" s="2611"/>
      <c r="O10" s="2636"/>
      <c r="P10" s="2636"/>
      <c r="Q10" s="2637">
        <v>365</v>
      </c>
      <c r="R10" s="2638">
        <f t="shared" si="0"/>
        <v>0</v>
      </c>
      <c r="S10" s="2592"/>
      <c r="T10" s="2592"/>
      <c r="U10" s="2592"/>
      <c r="V10" s="2600"/>
    </row>
    <row r="11" spans="1:22" s="2604" customFormat="1" ht="13.2" customHeight="1">
      <c r="A11" s="2639">
        <v>3</v>
      </c>
      <c r="B11" s="3392" t="s">
        <v>2359</v>
      </c>
      <c r="C11" s="3393"/>
      <c r="D11" s="2640">
        <f>D12+D14+D15+D16</f>
        <v>0</v>
      </c>
      <c r="E11" s="2646" t="e">
        <f>D11/D6</f>
        <v>#DIV/0!</v>
      </c>
      <c r="F11" s="2642"/>
      <c r="G11" s="2643"/>
      <c r="H11" s="2599"/>
      <c r="I11" s="2600"/>
      <c r="J11" s="3375"/>
      <c r="K11" s="3377"/>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85" t="s">
        <v>2362</v>
      </c>
      <c r="C12" s="3386"/>
      <c r="D12" s="2648">
        <f>ROUND(D13*1.2%*(1-30%),0)</f>
        <v>0</v>
      </c>
      <c r="E12" s="2649">
        <v>1.2E-2</v>
      </c>
      <c r="F12" s="2642" t="s">
        <v>2363</v>
      </c>
      <c r="G12" s="2643"/>
      <c r="H12" s="2599"/>
      <c r="I12" s="2600"/>
      <c r="J12" s="3375"/>
      <c r="K12" s="3377"/>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75"/>
      <c r="K13" s="3377"/>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85" t="s">
        <v>2368</v>
      </c>
      <c r="C14" s="3386"/>
      <c r="D14" s="2648">
        <f>ROUND(E14*B5/10000,0)</f>
        <v>0</v>
      </c>
      <c r="E14" s="2637"/>
      <c r="F14" s="2642" t="s">
        <v>2369</v>
      </c>
      <c r="G14" s="2643"/>
      <c r="H14" s="2599"/>
      <c r="I14" s="2600"/>
      <c r="J14" s="3375"/>
      <c r="K14" s="337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85" t="s">
        <v>2372</v>
      </c>
      <c r="C15" s="3386"/>
      <c r="D15" s="2648">
        <f>ROUND(D6*E15,0)</f>
        <v>0</v>
      </c>
      <c r="E15" s="2649">
        <v>5.5E-2</v>
      </c>
      <c r="F15" s="2642" t="s">
        <v>2373</v>
      </c>
      <c r="G15" s="2624"/>
      <c r="H15" s="2599"/>
      <c r="I15" s="2600"/>
      <c r="J15" s="3375">
        <v>2</v>
      </c>
      <c r="K15" s="337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85" t="s">
        <v>2381</v>
      </c>
      <c r="C16" s="3386"/>
      <c r="D16" s="2659">
        <f>D6*E16</f>
        <v>0</v>
      </c>
      <c r="E16" s="2660"/>
      <c r="F16" s="2645" t="s">
        <v>2382</v>
      </c>
      <c r="G16" s="2624"/>
      <c r="H16" s="2599"/>
      <c r="I16" s="2600"/>
      <c r="J16" s="3375"/>
      <c r="K16" s="3377"/>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87" t="s">
        <v>2384</v>
      </c>
      <c r="C17" s="3388"/>
      <c r="D17" s="2662">
        <f>ROUND(D6*E17,0)</f>
        <v>0</v>
      </c>
      <c r="E17" s="2663"/>
      <c r="F17" s="2664" t="s">
        <v>2385</v>
      </c>
      <c r="G17" s="2624"/>
      <c r="H17" s="2599"/>
      <c r="I17" s="2600"/>
      <c r="J17" s="3375"/>
      <c r="K17" s="3377"/>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75"/>
      <c r="K18" s="3377"/>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75"/>
      <c r="K19" s="337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75">
        <v>3</v>
      </c>
      <c r="K20" s="337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75"/>
      <c r="K21" s="3377"/>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75"/>
      <c r="K22" s="3377"/>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75"/>
      <c r="K23" s="3377"/>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75"/>
      <c r="K24" s="337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81" t="s">
        <v>2317</v>
      </c>
      <c r="K32" s="338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83" t="s">
        <v>2327</v>
      </c>
      <c r="K33" s="338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83" t="s">
        <v>2329</v>
      </c>
      <c r="K34" s="338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75">
        <v>1</v>
      </c>
      <c r="K36" s="3376"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75"/>
      <c r="K37" s="3377"/>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75"/>
      <c r="K38" s="3377"/>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75"/>
      <c r="K39" s="3377"/>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75"/>
      <c r="K40" s="3378"/>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9">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3105.7001</v>
      </c>
      <c r="C2" s="1729" t="s">
        <v>1651</v>
      </c>
      <c r="D2" s="1730" t="s">
        <v>1652</v>
      </c>
      <c r="E2" s="2393">
        <f>SUM(E6:E13)</f>
        <v>1286.47</v>
      </c>
      <c r="F2" s="2479"/>
      <c r="G2" s="459"/>
      <c r="H2" s="459"/>
      <c r="I2" s="459"/>
      <c r="J2" s="459"/>
      <c r="K2" s="459"/>
      <c r="L2" s="459"/>
      <c r="M2" s="459"/>
      <c r="N2" s="459"/>
      <c r="O2" s="459"/>
      <c r="P2" s="459"/>
      <c r="Q2" s="459"/>
      <c r="R2" s="459"/>
      <c r="S2" s="459"/>
    </row>
    <row r="3" spans="1:22" ht="15.6">
      <c r="A3" s="1728" t="s">
        <v>686</v>
      </c>
      <c r="B3" s="2387">
        <f ca="1">ROUND(B2*10000/E2,0)</f>
        <v>24141</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94" t="s">
        <v>1654</v>
      </c>
      <c r="C5" s="339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3105.7001</v>
      </c>
      <c r="C6" s="1729" t="s">
        <v>1651</v>
      </c>
      <c r="D6" s="2479"/>
      <c r="E6" s="2392">
        <f>IF(OR(A6=0,F6="否"),0,'数据-取费表'!K6+'数据-取费表'!S6)</f>
        <v>1286.47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1286.47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414" t="s">
        <v>1667</v>
      </c>
      <c r="D4" s="3415"/>
      <c r="E4" s="3416" t="s">
        <v>1668</v>
      </c>
      <c r="F4" s="3417"/>
      <c r="G4" s="3414" t="s">
        <v>1669</v>
      </c>
      <c r="H4" s="3415"/>
      <c r="I4" s="3414" t="s">
        <v>1670</v>
      </c>
      <c r="J4" s="3415"/>
      <c r="K4" s="1744" t="s">
        <v>1671</v>
      </c>
      <c r="L4" s="2486"/>
      <c r="M4" s="2487"/>
      <c r="N4" s="2487"/>
      <c r="O4" s="2487"/>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5"/>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1745"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1286.47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00"/>
      <c r="AC6" s="3413"/>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1286.47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c r="A5" s="348"/>
      <c r="B5" s="349"/>
      <c r="C5" s="3432" t="s">
        <v>1673</v>
      </c>
      <c r="D5" s="3433"/>
      <c r="E5" s="3439" t="s">
        <v>1674</v>
      </c>
      <c r="F5" s="3440"/>
      <c r="G5" s="3432" t="s">
        <v>1675</v>
      </c>
      <c r="H5" s="3433"/>
      <c r="I5" s="3432" t="s">
        <v>1676</v>
      </c>
      <c r="J5" s="3433"/>
      <c r="K5" s="537"/>
      <c r="L5" s="2486"/>
      <c r="M5" s="2487"/>
      <c r="N5" s="2487"/>
      <c r="O5" s="2487"/>
      <c r="P5" s="3449"/>
      <c r="Q5" s="3421"/>
      <c r="R5" s="3426"/>
      <c r="S5" s="3427"/>
      <c r="T5" s="3426"/>
      <c r="U5" s="3427"/>
      <c r="V5" s="3400"/>
      <c r="W5" s="3400"/>
      <c r="X5" s="1265"/>
      <c r="Y5" s="3426"/>
      <c r="Z5" s="3427"/>
      <c r="AA5" s="3412"/>
      <c r="AB5" s="3412"/>
      <c r="AC5" s="3445"/>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50"/>
      <c r="Q6" s="3423"/>
      <c r="R6" s="3426"/>
      <c r="S6" s="3427"/>
      <c r="T6" s="3428"/>
      <c r="U6" s="3429"/>
      <c r="V6" s="3400"/>
      <c r="W6" s="3400"/>
      <c r="X6" s="1265"/>
      <c r="Y6" s="3428"/>
      <c r="Z6" s="3429"/>
      <c r="AA6" s="3413"/>
      <c r="AB6" s="3413"/>
      <c r="AC6" s="3446"/>
    </row>
    <row r="7" spans="1:29" s="102" customFormat="1" ht="15" thickBot="1">
      <c r="A7" s="352" t="s">
        <v>1679</v>
      </c>
      <c r="B7" s="353"/>
      <c r="C7" s="354">
        <f>'数据-取费表'!B2</f>
        <v>45818</v>
      </c>
      <c r="D7" s="355">
        <v>100</v>
      </c>
      <c r="E7" s="356"/>
      <c r="F7" s="357">
        <f>SUMIF(59:59,YEAR(E7)&amp;"-"&amp;MONTH(E7),60:60)</f>
        <v>0</v>
      </c>
      <c r="G7" s="356"/>
      <c r="H7" s="355">
        <f>SUMIF(59:59,YEAR(G7)&amp;"-"&amp;MONTH(G7),60:60)</f>
        <v>0</v>
      </c>
      <c r="I7" s="356"/>
      <c r="J7" s="355">
        <f>SUMIF(59:59,YEAR(I7)&amp;"-"&amp;MONTH(I7),60:60)</f>
        <v>0</v>
      </c>
      <c r="K7" s="38"/>
      <c r="L7" s="2488"/>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09"/>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估价对象为北京市北京市朝阳区朝阳门外大街18号房地产，为所有。根据《国有土地使用证》[]，估价对象（分摊）出让国有建设用地使用权面积为147.42平方米，建筑面积为1286.47平方米。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147.42平方米，规划建筑面积为1286.47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1286.47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99" t="str">
        <f>A37</f>
        <v>成交单价</v>
      </c>
      <c r="Q37" s="3399"/>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9"/>
      <c r="M10" s="2490"/>
      <c r="N10" s="2490"/>
      <c r="O10" s="2541"/>
      <c r="P10" s="3399"/>
      <c r="Q10" s="530" t="str">
        <f t="shared" si="6"/>
        <v>土地使用年限（年）</v>
      </c>
      <c r="R10" s="664" t="s">
        <v>14</v>
      </c>
      <c r="S10" s="665">
        <f t="shared" si="0"/>
        <v>153</v>
      </c>
      <c r="T10" s="664" t="s">
        <v>14</v>
      </c>
      <c r="U10" s="665">
        <f t="shared" si="1"/>
        <v>153</v>
      </c>
      <c r="V10" s="664" t="s">
        <v>14</v>
      </c>
      <c r="W10" s="665">
        <f t="shared" si="2"/>
        <v>153</v>
      </c>
      <c r="X10" s="666"/>
      <c r="Y10" s="3255"/>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99" t="str">
        <f>A46</f>
        <v>成交单价</v>
      </c>
      <c r="Q46" s="3399"/>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1286.47</v>
      </c>
      <c r="F56" s="833" t="e">
        <f t="shared" ref="F56:F64" si="15">ROUND(B56*E56/10000,0)</f>
        <v>#DIV/0!</v>
      </c>
      <c r="G56" s="3410"/>
      <c r="H56" s="339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一级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一级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一级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1286.47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61" t="s">
        <v>1919</v>
      </c>
      <c r="D6" s="3462"/>
      <c r="E6" s="3463" t="s">
        <v>1919</v>
      </c>
      <c r="F6" s="3464"/>
      <c r="G6" s="3461" t="s">
        <v>1919</v>
      </c>
      <c r="H6" s="3462"/>
      <c r="I6" s="3461" t="s">
        <v>1919</v>
      </c>
      <c r="J6" s="3462"/>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45818</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9"/>
      <c r="M10" s="2490"/>
      <c r="N10" s="2490"/>
      <c r="O10" s="2541"/>
      <c r="P10" s="3399"/>
      <c r="Q10" s="530" t="str">
        <f t="shared" si="6"/>
        <v>土地使用年限（年）</v>
      </c>
      <c r="R10" s="664" t="s">
        <v>14</v>
      </c>
      <c r="S10" s="665">
        <f t="shared" si="0"/>
        <v>153</v>
      </c>
      <c r="T10" s="664" t="s">
        <v>14</v>
      </c>
      <c r="U10" s="665">
        <f t="shared" si="1"/>
        <v>153</v>
      </c>
      <c r="V10" s="664" t="s">
        <v>14</v>
      </c>
      <c r="W10" s="665">
        <f t="shared" si="2"/>
        <v>153</v>
      </c>
      <c r="X10" s="666"/>
      <c r="Y10" s="3255"/>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99" t="str">
        <f>A41</f>
        <v>成交单价</v>
      </c>
      <c r="Q41" s="3399"/>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1286.47</v>
      </c>
      <c r="F51" s="611" t="e">
        <f t="shared" ref="F51:F60" si="15">ROUND(B51*E51/10000,0)</f>
        <v>#DIV/0!</v>
      </c>
      <c r="G51" s="3410"/>
      <c r="H51" s="339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一级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一级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一级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147.41999999999999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2571</v>
      </c>
      <c r="C2" s="1984" t="s">
        <v>2074</v>
      </c>
      <c r="D2" s="1984" t="s">
        <v>2075</v>
      </c>
      <c r="E2" s="2398">
        <f ca="1">SUMIF(E6:E13,"&lt;&gt;#ref!",E6:E13)</f>
        <v>1286.47</v>
      </c>
      <c r="F2" s="2544"/>
      <c r="G2" s="2544"/>
      <c r="H2" s="2544"/>
      <c r="I2" s="2544"/>
      <c r="J2" s="2544"/>
      <c r="K2" s="2544"/>
      <c r="L2" s="2544"/>
      <c r="M2" s="2544"/>
      <c r="N2" s="2544"/>
      <c r="O2" s="2544"/>
      <c r="P2" s="2544"/>
    </row>
    <row r="3" spans="1:16" ht="15.6">
      <c r="A3" s="1984" t="s">
        <v>2076</v>
      </c>
      <c r="B3" s="2388">
        <f ca="1">ROUND(B2*10000/E2,0)</f>
        <v>19985</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2571</v>
      </c>
      <c r="C6" s="1984" t="s">
        <v>2074</v>
      </c>
      <c r="D6" s="2544"/>
      <c r="E6" s="2398">
        <f ca="1">SUMIF(INDIRECT("'"&amp;A6&amp;"'"&amp;"!C:C"),"建筑面积",INDIRECT("'"&amp;A6&amp;"'"&amp;"!D:D"))</f>
        <v>1286.47</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5" t="s">
        <v>2628</v>
      </c>
      <c r="C20" s="2842" t="s">
        <v>2439</v>
      </c>
      <c r="D20" s="2843"/>
      <c r="E20" s="2844">
        <v>1</v>
      </c>
      <c r="F20" s="2845" t="s">
        <v>2440</v>
      </c>
      <c r="G20" s="2845"/>
    </row>
    <row r="21" spans="1:13" ht="19.5" customHeight="1">
      <c r="A21" s="3481"/>
      <c r="B21" s="3474"/>
      <c r="C21" s="2846" t="s">
        <v>2441</v>
      </c>
      <c r="D21" s="2847"/>
      <c r="E21" s="2848">
        <v>1</v>
      </c>
      <c r="F21" s="2845" t="s">
        <v>2442</v>
      </c>
      <c r="G21" s="2845"/>
    </row>
    <row r="22" spans="1:13" ht="19.5" customHeight="1">
      <c r="A22" s="3481"/>
      <c r="B22" s="3474"/>
      <c r="C22" s="2846" t="s">
        <v>2443</v>
      </c>
      <c r="D22" s="2847"/>
      <c r="E22" s="2848">
        <v>0.9</v>
      </c>
      <c r="F22" s="2845" t="s">
        <v>2444</v>
      </c>
      <c r="G22" s="2845"/>
    </row>
    <row r="23" spans="1:13" ht="19.5" customHeight="1">
      <c r="A23" s="3481"/>
      <c r="B23" s="3474"/>
      <c r="C23" s="2846" t="s">
        <v>2445</v>
      </c>
      <c r="D23" s="2847"/>
      <c r="E23" s="2848">
        <v>0.9</v>
      </c>
      <c r="F23" s="2845" t="s">
        <v>2446</v>
      </c>
      <c r="G23" s="2845"/>
    </row>
    <row r="24" spans="1:13" ht="19.5" customHeight="1">
      <c r="A24" s="3481"/>
      <c r="B24" s="3474"/>
      <c r="C24" s="2846" t="s">
        <v>2447</v>
      </c>
      <c r="D24" s="2847"/>
      <c r="E24" s="2848">
        <v>0.8</v>
      </c>
      <c r="F24" s="2845" t="s">
        <v>2448</v>
      </c>
      <c r="G24" s="2845"/>
    </row>
    <row r="25" spans="1:13" ht="19.5" customHeight="1" thickBot="1">
      <c r="A25" s="3482"/>
      <c r="B25" s="3476"/>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7" t="s">
        <v>2631</v>
      </c>
      <c r="B27" s="3475" t="s">
        <v>2612</v>
      </c>
      <c r="C27" s="2842" t="s">
        <v>2452</v>
      </c>
      <c r="D27" s="2843"/>
      <c r="E27" s="2844">
        <v>1</v>
      </c>
      <c r="F27" s="2845" t="s">
        <v>2453</v>
      </c>
      <c r="G27" s="2845"/>
    </row>
    <row r="28" spans="1:13" ht="19.5" customHeight="1">
      <c r="A28" s="3478"/>
      <c r="B28" s="3474"/>
      <c r="C28" s="2846" t="s">
        <v>2454</v>
      </c>
      <c r="D28" s="2847"/>
      <c r="E28" s="2848">
        <v>1</v>
      </c>
      <c r="F28" s="2845" t="s">
        <v>2455</v>
      </c>
      <c r="G28" s="2845"/>
    </row>
    <row r="29" spans="1:13" ht="19.5" customHeight="1">
      <c r="A29" s="3478"/>
      <c r="B29" s="3474"/>
      <c r="C29" s="2846" t="s">
        <v>2456</v>
      </c>
      <c r="D29" s="2847"/>
      <c r="E29" s="2848">
        <v>0.8</v>
      </c>
      <c r="F29" s="2845" t="s">
        <v>2457</v>
      </c>
      <c r="G29" s="2845"/>
    </row>
    <row r="30" spans="1:13" ht="19.5" customHeight="1">
      <c r="A30" s="3478"/>
      <c r="B30" s="3474"/>
      <c r="C30" s="2846" t="s">
        <v>2458</v>
      </c>
      <c r="D30" s="2847"/>
      <c r="E30" s="2848">
        <v>0.8</v>
      </c>
      <c r="F30" s="2845" t="s">
        <v>2459</v>
      </c>
      <c r="G30" s="2845"/>
    </row>
    <row r="31" spans="1:13" ht="19.5" customHeight="1">
      <c r="A31" s="3478"/>
      <c r="B31" s="3474"/>
      <c r="C31" s="2846" t="s">
        <v>2460</v>
      </c>
      <c r="D31" s="2847"/>
      <c r="E31" s="2848">
        <v>0.8</v>
      </c>
      <c r="F31" s="2845" t="s">
        <v>2461</v>
      </c>
      <c r="G31" s="2845"/>
    </row>
    <row r="32" spans="1:13" ht="19.5" customHeight="1">
      <c r="A32" s="3478"/>
      <c r="B32" s="3474"/>
      <c r="C32" s="2846" t="s">
        <v>2462</v>
      </c>
      <c r="D32" s="2847"/>
      <c r="E32" s="2848">
        <v>0.7</v>
      </c>
      <c r="F32" s="2845" t="s">
        <v>2463</v>
      </c>
      <c r="G32" s="2845"/>
    </row>
    <row r="33" spans="1:7" ht="19.5" customHeight="1">
      <c r="A33" s="3478"/>
      <c r="B33" s="3474"/>
      <c r="C33" s="2846" t="s">
        <v>2464</v>
      </c>
      <c r="D33" s="2847"/>
      <c r="E33" s="2848">
        <v>0.8</v>
      </c>
      <c r="F33" s="2845" t="s">
        <v>2465</v>
      </c>
      <c r="G33" s="2845"/>
    </row>
    <row r="34" spans="1:7" ht="19.5" customHeight="1">
      <c r="A34" s="3478"/>
      <c r="B34" s="3474"/>
      <c r="C34" s="2846" t="s">
        <v>2466</v>
      </c>
      <c r="D34" s="2847"/>
      <c r="E34" s="2848">
        <v>0.6</v>
      </c>
      <c r="F34" s="2845" t="s">
        <v>2467</v>
      </c>
      <c r="G34" s="2845"/>
    </row>
    <row r="35" spans="1:7" ht="19.5" customHeight="1">
      <c r="A35" s="3478"/>
      <c r="B35" s="3474"/>
      <c r="C35" s="2846" t="s">
        <v>2468</v>
      </c>
      <c r="D35" s="2847"/>
      <c r="E35" s="2848">
        <v>0.2</v>
      </c>
      <c r="F35" s="2845" t="s">
        <v>2469</v>
      </c>
      <c r="G35" s="2845"/>
    </row>
    <row r="36" spans="1:7" ht="19.5" customHeight="1">
      <c r="A36" s="3478"/>
      <c r="B36" s="3474"/>
      <c r="C36" s="2846" t="s">
        <v>2470</v>
      </c>
      <c r="D36" s="2847"/>
      <c r="E36" s="2848">
        <v>0.2</v>
      </c>
      <c r="F36" s="2845" t="s">
        <v>2471</v>
      </c>
      <c r="G36" s="2845"/>
    </row>
    <row r="37" spans="1:7" ht="19.5" customHeight="1">
      <c r="A37" s="3478"/>
      <c r="B37" s="3472" t="s">
        <v>2632</v>
      </c>
      <c r="C37" s="2846" t="s">
        <v>2472</v>
      </c>
      <c r="D37" s="2847"/>
      <c r="E37" s="2848">
        <v>0.6</v>
      </c>
      <c r="F37" s="2845" t="s">
        <v>2473</v>
      </c>
      <c r="G37" s="2845"/>
    </row>
    <row r="38" spans="1:7" ht="19.5" customHeight="1">
      <c r="A38" s="3478"/>
      <c r="B38" s="3474"/>
      <c r="C38" s="2846" t="s">
        <v>2474</v>
      </c>
      <c r="D38" s="2847"/>
      <c r="E38" s="2848">
        <v>0.6</v>
      </c>
      <c r="F38" s="2845" t="s">
        <v>2475</v>
      </c>
      <c r="G38" s="2845"/>
    </row>
    <row r="39" spans="1:7" ht="19.5" customHeight="1" thickBot="1">
      <c r="A39" s="3479"/>
      <c r="B39" s="3476"/>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0" t="s">
        <v>2610</v>
      </c>
      <c r="B41" s="3475" t="s">
        <v>2634</v>
      </c>
      <c r="C41" s="2842" t="s">
        <v>2479</v>
      </c>
      <c r="D41" s="2843"/>
      <c r="E41" s="2844">
        <v>1</v>
      </c>
      <c r="F41" s="2845" t="s">
        <v>2480</v>
      </c>
      <c r="G41" s="2845"/>
    </row>
    <row r="42" spans="1:7" ht="19.5" customHeight="1">
      <c r="A42" s="3481"/>
      <c r="B42" s="3474"/>
      <c r="C42" s="2846" t="s">
        <v>2481</v>
      </c>
      <c r="D42" s="2847"/>
      <c r="E42" s="2848">
        <v>1</v>
      </c>
      <c r="F42" s="2845" t="s">
        <v>2482</v>
      </c>
      <c r="G42" s="2845"/>
    </row>
    <row r="43" spans="1:7" ht="19.5" customHeight="1">
      <c r="A43" s="3481"/>
      <c r="B43" s="3473"/>
      <c r="C43" s="2846" t="s">
        <v>2483</v>
      </c>
      <c r="D43" s="2847"/>
      <c r="E43" s="2848">
        <v>1.5</v>
      </c>
      <c r="F43" s="2845" t="s">
        <v>2484</v>
      </c>
      <c r="G43" s="2845"/>
    </row>
    <row r="44" spans="1:7" ht="19.5" customHeight="1">
      <c r="A44" s="3481"/>
      <c r="B44" s="2857" t="s">
        <v>2635</v>
      </c>
      <c r="C44" s="2846" t="s">
        <v>2636</v>
      </c>
      <c r="D44" s="2847"/>
      <c r="E44" s="2848">
        <v>2</v>
      </c>
      <c r="F44" s="2845" t="s">
        <v>2485</v>
      </c>
      <c r="G44" s="2845"/>
    </row>
    <row r="45" spans="1:7" ht="19.5" customHeight="1">
      <c r="A45" s="3481"/>
      <c r="B45" s="3472" t="s">
        <v>2637</v>
      </c>
      <c r="C45" s="2846" t="s">
        <v>2486</v>
      </c>
      <c r="D45" s="2847"/>
      <c r="E45" s="2848">
        <v>1</v>
      </c>
      <c r="F45" s="2845" t="s">
        <v>2487</v>
      </c>
      <c r="G45" s="2845"/>
    </row>
    <row r="46" spans="1:7" ht="19.5" customHeight="1">
      <c r="A46" s="3481"/>
      <c r="B46" s="3474"/>
      <c r="C46" s="2846" t="s">
        <v>2488</v>
      </c>
      <c r="D46" s="2847"/>
      <c r="E46" s="2848">
        <v>1</v>
      </c>
      <c r="F46" s="2845" t="s">
        <v>2489</v>
      </c>
      <c r="G46" s="2845"/>
    </row>
    <row r="47" spans="1:7" ht="19.5" customHeight="1">
      <c r="A47" s="3481"/>
      <c r="B47" s="3474"/>
      <c r="C47" s="2846" t="s">
        <v>2490</v>
      </c>
      <c r="D47" s="2847"/>
      <c r="E47" s="2848">
        <v>1</v>
      </c>
      <c r="F47" s="2845" t="s">
        <v>2491</v>
      </c>
      <c r="G47" s="2845"/>
    </row>
    <row r="48" spans="1:7" ht="19.5" customHeight="1">
      <c r="A48" s="3481"/>
      <c r="B48" s="3474"/>
      <c r="C48" s="2846" t="s">
        <v>2492</v>
      </c>
      <c r="D48" s="2847"/>
      <c r="E48" s="2848">
        <v>1</v>
      </c>
      <c r="F48" s="2845" t="s">
        <v>2493</v>
      </c>
      <c r="G48" s="2845"/>
    </row>
    <row r="49" spans="1:7" ht="19.5" customHeight="1">
      <c r="A49" s="3481"/>
      <c r="B49" s="3474"/>
      <c r="C49" s="2846" t="s">
        <v>2494</v>
      </c>
      <c r="D49" s="2847"/>
      <c r="E49" s="2848">
        <v>1</v>
      </c>
      <c r="F49" s="2845" t="s">
        <v>2495</v>
      </c>
      <c r="G49" s="2845"/>
    </row>
    <row r="50" spans="1:7" ht="19.5" customHeight="1">
      <c r="A50" s="3481"/>
      <c r="B50" s="3474"/>
      <c r="C50" s="2846" t="s">
        <v>2496</v>
      </c>
      <c r="D50" s="2847"/>
      <c r="E50" s="2848">
        <v>1</v>
      </c>
      <c r="F50" s="2845" t="s">
        <v>2497</v>
      </c>
      <c r="G50" s="2845"/>
    </row>
    <row r="51" spans="1:7" ht="19.5" customHeight="1" thickBot="1">
      <c r="A51" s="3482"/>
      <c r="B51" s="3476"/>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74"/>
      <c r="C74" s="2831" t="s">
        <v>2654</v>
      </c>
      <c r="D74" s="2831" t="s">
        <v>2655</v>
      </c>
      <c r="E74" s="2857">
        <v>0.2</v>
      </c>
      <c r="F74" s="2857">
        <v>25</v>
      </c>
    </row>
    <row r="75" spans="1:7" ht="24">
      <c r="A75" s="2857">
        <v>3</v>
      </c>
      <c r="B75" s="3474"/>
      <c r="C75" s="2831" t="s">
        <v>2656</v>
      </c>
      <c r="D75" s="2831" t="s">
        <v>2657</v>
      </c>
      <c r="E75" s="2857">
        <v>0.2</v>
      </c>
      <c r="F75" s="2857">
        <v>25</v>
      </c>
    </row>
    <row r="76" spans="1:7" ht="14.4">
      <c r="A76" s="2857">
        <v>4</v>
      </c>
      <c r="B76" s="3474"/>
      <c r="C76" s="2831" t="s">
        <v>2658</v>
      </c>
      <c r="D76" s="2831" t="s">
        <v>2659</v>
      </c>
      <c r="E76" s="2857">
        <v>0.15</v>
      </c>
      <c r="F76" s="2857">
        <v>20</v>
      </c>
    </row>
    <row r="77" spans="1:7" ht="24">
      <c r="A77" s="2857">
        <v>5</v>
      </c>
      <c r="B77" s="3474"/>
      <c r="C77" s="2831" t="s">
        <v>2660</v>
      </c>
      <c r="D77" s="2831" t="s">
        <v>2661</v>
      </c>
      <c r="E77" s="2857">
        <v>0.15</v>
      </c>
      <c r="F77" s="2857">
        <v>20</v>
      </c>
    </row>
    <row r="78" spans="1:7" ht="24">
      <c r="A78" s="2857">
        <v>6</v>
      </c>
      <c r="B78" s="3474"/>
      <c r="C78" s="2831" t="s">
        <v>2662</v>
      </c>
      <c r="D78" s="2831" t="s">
        <v>2663</v>
      </c>
      <c r="E78" s="2857">
        <v>0.15</v>
      </c>
      <c r="F78" s="2857">
        <v>20</v>
      </c>
    </row>
    <row r="79" spans="1:7" ht="24">
      <c r="A79" s="2857">
        <v>7</v>
      </c>
      <c r="B79" s="3474"/>
      <c r="C79" s="2831" t="s">
        <v>2664</v>
      </c>
      <c r="D79" s="2831" t="s">
        <v>2665</v>
      </c>
      <c r="E79" s="2857">
        <v>0.15</v>
      </c>
      <c r="F79" s="2857">
        <v>20</v>
      </c>
    </row>
    <row r="80" spans="1:7" ht="24">
      <c r="A80" s="2857">
        <v>8</v>
      </c>
      <c r="B80" s="3474"/>
      <c r="C80" s="2831" t="s">
        <v>2666</v>
      </c>
      <c r="D80" s="2831" t="s">
        <v>2667</v>
      </c>
      <c r="E80" s="2857">
        <v>0.1</v>
      </c>
      <c r="F80" s="2857">
        <v>15</v>
      </c>
    </row>
    <row r="81" spans="1:6" ht="24">
      <c r="A81" s="2857">
        <v>9</v>
      </c>
      <c r="B81" s="3474"/>
      <c r="C81" s="2831" t="s">
        <v>2668</v>
      </c>
      <c r="D81" s="2831" t="s">
        <v>2669</v>
      </c>
      <c r="E81" s="2857">
        <v>0.1</v>
      </c>
      <c r="F81" s="2857">
        <v>15</v>
      </c>
    </row>
    <row r="82" spans="1:6" ht="24">
      <c r="A82" s="2857">
        <v>10</v>
      </c>
      <c r="B82" s="3474"/>
      <c r="C82" s="2831" t="s">
        <v>2670</v>
      </c>
      <c r="D82" s="2831" t="s">
        <v>2671</v>
      </c>
      <c r="E82" s="2857">
        <v>0.1</v>
      </c>
      <c r="F82" s="2857">
        <v>15</v>
      </c>
    </row>
    <row r="83" spans="1:6" ht="24">
      <c r="A83" s="2857">
        <v>11</v>
      </c>
      <c r="B83" s="3474"/>
      <c r="C83" s="2831" t="s">
        <v>2672</v>
      </c>
      <c r="D83" s="2831" t="s">
        <v>2673</v>
      </c>
      <c r="E83" s="2857">
        <v>0.1</v>
      </c>
      <c r="F83" s="2857">
        <v>15</v>
      </c>
    </row>
    <row r="84" spans="1:6" ht="24">
      <c r="A84" s="2857">
        <v>12</v>
      </c>
      <c r="B84" s="3474"/>
      <c r="C84" s="2831" t="s">
        <v>2674</v>
      </c>
      <c r="D84" s="2831" t="s">
        <v>2675</v>
      </c>
      <c r="E84" s="2857">
        <v>0.1</v>
      </c>
      <c r="F84" s="2857">
        <v>15</v>
      </c>
    </row>
    <row r="85" spans="1:6" ht="24">
      <c r="A85" s="2857">
        <v>13</v>
      </c>
      <c r="B85" s="3474"/>
      <c r="C85" s="2831" t="s">
        <v>2676</v>
      </c>
      <c r="D85" s="2831" t="s">
        <v>2677</v>
      </c>
      <c r="E85" s="2857">
        <v>0.1</v>
      </c>
      <c r="F85" s="2857">
        <v>15</v>
      </c>
    </row>
    <row r="86" spans="1:6" ht="24">
      <c r="A86" s="2857">
        <v>14</v>
      </c>
      <c r="B86" s="3474"/>
      <c r="C86" s="2831" t="s">
        <v>2678</v>
      </c>
      <c r="D86" s="2831" t="s">
        <v>2679</v>
      </c>
      <c r="E86" s="2857">
        <v>0.1</v>
      </c>
      <c r="F86" s="2857">
        <v>15</v>
      </c>
    </row>
    <row r="87" spans="1:6" ht="24">
      <c r="A87" s="2857">
        <v>15</v>
      </c>
      <c r="B87" s="3474"/>
      <c r="C87" s="2831" t="s">
        <v>2680</v>
      </c>
      <c r="D87" s="2831" t="s">
        <v>2681</v>
      </c>
      <c r="E87" s="2857">
        <v>0.1</v>
      </c>
      <c r="F87" s="2857">
        <v>15</v>
      </c>
    </row>
    <row r="88" spans="1:6" ht="24">
      <c r="A88" s="2857">
        <v>16</v>
      </c>
      <c r="B88" s="3474"/>
      <c r="C88" s="2831" t="s">
        <v>2682</v>
      </c>
      <c r="D88" s="2831" t="s">
        <v>2683</v>
      </c>
      <c r="E88" s="2857">
        <v>0.1</v>
      </c>
      <c r="F88" s="2857">
        <v>15</v>
      </c>
    </row>
    <row r="89" spans="1:6" ht="24">
      <c r="A89" s="2857">
        <v>17</v>
      </c>
      <c r="B89" s="3473"/>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74"/>
      <c r="C91" s="2831" t="s">
        <v>2689</v>
      </c>
      <c r="D91" s="2831" t="s">
        <v>2690</v>
      </c>
      <c r="E91" s="2857">
        <v>0.2</v>
      </c>
      <c r="F91" s="2857">
        <v>25</v>
      </c>
    </row>
    <row r="92" spans="1:6" ht="14.4">
      <c r="A92" s="2857">
        <v>20</v>
      </c>
      <c r="B92" s="3474"/>
      <c r="C92" s="2831" t="s">
        <v>2691</v>
      </c>
      <c r="D92" s="2831" t="s">
        <v>2692</v>
      </c>
      <c r="E92" s="2857">
        <v>0.15</v>
      </c>
      <c r="F92" s="2857">
        <v>20</v>
      </c>
    </row>
    <row r="93" spans="1:6" ht="24">
      <c r="A93" s="2857">
        <v>21</v>
      </c>
      <c r="B93" s="3474"/>
      <c r="C93" s="2831" t="s">
        <v>2693</v>
      </c>
      <c r="D93" s="2831" t="s">
        <v>2694</v>
      </c>
      <c r="E93" s="2857">
        <v>0.15</v>
      </c>
      <c r="F93" s="2857">
        <v>20</v>
      </c>
    </row>
    <row r="94" spans="1:6" ht="24">
      <c r="A94" s="2857">
        <v>22</v>
      </c>
      <c r="B94" s="3474"/>
      <c r="C94" s="2831" t="s">
        <v>2695</v>
      </c>
      <c r="D94" s="2831" t="s">
        <v>2696</v>
      </c>
      <c r="E94" s="2857">
        <v>0.15</v>
      </c>
      <c r="F94" s="2857">
        <v>20</v>
      </c>
    </row>
    <row r="95" spans="1:6" ht="36">
      <c r="A95" s="2857">
        <v>23</v>
      </c>
      <c r="B95" s="3474"/>
      <c r="C95" s="2831" t="s">
        <v>2697</v>
      </c>
      <c r="D95" s="2831" t="s">
        <v>2698</v>
      </c>
      <c r="E95" s="2857">
        <v>0.15</v>
      </c>
      <c r="F95" s="2857">
        <v>20</v>
      </c>
    </row>
    <row r="96" spans="1:6" ht="24">
      <c r="A96" s="2857">
        <v>24</v>
      </c>
      <c r="B96" s="3474"/>
      <c r="C96" s="2831" t="s">
        <v>2699</v>
      </c>
      <c r="D96" s="2831" t="s">
        <v>2700</v>
      </c>
      <c r="E96" s="2857">
        <v>0.1</v>
      </c>
      <c r="F96" s="2857">
        <v>15</v>
      </c>
    </row>
    <row r="97" spans="1:6" ht="24">
      <c r="A97" s="2857">
        <v>25</v>
      </c>
      <c r="B97" s="3474"/>
      <c r="C97" s="2831" t="s">
        <v>2701</v>
      </c>
      <c r="D97" s="2831" t="s">
        <v>2702</v>
      </c>
      <c r="E97" s="2857">
        <v>0.1</v>
      </c>
      <c r="F97" s="2857">
        <v>15</v>
      </c>
    </row>
    <row r="98" spans="1:6" ht="24">
      <c r="A98" s="2857">
        <v>26</v>
      </c>
      <c r="B98" s="3474"/>
      <c r="C98" s="2831" t="s">
        <v>2703</v>
      </c>
      <c r="D98" s="2831" t="s">
        <v>2704</v>
      </c>
      <c r="E98" s="2857">
        <v>0.1</v>
      </c>
      <c r="F98" s="2857">
        <v>15</v>
      </c>
    </row>
    <row r="99" spans="1:6" ht="24">
      <c r="A99" s="2857">
        <v>27</v>
      </c>
      <c r="B99" s="3474"/>
      <c r="C99" s="2831" t="s">
        <v>2705</v>
      </c>
      <c r="D99" s="2831" t="s">
        <v>2706</v>
      </c>
      <c r="E99" s="2857">
        <v>0.1</v>
      </c>
      <c r="F99" s="2857">
        <v>15</v>
      </c>
    </row>
    <row r="100" spans="1:6" ht="24">
      <c r="A100" s="2857">
        <v>28</v>
      </c>
      <c r="B100" s="3474"/>
      <c r="C100" s="2831" t="s">
        <v>2707</v>
      </c>
      <c r="D100" s="2831" t="s">
        <v>2708</v>
      </c>
      <c r="E100" s="2857">
        <v>0.1</v>
      </c>
      <c r="F100" s="2857">
        <v>15</v>
      </c>
    </row>
    <row r="101" spans="1:6" ht="24">
      <c r="A101" s="2857">
        <v>29</v>
      </c>
      <c r="B101" s="3474"/>
      <c r="C101" s="2831" t="s">
        <v>2709</v>
      </c>
      <c r="D101" s="2831" t="s">
        <v>2710</v>
      </c>
      <c r="E101" s="2857">
        <v>0.1</v>
      </c>
      <c r="F101" s="2857">
        <v>15</v>
      </c>
    </row>
    <row r="102" spans="1:6" ht="24">
      <c r="A102" s="2857">
        <v>30</v>
      </c>
      <c r="B102" s="3474"/>
      <c r="C102" s="2831" t="s">
        <v>2711</v>
      </c>
      <c r="D102" s="2831" t="s">
        <v>2712</v>
      </c>
      <c r="E102" s="2857">
        <v>0.1</v>
      </c>
      <c r="F102" s="2857">
        <v>15</v>
      </c>
    </row>
    <row r="103" spans="1:6" ht="24">
      <c r="A103" s="2857">
        <v>31</v>
      </c>
      <c r="B103" s="3474"/>
      <c r="C103" s="2831" t="s">
        <v>2713</v>
      </c>
      <c r="D103" s="2831" t="s">
        <v>2714</v>
      </c>
      <c r="E103" s="2857">
        <v>0.1</v>
      </c>
      <c r="F103" s="2857">
        <v>15</v>
      </c>
    </row>
    <row r="104" spans="1:6" ht="24">
      <c r="A104" s="2857">
        <v>32</v>
      </c>
      <c r="B104" s="3474"/>
      <c r="C104" s="2831" t="s">
        <v>2715</v>
      </c>
      <c r="D104" s="2831" t="s">
        <v>2716</v>
      </c>
      <c r="E104" s="2857">
        <v>0.1</v>
      </c>
      <c r="F104" s="2857">
        <v>15</v>
      </c>
    </row>
    <row r="105" spans="1:6" ht="24">
      <c r="A105" s="2857">
        <v>33</v>
      </c>
      <c r="B105" s="3474"/>
      <c r="C105" s="2831" t="s">
        <v>2717</v>
      </c>
      <c r="D105" s="2831" t="s">
        <v>2718</v>
      </c>
      <c r="E105" s="2857">
        <v>0.1</v>
      </c>
      <c r="F105" s="2857">
        <v>15</v>
      </c>
    </row>
    <row r="106" spans="1:6" ht="24">
      <c r="A106" s="2857">
        <v>34</v>
      </c>
      <c r="B106" s="3473"/>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74"/>
      <c r="C108" s="2857" t="s">
        <v>2724</v>
      </c>
      <c r="D108" s="2831" t="s">
        <v>2725</v>
      </c>
      <c r="E108" s="2857">
        <v>0.15</v>
      </c>
      <c r="F108" s="2857">
        <v>20</v>
      </c>
    </row>
    <row r="109" spans="1:6" ht="24">
      <c r="A109" s="2857">
        <v>37</v>
      </c>
      <c r="B109" s="3474"/>
      <c r="C109" s="2857" t="s">
        <v>2726</v>
      </c>
      <c r="D109" s="2831" t="s">
        <v>2727</v>
      </c>
      <c r="E109" s="2857">
        <v>0.15</v>
      </c>
      <c r="F109" s="2857">
        <v>20</v>
      </c>
    </row>
    <row r="110" spans="1:6" ht="24">
      <c r="A110" s="2857">
        <v>38</v>
      </c>
      <c r="B110" s="3474"/>
      <c r="C110" s="2857" t="s">
        <v>2728</v>
      </c>
      <c r="D110" s="2831" t="s">
        <v>2729</v>
      </c>
      <c r="E110" s="2857">
        <v>0.1</v>
      </c>
      <c r="F110" s="2857">
        <v>15</v>
      </c>
    </row>
    <row r="111" spans="1:6" ht="24">
      <c r="A111" s="2857">
        <v>39</v>
      </c>
      <c r="B111" s="3474"/>
      <c r="C111" s="2857" t="s">
        <v>2730</v>
      </c>
      <c r="D111" s="2831" t="s">
        <v>2731</v>
      </c>
      <c r="E111" s="2857">
        <v>0.1</v>
      </c>
      <c r="F111" s="2857">
        <v>15</v>
      </c>
    </row>
    <row r="112" spans="1:6" ht="24">
      <c r="A112" s="2857">
        <v>40</v>
      </c>
      <c r="B112" s="3473"/>
      <c r="C112" s="2857" t="s">
        <v>2732</v>
      </c>
      <c r="D112" s="2831" t="s">
        <v>2733</v>
      </c>
      <c r="E112" s="2857">
        <v>0.1</v>
      </c>
      <c r="F112" s="2857">
        <v>15</v>
      </c>
    </row>
    <row r="113" spans="1:6" ht="24">
      <c r="A113" s="2857">
        <v>41</v>
      </c>
      <c r="B113" s="3471" t="s">
        <v>2734</v>
      </c>
      <c r="C113" s="2857" t="s">
        <v>2735</v>
      </c>
      <c r="D113" s="2831" t="s">
        <v>2736</v>
      </c>
      <c r="E113" s="2857">
        <v>0.1</v>
      </c>
      <c r="F113" s="2857">
        <v>15</v>
      </c>
    </row>
    <row r="114" spans="1:6" ht="24">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3"/>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3"/>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3"/>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1" t="s">
        <v>2769</v>
      </c>
      <c r="C127" s="2857" t="s">
        <v>2770</v>
      </c>
      <c r="D127" s="2831" t="s">
        <v>2771</v>
      </c>
      <c r="E127" s="2857">
        <v>0.1</v>
      </c>
      <c r="F127" s="2857">
        <v>15</v>
      </c>
    </row>
    <row r="128" spans="1:6" ht="24">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24">
      <c r="A131" s="2857">
        <v>59</v>
      </c>
      <c r="B131" s="3471"/>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3"/>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1" t="s">
        <v>2789</v>
      </c>
      <c r="C135" s="2857" t="s">
        <v>2790</v>
      </c>
      <c r="D135" s="2831" t="s">
        <v>2791</v>
      </c>
      <c r="E135" s="2857">
        <v>0.1</v>
      </c>
      <c r="F135" s="2857">
        <v>15</v>
      </c>
    </row>
    <row r="136" spans="1:6" ht="24">
      <c r="A136" s="2857">
        <v>64</v>
      </c>
      <c r="B136" s="347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0.89739999999999998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0.85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30836</v>
      </c>
      <c r="C2" s="2" t="s">
        <v>106</v>
      </c>
      <c r="D2" s="191"/>
      <c r="E2" s="191"/>
      <c r="F2" s="191"/>
      <c r="G2" s="191"/>
    </row>
    <row r="3" spans="1:7" s="192" customFormat="1" ht="18" customHeight="1" thickBot="1">
      <c r="A3" s="195" t="s">
        <v>58</v>
      </c>
      <c r="B3" s="196">
        <f ca="1">ROUND(B2*10000/'数据-汇总表'!E3,0)</f>
        <v>239695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1286.47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1286.47</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1936</v>
      </c>
      <c r="D22" s="227">
        <f ca="1">C26</f>
        <v>1.4E-3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4230</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4230</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30044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720</v>
      </c>
      <c r="D34" s="209"/>
      <c r="E34" s="212"/>
      <c r="F34" s="249">
        <f>IF('数据-取费表'!B24=0,1,'数据-取费表'!N16)</f>
        <v>1</v>
      </c>
      <c r="G34" s="211" t="s">
        <v>89</v>
      </c>
    </row>
    <row r="35" spans="1:7" ht="13.5" customHeight="1">
      <c r="A35" s="734" t="s">
        <v>351</v>
      </c>
      <c r="B35" s="207" t="s">
        <v>33</v>
      </c>
      <c r="C35" s="212">
        <f>ROUND(C34*F35,0)</f>
        <v>58</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1286.47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38</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37</v>
      </c>
      <c r="D42" s="230"/>
      <c r="E42" s="230"/>
      <c r="F42" s="231"/>
      <c r="G42" s="3348" t="s">
        <v>94</v>
      </c>
    </row>
    <row r="43" spans="1:7" ht="13.5" customHeight="1">
      <c r="A43" s="734" t="s">
        <v>347</v>
      </c>
      <c r="B43" s="207" t="s">
        <v>426</v>
      </c>
      <c r="C43" s="230">
        <f ca="1">ROUND(IF('数据-取费表'!B22&lt;=1,C39*F22*'数据-取费表'!B21/2,C39*(POWER((1+F22),'数据-取费表'!B21/2)-1)),0)</f>
        <v>1</v>
      </c>
      <c r="D43" s="230"/>
      <c r="E43" s="230"/>
      <c r="F43" s="231"/>
      <c r="G43" s="3349"/>
    </row>
    <row r="44" spans="1:7" ht="13.5" customHeight="1">
      <c r="A44" s="734" t="s">
        <v>348</v>
      </c>
      <c r="B44" s="207" t="s">
        <v>428</v>
      </c>
      <c r="C44" s="230">
        <f ca="1">ROUND(IF('数据-取费表'!B22&lt;=1,C40*F22*'数据-取费表'!B21/2,C40*(POWER((1+F22),'数据-取费表'!B21/2)-1)),4)</f>
        <v>1.4E-3</v>
      </c>
      <c r="D44" s="230"/>
      <c r="E44" s="230"/>
      <c r="F44" s="231"/>
      <c r="G44" s="3350"/>
    </row>
    <row r="45" spans="1:7" s="206" customFormat="1" ht="13.5" customHeight="1">
      <c r="A45" s="731" t="s">
        <v>341</v>
      </c>
      <c r="B45" s="236" t="s">
        <v>85</v>
      </c>
      <c r="C45" s="237">
        <f>C46</f>
        <v>168</v>
      </c>
      <c r="D45" s="227">
        <f>C47</f>
        <v>6.0000000000000001E-3</v>
      </c>
      <c r="E45" s="228" t="s">
        <v>102</v>
      </c>
      <c r="F45" s="238"/>
      <c r="G45" s="239" t="s">
        <v>434</v>
      </c>
    </row>
    <row r="46" spans="1:7" s="206" customFormat="1" ht="13.5" customHeight="1">
      <c r="A46" s="734" t="s">
        <v>349</v>
      </c>
      <c r="B46" s="240" t="s">
        <v>427</v>
      </c>
      <c r="C46" s="241">
        <f>ROUND((C33+C39)*F27,0)</f>
        <v>168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1148</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792</v>
      </c>
      <c r="D51" s="224"/>
      <c r="E51" s="224"/>
      <c r="F51" s="256"/>
      <c r="G51" s="226" t="s">
        <v>37</v>
      </c>
    </row>
    <row r="52" spans="1:7" s="200" customFormat="1" ht="16.8" thickBot="1">
      <c r="A52" s="257" t="s">
        <v>38</v>
      </c>
      <c r="B52" s="258"/>
      <c r="C52" s="259">
        <f ca="1">C31+C51</f>
        <v>30836</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4213</v>
      </c>
    </row>
    <row r="6" spans="1:5" ht="15.6">
      <c r="B6" s="3168"/>
      <c r="C6" s="1392" t="s">
        <v>911</v>
      </c>
      <c r="D6" s="797" t="str">
        <f ca="1">NUMBERSTRING(INT(D5*10000),2)&amp;"元整"</f>
        <v>肆仟贰佰壹拾叁万元整</v>
      </c>
    </row>
    <row r="7" spans="1:5" ht="15.6">
      <c r="B7" s="3173"/>
      <c r="C7" s="1393" t="s">
        <v>912</v>
      </c>
      <c r="D7" s="798">
        <f ca="1">结果表!H102</f>
        <v>32746</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4213</v>
      </c>
    </row>
    <row r="14" spans="1:5" ht="15.6">
      <c r="B14" s="3168"/>
      <c r="C14" s="1392" t="s">
        <v>911</v>
      </c>
      <c r="D14" s="797" t="str">
        <f ca="1">NUMBERSTRING(INT(D13*10000),2)&amp;"元整"</f>
        <v>肆仟贰佰壹拾叁万元整</v>
      </c>
    </row>
    <row r="15" spans="1:5" ht="15.6">
      <c r="B15" s="3173"/>
      <c r="C15" s="1393" t="s">
        <v>921</v>
      </c>
      <c r="D15" s="806">
        <f ca="1">结果表!H108</f>
        <v>32746</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4.抵押净值</v>
      </c>
      <c r="C19" s="1397" t="s">
        <v>910</v>
      </c>
      <c r="D19" s="798">
        <f ca="1">结果表!H111</f>
        <v>3304</v>
      </c>
    </row>
    <row r="20" spans="1:5" ht="15.6">
      <c r="B20" s="3168"/>
      <c r="C20" s="1392" t="s">
        <v>923</v>
      </c>
      <c r="D20" s="797" t="str">
        <f ca="1">NUMBERSTRING(INT(D19*10000),2)&amp;"元整"</f>
        <v>叁仟叁佰零肆万元整</v>
      </c>
    </row>
    <row r="21" spans="1:5" ht="16.2" thickBot="1">
      <c r="B21" s="3169"/>
      <c r="C21" s="1399" t="s">
        <v>921</v>
      </c>
      <c r="D21" s="807">
        <f ca="1">结果表!H112</f>
        <v>25683</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3" t="s">
        <v>3181</v>
      </c>
      <c r="B1" s="348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45818</v>
      </c>
      <c r="B1" s="2929" t="s">
        <v>3378</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45818</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1286.47</v>
      </c>
      <c r="C4" s="801">
        <f>项目基本情况!C18</f>
        <v>147.41999999999999</v>
      </c>
      <c r="D4" s="801" t="e">
        <f ca="1">结果表!D118</f>
        <v>#REF!</v>
      </c>
      <c r="E4" s="801" t="e">
        <f ca="1">结果表!E118</f>
        <v>#REF!</v>
      </c>
      <c r="F4" s="801" t="e">
        <f ca="1">结果表!F118</f>
        <v>#REF!</v>
      </c>
      <c r="G4" s="801" t="e">
        <f ca="1">结果表!G118</f>
        <v>#REF!</v>
      </c>
      <c r="H4" s="801">
        <f ca="1">结果表!H118</f>
        <v>4213</v>
      </c>
      <c r="I4" s="801">
        <f ca="1">结果表!I118</f>
        <v>32746</v>
      </c>
    </row>
    <row r="5" spans="1:9" ht="30" customHeight="1">
      <c r="A5" s="3180" t="s">
        <v>927</v>
      </c>
      <c r="B5" s="3180"/>
      <c r="C5" s="3180"/>
      <c r="D5" s="3180" t="e">
        <f ca="1">结果表!D119</f>
        <v>#REF!</v>
      </c>
      <c r="E5" s="3180"/>
      <c r="F5" s="3180" t="e">
        <f ca="1">结果表!F119</f>
        <v>#REF!</v>
      </c>
      <c r="G5" s="3180"/>
      <c r="H5" s="3180" t="str">
        <f ca="1">结果表!H119</f>
        <v>肆仟贰佰壹拾叁万元整</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f ca="1">结果表!D122</f>
        <v>4213</v>
      </c>
      <c r="E8" s="3179"/>
      <c r="F8" s="3179"/>
      <c r="G8" s="3179"/>
      <c r="H8" s="3179"/>
      <c r="I8" s="3179"/>
    </row>
    <row r="9" spans="1:9" ht="15">
      <c r="A9" s="3180" t="s">
        <v>927</v>
      </c>
      <c r="B9" s="3180"/>
      <c r="C9" s="3180"/>
      <c r="D9" s="3180" t="str">
        <f ca="1">结果表!D123</f>
        <v>肆仟贰佰壹拾叁万元整</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抵押净值</v>
      </c>
      <c r="B12" s="3179"/>
      <c r="C12" s="3179"/>
      <c r="D12" s="3179">
        <f ca="1">结果表!D126</f>
        <v>3304</v>
      </c>
      <c r="E12" s="3179"/>
      <c r="F12" s="3179"/>
      <c r="G12" s="3179"/>
      <c r="H12" s="3179"/>
      <c r="I12" s="3179"/>
    </row>
    <row r="13" spans="1:9" ht="15.6" thickBot="1">
      <c r="A13" s="3177" t="s">
        <v>927</v>
      </c>
      <c r="B13" s="3177"/>
      <c r="C13" s="3177"/>
      <c r="D13" s="3177" t="str">
        <f ca="1">结果表!D127</f>
        <v>叁仟叁佰零肆万元整</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2025-06-11T01:53:13Z</dcterms:modified>
</cp:coreProperties>
</file>