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招拍挂\副中心站\20211228第三次报数\"/>
    </mc:Choice>
  </mc:AlternateContent>
  <bookViews>
    <workbookView xWindow="-120" yWindow="-120" windowWidth="21840" windowHeight="1314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地价" sheetId="59"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state="hidden" r:id="rId36"/>
    <sheet name="住宅案例截图及地图" sheetId="74" state="hidden" r:id="rId37"/>
    <sheet name="剩余法商业" sheetId="70" r:id="rId38"/>
    <sheet name="剩余法办公" sheetId="69" r:id="rId39"/>
    <sheet name="不动产比较法-商业" sheetId="79" state="hidden" r:id="rId40"/>
    <sheet name="商业案例截图及地图" sheetId="80" state="hidden" r:id="rId41"/>
    <sheet name="不动产比较法-办公" sheetId="81" state="hidden" r:id="rId42"/>
    <sheet name="办公案例截图及地图" sheetId="82" state="hidden" r:id="rId43"/>
    <sheet name="不动产收益法商业" sheetId="15" r:id="rId44"/>
    <sheet name="不动产比较法-商业租金" sheetId="33" r:id="rId45"/>
    <sheet name="商业租金案例截图及地图" sheetId="75" r:id="rId46"/>
    <sheet name="不动产收益法办公" sheetId="77" r:id="rId47"/>
    <sheet name="不动产比较法-办公租金" sheetId="34" r:id="rId48"/>
    <sheet name="办公租金案例截图及地图" sheetId="76" r:id="rId49"/>
    <sheet name="土地级别" sheetId="78"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s>
  <externalReferences>
    <externalReference r:id="rId56"/>
    <externalReference r:id="rId57"/>
    <externalReference r:id="rId58"/>
  </externalReferences>
  <definedNames>
    <definedName name="_xlnm._FilterDatabase" localSheetId="22" hidden="1">'比较法-工业'!$A$1:$L$45</definedName>
    <definedName name="_xlnm._FilterDatabase" localSheetId="21" hidden="1">'比较法-住宅'!$A$1:$L$50</definedName>
    <definedName name="_xlnm._FilterDatabase" localSheetId="41" hidden="1">'不动产比较法-办公'!$A$1:$L$50</definedName>
    <definedName name="_xlnm._FilterDatabase" localSheetId="47" hidden="1">'不动产比较法-办公租金'!$A$1:$L$50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39" hidden="1">'不动产比较法-商业'!$A$1:$L$49</definedName>
    <definedName name="_xlnm._FilterDatabase" localSheetId="44" hidden="1">'不动产比较法-商业租金'!$A$1:$L$49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1">'不动产比较法-办公'!$A$1:$K$55,'不动产比较法-办公'!$A$58:$M$132</definedName>
    <definedName name="_xlnm.Print_Area" localSheetId="47">'不动产比较法-办公租金'!$A$1:$K$55,'不动产比较法-办公租金'!$A$58:$M$132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39">'不动产比较法-商业'!$A$1:$K$54,'不动产比较法-商业'!$A$57:$M$131</definedName>
    <definedName name="_xlnm.Print_Area" localSheetId="44">'不动产比较法-商业租金'!$A$1:$K$54,'不动产比较法-商业租金'!$A$57:$M$131</definedName>
    <definedName name="_xlnm.Print_Area" localSheetId="35">'不动产比较法-住宅'!$A$1:$K$54,'不动产比较法-住宅'!$A$57:$M$131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29">基准地价办公!$A$1:$J$41,基准地价办公!$A$44:$N$87,基准地价办公!$R$1:$V$16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9">'[1]不动产比较法-办公'!$B$119:$M$119</definedName>
    <definedName name="办公层高">'不动产比较法-办公租金'!$B$119:$M$119</definedName>
    <definedName name="办公朝向" localSheetId="49">'[1]不动产比较法-办公'!$B$91:$M$91</definedName>
    <definedName name="办公朝向">'不动产比较法-办公租金'!$B$91:$M$91</definedName>
    <definedName name="办公道路级别" localSheetId="49">'[1]不动产比较法-办公'!$B$87:$M$87</definedName>
    <definedName name="办公道路级别">'不动产比较法-办公租金'!$B$87:$M$87</definedName>
    <definedName name="办公公共部分装修" localSheetId="49">'[1]不动产比较法-办公'!$B$108:$M$108</definedName>
    <definedName name="办公公共部分装修">'不动产比较法-办公租金'!$B$108:$M$108</definedName>
    <definedName name="办公基础设施水平" localSheetId="49">'[1]不动产比较法-办公'!$B$117:$M$117</definedName>
    <definedName name="办公基础设施水平">'不动产比较法-办公租金'!$B$117:$M$117</definedName>
    <definedName name="办公集聚程度" localSheetId="49">[1]定义!$M$1:$M$6</definedName>
    <definedName name="办公集聚程度">定义!$M$1:$M$6</definedName>
    <definedName name="办公建筑结构" localSheetId="49">'[1]不动产比较法-办公'!$B$106:$M$106</definedName>
    <definedName name="办公建筑结构">'不动产比较法-办公租金'!$B$106:$M$106</definedName>
    <definedName name="办公建筑类型" localSheetId="49">'[1]不动产比较法-办公'!$B$101:$M$101</definedName>
    <definedName name="办公建筑类型">'不动产比较法-办公租金'!$B$101:$M$101</definedName>
    <definedName name="办公交易情况" localSheetId="49">'[1]不动产比较法-办公'!$A$62:$M$62</definedName>
    <definedName name="办公交易情况">'不动产比较法-办公租金'!$A$62:$M$62</definedName>
    <definedName name="办公楼层" localSheetId="49">'[1]不动产比较法-办公'!$B$89:$M$89</definedName>
    <definedName name="办公楼层">'不动产比较法-办公租金'!$B$89:$M$89</definedName>
    <definedName name="办公内部装修" localSheetId="49">'[1]不动产比较法-办公'!$B$123:$M$123</definedName>
    <definedName name="办公内部装修">'不动产比较法-办公租金'!$B$123:$M$123</definedName>
    <definedName name="办公物业管理" localSheetId="49">'[1]不动产比较法-办公'!$B$115:$M$115</definedName>
    <definedName name="办公物业管理">'不动产比较法-办公租金'!$B$115:$M$115</definedName>
    <definedName name="办公用途" localSheetId="49">'[1]不动产比较法-办公'!$B$64:$M$64</definedName>
    <definedName name="办公用途">'不动产比较法-办公租金'!$B$64:$M$64</definedName>
    <definedName name="仓储公共部分装修" localSheetId="49">'[1]不动产比较法-仓储'!$B$77:$M$77</definedName>
    <definedName name="仓储公共部分装修">'不动产比较法-仓储'!$B$77:$M$77</definedName>
    <definedName name="仓储交易情况" localSheetId="49">'[1]不动产比较法-仓储'!$A$49:$M$49</definedName>
    <definedName name="仓储交易情况">'不动产比较法-仓储'!$A$49:$M$49</definedName>
    <definedName name="仓储楼层" localSheetId="49">'[1]不动产比较法-仓储'!$B$69:$M$69</definedName>
    <definedName name="仓储楼层">'不动产比较法-仓储'!$B$69:$M$69</definedName>
    <definedName name="仓储物业等级" localSheetId="49">'[1]不动产比较法-仓储'!$B$82:$M$82</definedName>
    <definedName name="仓储物业等级">'不动产比较法-仓储'!$B$82:$M$82</definedName>
    <definedName name="仓储用途" localSheetId="49">'[1]不动产比较法-仓储'!$B$51:$M$51</definedName>
    <definedName name="仓储用途">'不动产比较法-仓储'!$B$51:$M$51</definedName>
    <definedName name="产业集聚程度" localSheetId="49">[1]定义!$N$1:$N$6</definedName>
    <definedName name="产业集聚程度">定义!$N$1:$N$6</definedName>
    <definedName name="车位公共部分装修" localSheetId="49">'[1]不动产比较法-车位'!$B$83:$M$83</definedName>
    <definedName name="车位公共部分装修">'不动产比较法-车位'!$B$83:$M$83</definedName>
    <definedName name="车位交易情况" localSheetId="49">'[1]不动产比较法-车位'!$A$51:$M$51</definedName>
    <definedName name="车位交易情况">'不动产比较法-车位'!$A$51:$M$51</definedName>
    <definedName name="车位类型" localSheetId="49">'[1]不动产比较法-车位'!$B$93:$M$93</definedName>
    <definedName name="车位类型">'不动产比较法-车位'!$B$93:$M$93</definedName>
    <definedName name="车位楼层" localSheetId="49">'[1]不动产比较法-车位'!$B$71:$M$71</definedName>
    <definedName name="车位楼层">'不动产比较法-车位'!$B$71:$M$71</definedName>
    <definedName name="车位配套类型" localSheetId="49">'[1]不动产比较法-车位'!$B$79:$M$79</definedName>
    <definedName name="车位配套类型">'不动产比较法-车位'!$B$79:$M$79</definedName>
    <definedName name="车位物业等级" localSheetId="49">'[1]不动产比较法-车位'!$B$88:$M$88</definedName>
    <definedName name="车位物业等级">'不动产比较法-车位'!$B$88:$M$88</definedName>
    <definedName name="车位用途" localSheetId="49">'[1]不动产比较法-车位'!$B$53:$M$53</definedName>
    <definedName name="车位用途">'不动产比较法-车位'!$B$53:$M$53</definedName>
    <definedName name="城镇土地纳税等级分级范围" localSheetId="49">'[1]数据-取费表'!$A$53:$A$63</definedName>
    <definedName name="城镇土地纳税等级分级范围">'数据-取费表'!$A$53:$A$63</definedName>
    <definedName name="单价内涵" localSheetId="49">[1]定义!$V$1:$V$3</definedName>
    <definedName name="单价内涵">定义!$V$1:$V$3</definedName>
    <definedName name="地类判定" localSheetId="49">[1]定义!$H$1:$H$9</definedName>
    <definedName name="地类判定">定义!$H$1:$H$9</definedName>
    <definedName name="二级">区片价!$J$1:$J$20</definedName>
    <definedName name="二级分类" localSheetId="49">[1]修正!$C$17:$C$39</definedName>
    <definedName name="二级分类">修正!$C$17:$C$39</definedName>
    <definedName name="法定最高年限" localSheetId="49">[1]定义!$G$2:$G$4</definedName>
    <definedName name="法定最高年限">定义!$G$2:$G$4</definedName>
    <definedName name="工业公共部分装修" localSheetId="49">'[1]不动产比较法-工业'!$B$95:$M$95</definedName>
    <definedName name="工业公共部分装修">'不动产比较法-工业'!$B$95:$M$95</definedName>
    <definedName name="工业基础设施水平" localSheetId="49">'[1]不动产比较法-工业'!$B$102:$M$102</definedName>
    <definedName name="工业基础设施水平">'不动产比较法-工业'!$B$102:$M$102</definedName>
    <definedName name="工业建筑结构" localSheetId="49">'[1]不动产比较法-工业'!$B$93:$M$93</definedName>
    <definedName name="工业建筑结构">'不动产比较法-工业'!$B$93:$M$93</definedName>
    <definedName name="工业建筑类型" localSheetId="49">'[1]不动产比较法-工业'!$B$88:$M$88</definedName>
    <definedName name="工业建筑类型">'不动产比较法-工业'!$B$88:$M$88</definedName>
    <definedName name="工业交易情况" localSheetId="49">'[1]不动产比较法-工业'!$A$55:$M$55</definedName>
    <definedName name="工业交易情况">'不动产比较法-工业'!$A$55:$M$55</definedName>
    <definedName name="工业内部装修" localSheetId="49">'[1]不动产比较法-工业'!$B$104:$M$104</definedName>
    <definedName name="工业内部装修">'不动产比较法-工业'!$B$104:$M$104</definedName>
    <definedName name="工业物业管理" localSheetId="49">'[1]不动产比较法-工业'!$B$100:$M$100</definedName>
    <definedName name="工业物业管理">'不动产比较法-工业'!$B$100:$M$100</definedName>
    <definedName name="工业用途" localSheetId="49">'[1]不动产比较法-工业'!$B$57:$M$57</definedName>
    <definedName name="工业用途">'不动产比较法-工业'!$B$57:$M$57</definedName>
    <definedName name="公共配套设施" localSheetId="49">[1]定义!$Q$1:$Q$6</definedName>
    <definedName name="公共配套设施">定义!$Q$1:$Q$6</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29">基准地价办公!$N$19:$AB$19</definedName>
    <definedName name="季度" localSheetId="28">基准地价商业!$N$19:$AB$19</definedName>
    <definedName name="季度">基准地价住宅!$N$19:$AB$19</definedName>
    <definedName name="季度2014">地价!$A$2:$A$36</definedName>
    <definedName name="价值类型2" localSheetId="49">[1]定义!$B$54:$B$56</definedName>
    <definedName name="价值类型2">定义!$B$54:$B$56</definedName>
    <definedName name="交通便捷度" localSheetId="49">[1]定义!$O$1:$O$6</definedName>
    <definedName name="交通便捷度">定义!$O$1:$O$6</definedName>
    <definedName name="九级">区片价!$Q$1:$Q$46</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区片价!$N$1:$N$49</definedName>
    <definedName name="内部装修维护情况" localSheetId="49">[1]定义!$U$1:$U$6</definedName>
    <definedName name="内部装修维护情况">定义!$U$1:$U$6</definedName>
    <definedName name="判定" localSheetId="49">[1]定义!$D$1:$D$4</definedName>
    <definedName name="判定">定义!$D$1:$D$4</definedName>
    <definedName name="七级">区片价!$O$1:$O$49</definedName>
    <definedName name="七通一平" localSheetId="49">[1]修正!$A$6:$A$14</definedName>
    <definedName name="七通一平">修正!$A$6:$A$14</definedName>
    <definedName name="区域土地利用方向" localSheetId="49">[1]定义!$P$1:$P$6</definedName>
    <definedName name="区域土地利用方向">定义!$P$1:$P$6</definedName>
    <definedName name="三级">区片价!$K$1:$K$21</definedName>
    <definedName name="商业层高" localSheetId="49">'[1]不动产比较法-商业'!$B$116:$M$116</definedName>
    <definedName name="商业层高">'不动产比较法-商业租金'!$B$116:$M$116</definedName>
    <definedName name="商业成新度">'不动产比较法-商业租金'!$B$109:$M$109</definedName>
    <definedName name="商业繁华度" localSheetId="49">[1]定义!$L$1:$L$6</definedName>
    <definedName name="商业繁华度">定义!$L$1:$L$6</definedName>
    <definedName name="商业公共部分装修" localSheetId="49">'[1]不动产比较法-商业'!$B$107:$M$107</definedName>
    <definedName name="商业公共部分装修">'不动产比较法-商业租金'!$B$107:$M$107</definedName>
    <definedName name="商业基础设施水平" localSheetId="49">'[1]不动产比较法-商业'!$B$112:$M$112</definedName>
    <definedName name="商业基础设施水平">'不动产比较法-商业租金'!$B$112:$M$112</definedName>
    <definedName name="商业建筑结构" localSheetId="49">'[1]不动产比较法-商业'!$B$105:$M$105</definedName>
    <definedName name="商业建筑结构">'不动产比较法-商业租金'!$B$105:$M$105</definedName>
    <definedName name="商业交易情况" localSheetId="49">'[1]不动产比较法-商业'!$A$61:$M$61</definedName>
    <definedName name="商业交易情况">'不动产比较法-商业租金'!$A$61:$M$61</definedName>
    <definedName name="商业街名称" localSheetId="49">[1]修正!$C$59:$C$119</definedName>
    <definedName name="商业街名称">修正!$C$59:$C$119</definedName>
    <definedName name="商业进深比" localSheetId="49">'[1]不动产比较法-商业'!$B$120:$M$120</definedName>
    <definedName name="商业进深比">'不动产比较法-商业租金'!$B$120:$M$120</definedName>
    <definedName name="商业类型" localSheetId="49">'[1]不动产比较法-商业'!$B$100:$M$100</definedName>
    <definedName name="商业类型">'不动产比较法-商业租金'!$B$100:$M$100</definedName>
    <definedName name="商业临街状况" localSheetId="49">'[1]不动产比较法-商业'!$B$86:$M$86</definedName>
    <definedName name="商业临街状况">'不动产比较法-商业租金'!$B$86:$M$86</definedName>
    <definedName name="商业楼层" localSheetId="49">'[1]不动产比较法-商业'!$B$92:$M$92</definedName>
    <definedName name="商业楼层">'不动产比较法-商业租金'!$B$92:$M$92</definedName>
    <definedName name="商业内部装修" localSheetId="49">'[1]不动产比较法-商业'!$B$122:$M$122</definedName>
    <definedName name="商业内部装修">'不动产比较法-商业租金'!$B$122:$M$122</definedName>
    <definedName name="商业人流量" localSheetId="49">'[1]不动产比较法-商业'!$B$90:$M$90</definedName>
    <definedName name="商业人流量">'不动产比较法-商业租金'!$B$90:$M$90</definedName>
    <definedName name="商业业态" localSheetId="49">'[1]不动产比较法-商业'!$B$114:$M$114</definedName>
    <definedName name="商业业态">'不动产比较法-商业租金'!$B$114:$M$114</definedName>
    <definedName name="商业用途" localSheetId="49">'[1]不动产比较法-商业'!$B$63:$M$63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49">'[1]不动产比较法-仓储'!$B$89:$M$89</definedName>
    <definedName name="是否封闭">'不动产比较法-仓储'!$B$89:$M$89</definedName>
    <definedName name="是否直接入户" localSheetId="49">'[1]不动产比较法-车位'!$B$95:$M$95</definedName>
    <definedName name="是否直接入户">'不动产比较法-车位'!$B$95:$M$95</definedName>
    <definedName name="四级">区片价!$L$1:$L$28</definedName>
    <definedName name="套工工程地质条件" localSheetId="49">'[1]比较法-工业'!$B$116:$M$116</definedName>
    <definedName name="套工工程地质条件">'比较法-工业'!$B$116:$M$116</definedName>
    <definedName name="套工交易情况" localSheetId="49">'[1]比较法-住宅'!$A$75:$M$75</definedName>
    <definedName name="套工交易情况">'比较法-住宅'!$A$75:$M$75</definedName>
    <definedName name="套工开发程度" localSheetId="49">'[1]比较法-工业'!$B$114:$M$114</definedName>
    <definedName name="套工开发程度">'比较法-工业'!$B$114:$M$114</definedName>
    <definedName name="套工临街等级" localSheetId="49">'[1]比较法-工业'!$B$99:$M$99</definedName>
    <definedName name="套工临街等级">'比较法-工业'!$B$99:$M$99</definedName>
    <definedName name="套工土地级别" localSheetId="49">'[1]比较法-工业'!$B$101:$M$101</definedName>
    <definedName name="套工土地级别">'比较法-工业'!$B$101:$M$101</definedName>
    <definedName name="套工用途" localSheetId="49">'[1]比较法-工业'!$B$72:$M$72</definedName>
    <definedName name="套工用途">'比较法-工业'!$B$72:$M$72</definedName>
    <definedName name="套工宗地形状" localSheetId="49">'[1]比较法-工业'!$B$112:$M$112</definedName>
    <definedName name="套工宗地形状">'比较法-工业'!$B$112:$M$112</definedName>
    <definedName name="套综道路等级" localSheetId="49">'[1]比较法-住宅'!$B$108:$M$108</definedName>
    <definedName name="套综道路等级">'比较法-住宅'!$B$108:$M$108</definedName>
    <definedName name="套综工程地质条件" localSheetId="49">'[1]比较法-住宅'!$B$127:$M$127</definedName>
    <definedName name="套综工程地质条件">'比较法-住宅'!$B$127:$M$127</definedName>
    <definedName name="套综交易情况" localSheetId="49">'[1]比较法-住宅'!$A$75:$M$75</definedName>
    <definedName name="套综交易情况">'比较法-住宅'!$A$75:$M$75</definedName>
    <definedName name="套综临街宽度及深度" localSheetId="49">'[1]比较法-住宅'!$B$123:$M$123</definedName>
    <definedName name="套综临街宽度及深度">'比较法-住宅'!$B$123:$M$123</definedName>
    <definedName name="套综土地级别" localSheetId="49">'[1]比较法-住宅'!$B$110:$M$110</definedName>
    <definedName name="套综土地级别">'比较法-住宅'!$B$110:$M$110</definedName>
    <definedName name="套综用途" localSheetId="49">'[1]比较法-住宅'!$B$77:$M$77</definedName>
    <definedName name="套综用途">'比较法-住宅'!$B$77:$M$77</definedName>
    <definedName name="套综宗地内开发程度" localSheetId="49">'[1]比较法-住宅'!$B$125:$M$125</definedName>
    <definedName name="套综宗地内开发程度">'比较法-住宅'!$B$125:$M$125</definedName>
    <definedName name="套综宗地形状" localSheetId="49">'[1]比较法-住宅'!$B$121:$M$121</definedName>
    <definedName name="套综宗地形状">'比较法-住宅'!$B$121:$M$121</definedName>
    <definedName name="土地估价师" localSheetId="49">[1]估价师及机构信息!$D$3:$D$16</definedName>
    <definedName name="土地估价师">估价师及机构信息!$D$3:$D$16</definedName>
    <definedName name="土地级别" localSheetId="49">[1]定义!$C$1:$C$14</definedName>
    <definedName name="土地级别">定义!$C$1:$C$14</definedName>
    <definedName name="土地利用方向">定义!$P$1:$P$6</definedName>
    <definedName name="土地年限区间" localSheetId="49">[1]定义!$I$1:$I$8</definedName>
    <definedName name="土地年限区间">定义!$I$1:$I$8</definedName>
    <definedName name="位置" localSheetId="49">[1]定义!$E$2:$E$4</definedName>
    <definedName name="位置">定义!$E$2:$E$4</definedName>
    <definedName name="五等判定" localSheetId="49">[1]定义!$W$1:$W$6</definedName>
    <definedName name="五等判定">定义!$W$1:$W$6</definedName>
    <definedName name="五级">区片价!$M$1:$M$35</definedName>
    <definedName name="项目类型" localSheetId="49">'[1]数据-汇总表'!$C$17:$C$26</definedName>
    <definedName name="项目类型">'数据-汇总表'!$C$17:$C$26</definedName>
    <definedName name="写字楼等级" localSheetId="49">'[1]不动产比较法-办公'!$B$113:$M$113</definedName>
    <definedName name="写字楼等级">'不动产比较法-办公租金'!$B$113:$M$113</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类型" localSheetId="49">[1]定义!$A$1:$A$50</definedName>
    <definedName name="用途类型">定义!$A$1:$A$50</definedName>
    <definedName name="有无电梯" localSheetId="49">'[1]不动产比较法-仓储'!$B$84:$M$84</definedName>
    <definedName name="有无电梯">'不动产比较法-仓储'!$B$84:$M$84</definedName>
    <definedName name="主用途" localSheetId="49">[1]定义!$F$1:$F$10</definedName>
    <definedName name="主用途">定义!$F$1:$F$10</definedName>
    <definedName name="住宅朝向" localSheetId="49">'[1]不动产比较法-住宅'!$B$88:$M$88</definedName>
    <definedName name="住宅朝向">'不动产比较法-住宅'!$B$88:$M$88</definedName>
    <definedName name="住宅房型" localSheetId="49">'[1]不动产比较法-住宅'!$B$118:$M$118</definedName>
    <definedName name="住宅房型">'不动产比较法-住宅'!$B$118:$M$118</definedName>
    <definedName name="住宅公共部分装修" localSheetId="49">'[1]不动产比较法-住宅'!$B$109:$M$109</definedName>
    <definedName name="住宅公共部分装修">'不动产比较法-住宅'!$B$109:$M$109</definedName>
    <definedName name="住宅基础设施水平" localSheetId="49">'[1]不动产比较法-住宅'!$B$116:$M$116</definedName>
    <definedName name="住宅基础设施水平">'不动产比较法-住宅'!$B$116:$M$116</definedName>
    <definedName name="住宅建筑结构" localSheetId="49">'[1]不动产比较法-住宅'!$B$105:$M$105</definedName>
    <definedName name="住宅建筑结构">'不动产比较法-住宅'!$B$105:$M$105</definedName>
    <definedName name="住宅建筑类型" localSheetId="49">'[1]不动产比较法-住宅'!$B$100:$M$100</definedName>
    <definedName name="住宅建筑类型">'不动产比较法-住宅'!$B$100:$M$100</definedName>
    <definedName name="住宅建筑品质" localSheetId="49">'[1]不动产比较法-住宅'!$B$107:$M$107</definedName>
    <definedName name="住宅建筑品质">'不动产比较法-住宅'!$B$107:$M$107</definedName>
    <definedName name="住宅交易情况" localSheetId="49">'[1]不动产比较法-住宅'!$A$61:$M$61</definedName>
    <definedName name="住宅交易情况">'不动产比较法-住宅'!$A$61:$M$61</definedName>
    <definedName name="住宅楼层" localSheetId="49">'[1]不动产比较法-住宅'!$B$86:$M$86</definedName>
    <definedName name="住宅楼层">'不动产比较法-住宅'!$B$86:$M$86</definedName>
    <definedName name="住宅内部装修" localSheetId="49">'[1]不动产比较法-住宅'!$B$122:$M$122</definedName>
    <definedName name="住宅内部装修">'不动产比较法-住宅'!$B$122:$M$122</definedName>
    <definedName name="住宅物业管理" localSheetId="49">'[1]不动产比较法-住宅'!$B$114:$M$114</definedName>
    <definedName name="住宅物业管理">'不动产比较法-住宅'!$B$114:$M$114</definedName>
    <definedName name="住宅用途" localSheetId="49">'[1]不动产比较法-住宅'!$B$63:$M$63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B38" i="1" l="1"/>
  <c r="B37" i="1"/>
  <c r="Q8" i="1"/>
  <c r="Q7" i="1"/>
  <c r="L8" i="1"/>
  <c r="L7" i="1"/>
  <c r="B20" i="1"/>
  <c r="C19" i="71" l="1"/>
  <c r="AH7" i="59"/>
  <c r="AG7" i="59"/>
  <c r="AF7" i="59"/>
  <c r="AE7" i="59"/>
  <c r="AD7" i="59"/>
  <c r="AA7" i="59"/>
  <c r="Q7" i="59"/>
  <c r="AB7" i="59" s="1"/>
  <c r="P7" i="59"/>
  <c r="O7" i="59"/>
  <c r="C7" i="59" s="1"/>
  <c r="N7" i="59"/>
  <c r="X7" i="59" s="1"/>
  <c r="F7" i="59"/>
  <c r="F6" i="59" s="1"/>
  <c r="F5" i="59" s="1"/>
  <c r="E7" i="59"/>
  <c r="B7" i="59"/>
  <c r="B6" i="59" s="1"/>
  <c r="B5" i="59" s="1"/>
  <c r="AH6" i="59"/>
  <c r="AG6" i="59"/>
  <c r="AE6" i="59"/>
  <c r="AF6" i="59" s="1"/>
  <c r="AD6" i="59"/>
  <c r="AB6" i="59"/>
  <c r="Q6" i="59"/>
  <c r="P6" i="59"/>
  <c r="AA6" i="59" s="1"/>
  <c r="O6" i="59"/>
  <c r="Y6" i="59" s="1"/>
  <c r="Z6" i="59" s="1"/>
  <c r="N6" i="59"/>
  <c r="X6" i="59" s="1"/>
  <c r="E6" i="59"/>
  <c r="E5" i="59" s="1"/>
  <c r="AH5" i="59"/>
  <c r="AG5" i="59"/>
  <c r="AF5" i="59"/>
  <c r="AE5" i="59"/>
  <c r="AD5" i="59"/>
  <c r="AA5" i="59"/>
  <c r="Q5" i="59"/>
  <c r="AB5" i="59" s="1"/>
  <c r="P5" i="59"/>
  <c r="O5" i="59"/>
  <c r="Y5" i="59" s="1"/>
  <c r="Z5" i="59" s="1"/>
  <c r="N5" i="59"/>
  <c r="X5" i="59" s="1"/>
  <c r="D7" i="59" l="1"/>
  <c r="C6" i="59"/>
  <c r="Y7" i="59"/>
  <c r="Z7" i="59" s="1"/>
  <c r="D6" i="59" l="1"/>
  <c r="C5" i="59"/>
  <c r="D5" i="59" s="1"/>
  <c r="D3" i="81" l="1"/>
  <c r="D3" i="79"/>
  <c r="C33" i="79"/>
  <c r="B131" i="81"/>
  <c r="B129" i="81"/>
  <c r="B127" i="81"/>
  <c r="D126" i="81"/>
  <c r="E126" i="81" s="1"/>
  <c r="F126" i="81" s="1"/>
  <c r="G126" i="81" s="1"/>
  <c r="J124" i="81"/>
  <c r="K124" i="81" s="1"/>
  <c r="L124" i="81" s="1"/>
  <c r="M124" i="81" s="1"/>
  <c r="F124" i="81"/>
  <c r="G124" i="81" s="1"/>
  <c r="H124" i="81" s="1"/>
  <c r="I124" i="81" s="1"/>
  <c r="D124" i="81"/>
  <c r="E124" i="81" s="1"/>
  <c r="H120" i="81"/>
  <c r="I120" i="81" s="1"/>
  <c r="J120" i="81" s="1"/>
  <c r="K120" i="81" s="1"/>
  <c r="L120" i="81" s="1"/>
  <c r="M120" i="81" s="1"/>
  <c r="D120" i="81"/>
  <c r="E120" i="81" s="1"/>
  <c r="F120" i="81" s="1"/>
  <c r="G120" i="81" s="1"/>
  <c r="D118" i="81"/>
  <c r="E118" i="81" s="1"/>
  <c r="F118" i="81" s="1"/>
  <c r="G118" i="81" s="1"/>
  <c r="F116" i="81"/>
  <c r="G116" i="81" s="1"/>
  <c r="H116" i="81" s="1"/>
  <c r="I116" i="81" s="1"/>
  <c r="J116" i="81" s="1"/>
  <c r="K116" i="81" s="1"/>
  <c r="L116" i="81" s="1"/>
  <c r="M116" i="81" s="1"/>
  <c r="D116" i="81"/>
  <c r="E116" i="81" s="1"/>
  <c r="L114" i="81"/>
  <c r="M114" i="81" s="1"/>
  <c r="D114" i="81"/>
  <c r="E114" i="81" s="1"/>
  <c r="F114" i="81" s="1"/>
  <c r="G114" i="81" s="1"/>
  <c r="H114" i="81" s="1"/>
  <c r="I114" i="81" s="1"/>
  <c r="J114" i="81" s="1"/>
  <c r="K114" i="81" s="1"/>
  <c r="F112" i="81"/>
  <c r="D112" i="81"/>
  <c r="E112" i="81" s="1"/>
  <c r="G110" i="81"/>
  <c r="F110" i="81"/>
  <c r="E110" i="81"/>
  <c r="D110" i="81"/>
  <c r="C110" i="81"/>
  <c r="G109" i="81"/>
  <c r="H109" i="81" s="1"/>
  <c r="I109" i="81" s="1"/>
  <c r="J109" i="81" s="1"/>
  <c r="K109" i="81" s="1"/>
  <c r="L109" i="81" s="1"/>
  <c r="M109" i="81" s="1"/>
  <c r="E109" i="81"/>
  <c r="F109" i="81" s="1"/>
  <c r="D109" i="81"/>
  <c r="G107" i="81"/>
  <c r="H107" i="81" s="1"/>
  <c r="I107" i="81" s="1"/>
  <c r="J107" i="81" s="1"/>
  <c r="K107" i="81" s="1"/>
  <c r="L107" i="81" s="1"/>
  <c r="M107" i="81" s="1"/>
  <c r="E107" i="81"/>
  <c r="F107" i="81" s="1"/>
  <c r="D107" i="81"/>
  <c r="M103" i="81"/>
  <c r="L103" i="81"/>
  <c r="K103" i="81"/>
  <c r="J103" i="81"/>
  <c r="I103" i="81"/>
  <c r="H103" i="81"/>
  <c r="G103" i="81"/>
  <c r="F103" i="81"/>
  <c r="E103" i="81"/>
  <c r="D103" i="81"/>
  <c r="C103" i="81"/>
  <c r="L102" i="81"/>
  <c r="M102" i="81" s="1"/>
  <c r="D102" i="81"/>
  <c r="E102" i="81" s="1"/>
  <c r="F102" i="81" s="1"/>
  <c r="G102" i="81" s="1"/>
  <c r="H102" i="81" s="1"/>
  <c r="I102" i="81" s="1"/>
  <c r="J102" i="81" s="1"/>
  <c r="K102" i="81" s="1"/>
  <c r="B99" i="81"/>
  <c r="B97" i="81"/>
  <c r="B95" i="81"/>
  <c r="B93" i="81"/>
  <c r="F92" i="81"/>
  <c r="G92" i="81" s="1"/>
  <c r="H92" i="81" s="1"/>
  <c r="I92" i="81" s="1"/>
  <c r="J92" i="81" s="1"/>
  <c r="K92" i="81" s="1"/>
  <c r="L92" i="81" s="1"/>
  <c r="M92" i="81" s="1"/>
  <c r="D92" i="81"/>
  <c r="E92" i="81" s="1"/>
  <c r="B91" i="81"/>
  <c r="G90" i="81"/>
  <c r="H90" i="81" s="1"/>
  <c r="I90" i="81" s="1"/>
  <c r="J90" i="81" s="1"/>
  <c r="K90" i="81" s="1"/>
  <c r="L90" i="81" s="1"/>
  <c r="M90" i="81" s="1"/>
  <c r="E90" i="81"/>
  <c r="F90" i="81" s="1"/>
  <c r="D90" i="81"/>
  <c r="B89" i="81"/>
  <c r="D88" i="81"/>
  <c r="D86" i="81"/>
  <c r="D84" i="81"/>
  <c r="D82" i="81"/>
  <c r="D80" i="81"/>
  <c r="D78" i="81"/>
  <c r="E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F67" i="81"/>
  <c r="G67" i="81" s="1"/>
  <c r="H67" i="81" s="1"/>
  <c r="I67" i="81" s="1"/>
  <c r="C64" i="81"/>
  <c r="P50" i="81"/>
  <c r="P49" i="81"/>
  <c r="K49" i="81"/>
  <c r="P48" i="81"/>
  <c r="I48" i="81"/>
  <c r="G48" i="81"/>
  <c r="E48" i="81"/>
  <c r="Z47" i="81"/>
  <c r="Q47" i="81"/>
  <c r="AC46" i="81"/>
  <c r="W46" i="81"/>
  <c r="Q46" i="81"/>
  <c r="Z46" i="81" s="1"/>
  <c r="J46" i="81"/>
  <c r="H46" i="81"/>
  <c r="AB46" i="81" s="1"/>
  <c r="F46" i="81"/>
  <c r="AA46" i="81" s="1"/>
  <c r="Q45" i="81"/>
  <c r="Z45" i="81" s="1"/>
  <c r="AA44" i="8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AA36" i="81"/>
  <c r="Q36" i="81"/>
  <c r="Z36" i="81" s="1"/>
  <c r="J36" i="81"/>
  <c r="H36" i="81"/>
  <c r="AB36" i="81" s="1"/>
  <c r="F36" i="81"/>
  <c r="S36" i="81" s="1"/>
  <c r="Z35" i="81"/>
  <c r="Q35" i="8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Z30" i="81"/>
  <c r="Q30" i="81"/>
  <c r="J30" i="81"/>
  <c r="AC30" i="81" s="1"/>
  <c r="H30" i="81"/>
  <c r="F30" i="81"/>
  <c r="AA30" i="81" s="1"/>
  <c r="Q29" i="81"/>
  <c r="Z29" i="81" s="1"/>
  <c r="F29" i="81"/>
  <c r="Q28" i="81"/>
  <c r="Z28" i="81" s="1"/>
  <c r="J28" i="81"/>
  <c r="AC28" i="81" s="1"/>
  <c r="H28" i="81"/>
  <c r="F28" i="81"/>
  <c r="AA28" i="81" s="1"/>
  <c r="AC27" i="81"/>
  <c r="W27" i="81"/>
  <c r="Q27" i="81"/>
  <c r="Z27" i="81" s="1"/>
  <c r="J27" i="81"/>
  <c r="H27" i="81"/>
  <c r="AB27" i="81" s="1"/>
  <c r="F27" i="81"/>
  <c r="AA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AC12" i="81"/>
  <c r="W12" i="81"/>
  <c r="Q12" i="81"/>
  <c r="Z12" i="81" s="1"/>
  <c r="J12" i="81"/>
  <c r="H12" i="81"/>
  <c r="AB12" i="81" s="1"/>
  <c r="F12" i="81"/>
  <c r="AA12" i="81" s="1"/>
  <c r="Q11" i="81"/>
  <c r="Z11" i="81" s="1"/>
  <c r="AC10" i="81"/>
  <c r="W10" i="81"/>
  <c r="Q10" i="81"/>
  <c r="Z10" i="81" s="1"/>
  <c r="J10" i="81"/>
  <c r="H10" i="81"/>
  <c r="AB10" i="81" s="1"/>
  <c r="F10" i="81"/>
  <c r="AA10" i="81" s="1"/>
  <c r="AB9" i="81"/>
  <c r="U9" i="81"/>
  <c r="Q9" i="81"/>
  <c r="Z9" i="81" s="1"/>
  <c r="J9" i="81"/>
  <c r="AC9" i="81" s="1"/>
  <c r="H9" i="81"/>
  <c r="F9" i="81"/>
  <c r="AA9" i="81" s="1"/>
  <c r="U8" i="81"/>
  <c r="J8" i="81"/>
  <c r="W8" i="81" s="1"/>
  <c r="H8" i="81"/>
  <c r="AB8" i="81" s="1"/>
  <c r="F8" i="81"/>
  <c r="S8" i="81" s="1"/>
  <c r="C7" i="81"/>
  <c r="C59" i="81" s="1"/>
  <c r="I5" i="81"/>
  <c r="E5" i="81"/>
  <c r="B130" i="79"/>
  <c r="H46" i="79" s="1"/>
  <c r="B128" i="79"/>
  <c r="B126" i="79"/>
  <c r="H44" i="79" s="1"/>
  <c r="D125" i="79"/>
  <c r="E125" i="79" s="1"/>
  <c r="F125" i="79" s="1"/>
  <c r="G125" i="79" s="1"/>
  <c r="F123" i="79"/>
  <c r="G123" i="79" s="1"/>
  <c r="H123" i="79" s="1"/>
  <c r="I123" i="79" s="1"/>
  <c r="J123" i="79" s="1"/>
  <c r="K123" i="79" s="1"/>
  <c r="L123" i="79" s="1"/>
  <c r="M123" i="79" s="1"/>
  <c r="D123" i="79"/>
  <c r="E123" i="79" s="1"/>
  <c r="D121" i="79"/>
  <c r="E121" i="79" s="1"/>
  <c r="F121" i="79" s="1"/>
  <c r="G121" i="79" s="1"/>
  <c r="H121" i="79" s="1"/>
  <c r="I121" i="79" s="1"/>
  <c r="J121" i="79" s="1"/>
  <c r="K121" i="79" s="1"/>
  <c r="L121" i="79" s="1"/>
  <c r="M121" i="79" s="1"/>
  <c r="D117" i="79"/>
  <c r="E117" i="79" s="1"/>
  <c r="F117" i="79" s="1"/>
  <c r="G117" i="79" s="1"/>
  <c r="F115" i="79"/>
  <c r="G115" i="79" s="1"/>
  <c r="H115" i="79" s="1"/>
  <c r="I115" i="79" s="1"/>
  <c r="J115" i="79" s="1"/>
  <c r="K115" i="79" s="1"/>
  <c r="L115" i="79" s="1"/>
  <c r="M115" i="79" s="1"/>
  <c r="D115" i="79"/>
  <c r="E115" i="79" s="1"/>
  <c r="D113" i="79"/>
  <c r="E113" i="79" s="1"/>
  <c r="F113" i="79" s="1"/>
  <c r="G113" i="79" s="1"/>
  <c r="H113" i="79" s="1"/>
  <c r="I113" i="79" s="1"/>
  <c r="J113" i="79" s="1"/>
  <c r="K113" i="79" s="1"/>
  <c r="L113" i="79" s="1"/>
  <c r="M113" i="79" s="1"/>
  <c r="F111" i="79"/>
  <c r="D111" i="79"/>
  <c r="E111" i="79" s="1"/>
  <c r="G109" i="79"/>
  <c r="F109" i="79"/>
  <c r="E109" i="79"/>
  <c r="D109" i="79"/>
  <c r="C109" i="79"/>
  <c r="G108" i="79"/>
  <c r="H108" i="79" s="1"/>
  <c r="I108" i="79" s="1"/>
  <c r="J108" i="79" s="1"/>
  <c r="K108" i="79" s="1"/>
  <c r="L108" i="79" s="1"/>
  <c r="M108" i="79" s="1"/>
  <c r="E108" i="79"/>
  <c r="F108" i="79" s="1"/>
  <c r="D108" i="79"/>
  <c r="G106" i="79"/>
  <c r="H106" i="79" s="1"/>
  <c r="I106" i="79" s="1"/>
  <c r="J106" i="79" s="1"/>
  <c r="K106" i="79" s="1"/>
  <c r="L106" i="79" s="1"/>
  <c r="M106" i="79" s="1"/>
  <c r="E106" i="79"/>
  <c r="F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J45" i="79"/>
  <c r="AC45" i="79" s="1"/>
  <c r="H45" i="79"/>
  <c r="AB45" i="79" s="1"/>
  <c r="F45" i="79"/>
  <c r="AA45" i="79" s="1"/>
  <c r="Q44" i="79"/>
  <c r="Z44" i="79" s="1"/>
  <c r="F44" i="79"/>
  <c r="AA44" i="79" s="1"/>
  <c r="Q43" i="79"/>
  <c r="Z43" i="79" s="1"/>
  <c r="J43" i="79"/>
  <c r="AC43" i="79" s="1"/>
  <c r="H43" i="79"/>
  <c r="AB43" i="79" s="1"/>
  <c r="F43" i="79"/>
  <c r="AA43" i="79" s="1"/>
  <c r="AC42" i="79"/>
  <c r="W42" i="79"/>
  <c r="Q42" i="79"/>
  <c r="Z42" i="79" s="1"/>
  <c r="J42" i="79"/>
  <c r="H42" i="79"/>
  <c r="AB42" i="79" s="1"/>
  <c r="F42" i="79"/>
  <c r="AA42" i="79" s="1"/>
  <c r="AB41" i="79"/>
  <c r="U41" i="79"/>
  <c r="Q41" i="79"/>
  <c r="Z41" i="79" s="1"/>
  <c r="J41" i="79"/>
  <c r="AC41" i="79" s="1"/>
  <c r="H41" i="79"/>
  <c r="F41" i="79"/>
  <c r="AA41" i="79" s="1"/>
  <c r="Q40" i="79"/>
  <c r="Z40" i="79" s="1"/>
  <c r="J40" i="79"/>
  <c r="AC40" i="79" s="1"/>
  <c r="H40" i="79"/>
  <c r="AB40" i="79" s="1"/>
  <c r="F40" i="79"/>
  <c r="AA40" i="79" s="1"/>
  <c r="Q39" i="79"/>
  <c r="Z39" i="79" s="1"/>
  <c r="J39" i="79"/>
  <c r="AC39" i="79" s="1"/>
  <c r="H39" i="79"/>
  <c r="AB39" i="79" s="1"/>
  <c r="F39" i="79"/>
  <c r="AA39" i="79" s="1"/>
  <c r="AC38" i="79"/>
  <c r="W38" i="79"/>
  <c r="Q38" i="79"/>
  <c r="Z38" i="79" s="1"/>
  <c r="J38" i="79"/>
  <c r="H38" i="79"/>
  <c r="AB38" i="79" s="1"/>
  <c r="F38" i="79"/>
  <c r="AA38" i="79" s="1"/>
  <c r="AB37" i="79"/>
  <c r="U37" i="79"/>
  <c r="Q37" i="79"/>
  <c r="Z37" i="79" s="1"/>
  <c r="J37" i="79"/>
  <c r="AC37" i="79" s="1"/>
  <c r="H37" i="79"/>
  <c r="F37" i="79"/>
  <c r="AA37" i="79" s="1"/>
  <c r="Q36" i="79"/>
  <c r="Z36" i="79" s="1"/>
  <c r="AB35" i="79"/>
  <c r="U35" i="79"/>
  <c r="Q35" i="79"/>
  <c r="Z35" i="79" s="1"/>
  <c r="J35" i="79"/>
  <c r="AC35" i="79" s="1"/>
  <c r="H35" i="79"/>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AC29" i="79"/>
  <c r="W29" i="79"/>
  <c r="Q29" i="79"/>
  <c r="Z29" i="79" s="1"/>
  <c r="J29" i="79"/>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AB14" i="79"/>
  <c r="U14" i="79"/>
  <c r="Q14" i="79"/>
  <c r="Z14" i="79" s="1"/>
  <c r="J14" i="79"/>
  <c r="AC14" i="79" s="1"/>
  <c r="H14" i="79"/>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AC9" i="79"/>
  <c r="W9" i="79"/>
  <c r="Q9" i="79"/>
  <c r="Z9" i="79" s="1"/>
  <c r="J9" i="79"/>
  <c r="F9" i="79"/>
  <c r="AA9" i="79" s="1"/>
  <c r="W8" i="79"/>
  <c r="S8" i="79"/>
  <c r="J8" i="79"/>
  <c r="AC8" i="79" s="1"/>
  <c r="H8" i="79"/>
  <c r="U8" i="79" s="1"/>
  <c r="F8" i="79"/>
  <c r="AA8" i="79" s="1"/>
  <c r="C7" i="79"/>
  <c r="C58" i="79" s="1"/>
  <c r="D58" i="79" s="1"/>
  <c r="I5" i="79"/>
  <c r="G5" i="79"/>
  <c r="E5" i="79"/>
  <c r="AB12" i="79" l="1"/>
  <c r="E58" i="79"/>
  <c r="F58" i="79" s="1"/>
  <c r="G58" i="79" s="1"/>
  <c r="H58" i="79" s="1"/>
  <c r="I58" i="79" s="1"/>
  <c r="J58" i="79" s="1"/>
  <c r="K58" i="79" s="1"/>
  <c r="L58" i="79" s="1"/>
  <c r="M58" i="79" s="1"/>
  <c r="N58" i="79" s="1"/>
  <c r="O58" i="79" s="1"/>
  <c r="U21" i="79"/>
  <c r="U26" i="79"/>
  <c r="U28" i="79"/>
  <c r="S31" i="79"/>
  <c r="C34" i="81"/>
  <c r="J33" i="79"/>
  <c r="F33"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H33"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H7" i="79" l="1"/>
  <c r="AB7" i="79" s="1"/>
  <c r="F7" i="79"/>
  <c r="AA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AA33" i="79"/>
  <c r="S33" i="79"/>
  <c r="H34" i="81"/>
  <c r="J34" i="81"/>
  <c r="F34" i="81"/>
  <c r="H19" i="81"/>
  <c r="H15" i="81"/>
  <c r="AA13" i="81"/>
  <c r="S13" i="81"/>
  <c r="W31" i="81"/>
  <c r="AC31" i="81"/>
  <c r="AC29" i="81"/>
  <c r="W29" i="81"/>
  <c r="U25" i="81"/>
  <c r="AB25" i="81"/>
  <c r="AB27" i="79"/>
  <c r="U27" i="79"/>
  <c r="AC26" i="79"/>
  <c r="W26" i="79"/>
  <c r="AC44" i="79"/>
  <c r="W44" i="79"/>
  <c r="F36" i="79"/>
  <c r="AB33" i="79"/>
  <c r="U33"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AC33" i="79"/>
  <c r="W33" i="79"/>
  <c r="J7" i="79"/>
  <c r="F23" i="81"/>
  <c r="J23" i="81"/>
  <c r="AB29" i="81"/>
  <c r="U29" i="81"/>
  <c r="U45" i="81"/>
  <c r="AB45" i="81"/>
  <c r="AA26" i="79"/>
  <c r="S26" i="79"/>
  <c r="U7" i="79"/>
  <c r="AA47" i="81"/>
  <c r="S47" i="81"/>
  <c r="AA45" i="81"/>
  <c r="S45" i="81"/>
  <c r="AC37" i="81"/>
  <c r="W37" i="81"/>
  <c r="AC28" i="79"/>
  <c r="W28" i="79"/>
  <c r="S7" i="79" l="1"/>
  <c r="AC23" i="81"/>
  <c r="W23" i="81"/>
  <c r="AB19" i="79"/>
  <c r="U19" i="79"/>
  <c r="AC17" i="81"/>
  <c r="W17" i="81"/>
  <c r="AB15" i="81"/>
  <c r="U15" i="81"/>
  <c r="AA34" i="81"/>
  <c r="S34" i="81"/>
  <c r="AB34" i="81"/>
  <c r="U34"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34" i="81"/>
  <c r="W34" i="81"/>
  <c r="AC15" i="79"/>
  <c r="W15" i="79"/>
  <c r="AC36" i="79"/>
  <c r="W36" i="79"/>
  <c r="AC21" i="81"/>
  <c r="W21" i="81"/>
  <c r="F59" i="81"/>
  <c r="S15" i="81"/>
  <c r="AA15" i="81"/>
  <c r="AC19" i="81"/>
  <c r="W19" i="81"/>
  <c r="G59" i="81" l="1"/>
  <c r="H59" i="81" l="1"/>
  <c r="I59" i="81" l="1"/>
  <c r="J59" i="81" l="1"/>
  <c r="K59" i="81" l="1"/>
  <c r="L59" i="81" l="1"/>
  <c r="M59" i="81" l="1"/>
  <c r="N59" i="81" s="1"/>
  <c r="O59" i="81" s="1"/>
  <c r="H7" i="81" l="1"/>
  <c r="U7" i="81" s="1"/>
  <c r="J7" i="81"/>
  <c r="F7" i="81"/>
  <c r="AB7" i="81" l="1"/>
  <c r="AA7" i="81"/>
  <c r="S7" i="81"/>
  <c r="AC7" i="81"/>
  <c r="W7" i="81"/>
  <c r="M13" i="3" l="1"/>
  <c r="F23" i="69" l="1"/>
  <c r="F24" i="69"/>
  <c r="F21" i="77" s="1"/>
  <c r="F20" i="77"/>
  <c r="C19" i="72" l="1"/>
  <c r="F35" i="77" l="1"/>
  <c r="E5" i="33" l="1"/>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c r="AD19" i="59"/>
  <c r="AE20" i="59"/>
  <c r="AF20" i="59" s="1"/>
  <c r="AG20" i="59"/>
  <c r="AH20" i="59"/>
  <c r="AD20" i="59"/>
  <c r="Q20" i="59"/>
  <c r="P20" i="59"/>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K76" i="9"/>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S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D20"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c r="E72" i="59"/>
  <c r="U72" i="59"/>
  <c r="C72" i="59"/>
  <c r="T72" i="59"/>
  <c r="B72" i="59"/>
  <c r="Q71" i="59"/>
  <c r="P71" i="59"/>
  <c r="O71" i="59"/>
  <c r="N71" i="59"/>
  <c r="F71" i="59"/>
  <c r="F70" i="59" s="1"/>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c r="F51"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Y32" i="59" s="1"/>
  <c r="Z32" i="59" s="1"/>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X26" i="59" s="1"/>
  <c r="Q25" i="59"/>
  <c r="F26" i="59" s="1"/>
  <c r="F27" i="59" s="1"/>
  <c r="F28" i="59" s="1"/>
  <c r="V28" i="59" s="1"/>
  <c r="P25" i="59"/>
  <c r="O25" i="59"/>
  <c r="C26" i="59" s="1"/>
  <c r="N25" i="59"/>
  <c r="B26" i="59" s="1"/>
  <c r="B27" i="59" s="1"/>
  <c r="B28" i="59" s="1"/>
  <c r="S28" i="59" s="1"/>
  <c r="D25" i="59"/>
  <c r="E26" i="59"/>
  <c r="E27" i="59" s="1"/>
  <c r="E28" i="59" s="1"/>
  <c r="U28" i="59" s="1"/>
  <c r="S64" i="59"/>
  <c r="F55" i="59"/>
  <c r="F56" i="59" s="1"/>
  <c r="V56" i="59" s="1"/>
  <c r="F60" i="59"/>
  <c r="V60" i="59" s="1"/>
  <c r="D46" i="59"/>
  <c r="D30" i="59"/>
  <c r="B62" i="59"/>
  <c r="N62" i="59" s="1"/>
  <c r="T64" i="59"/>
  <c r="O64" i="59"/>
  <c r="D64" i="59"/>
  <c r="C63" i="59"/>
  <c r="D63" i="59" s="1"/>
  <c r="P64" i="59"/>
  <c r="U64" i="59"/>
  <c r="C67" i="59"/>
  <c r="E67" i="59"/>
  <c r="E66" i="59" s="1"/>
  <c r="D68" i="59"/>
  <c r="C71" i="59"/>
  <c r="E71" i="59"/>
  <c r="E70" i="59" s="1"/>
  <c r="D72" i="59"/>
  <c r="C75" i="59"/>
  <c r="E75" i="59"/>
  <c r="E74" i="59"/>
  <c r="D76" i="59"/>
  <c r="C79" i="59"/>
  <c r="D79" i="59" s="1"/>
  <c r="C83" i="59"/>
  <c r="D83" i="59" s="1"/>
  <c r="U16" i="4"/>
  <c r="S16" i="4"/>
  <c r="Q16" i="4"/>
  <c r="O16" i="4"/>
  <c r="M16" i="4"/>
  <c r="K16" i="4"/>
  <c r="L16" i="4" s="1"/>
  <c r="D75" i="59"/>
  <c r="C74" i="59"/>
  <c r="D74" i="59" s="1"/>
  <c r="D67" i="59"/>
  <c r="C66" i="59"/>
  <c r="D66" i="59" s="1"/>
  <c r="C62" i="59"/>
  <c r="O62" i="59" s="1"/>
  <c r="O63" i="59"/>
  <c r="N61" i="59"/>
  <c r="D62"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2"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H54" i="33" s="1"/>
  <c r="E54" i="33"/>
  <c r="F54" i="33" s="1"/>
  <c r="H14" i="3"/>
  <c r="AC14" i="3"/>
  <c r="H15" i="3"/>
  <c r="AC15" i="3"/>
  <c r="G15" i="3" s="1"/>
  <c r="H16" i="3"/>
  <c r="AC16" i="3"/>
  <c r="H17" i="3"/>
  <c r="G17" i="3" s="1"/>
  <c r="AC17" i="3"/>
  <c r="H18" i="3"/>
  <c r="G18" i="3" s="1"/>
  <c r="AC18" i="3"/>
  <c r="BB18" i="3"/>
  <c r="BC18" i="3"/>
  <c r="BD18" i="3"/>
  <c r="BE18" i="3"/>
  <c r="BF18" i="3"/>
  <c r="BG18" i="3"/>
  <c r="BH18" i="3"/>
  <c r="BI18" i="3"/>
  <c r="BJ18" i="3"/>
  <c r="BK18" i="3"/>
  <c r="BM18" i="3"/>
  <c r="BL18" i="3" s="1"/>
  <c r="AZ18" i="3" s="1"/>
  <c r="BN18" i="3"/>
  <c r="BO18" i="3"/>
  <c r="BP18" i="3"/>
  <c r="BR18" i="3"/>
  <c r="BR5" i="3" s="1"/>
  <c r="BS18" i="3"/>
  <c r="BT18" i="3"/>
  <c r="H19" i="3"/>
  <c r="AC19" i="3"/>
  <c r="AC5" i="3" s="1"/>
  <c r="BB19" i="3"/>
  <c r="BC19" i="3"/>
  <c r="BD19" i="3"/>
  <c r="BE19" i="3"/>
  <c r="BE5" i="3" s="1"/>
  <c r="BF19" i="3"/>
  <c r="BG19" i="3"/>
  <c r="BH19" i="3"/>
  <c r="BI19" i="3"/>
  <c r="BJ19" i="3"/>
  <c r="BK19" i="3"/>
  <c r="BK5" i="3" s="1"/>
  <c r="BM19" i="3"/>
  <c r="BN19" i="3"/>
  <c r="BL19" i="3" s="1"/>
  <c r="BO19" i="3"/>
  <c r="BP19" i="3"/>
  <c r="BP5" i="3" s="1"/>
  <c r="G29" i="6" s="1"/>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Q5" i="3" s="1"/>
  <c r="F28" i="6" s="1"/>
  <c r="BR481" i="3"/>
  <c r="BS481" i="3"/>
  <c r="BT481" i="3"/>
  <c r="H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AZ496" i="3" s="1"/>
  <c r="BN496" i="3"/>
  <c r="BO496" i="3"/>
  <c r="BP496" i="3"/>
  <c r="BR496" i="3"/>
  <c r="BS496" i="3"/>
  <c r="BT496" i="3"/>
  <c r="H497" i="3"/>
  <c r="AC497" i="3"/>
  <c r="BB497" i="3"/>
  <c r="BC497" i="3"/>
  <c r="BD497" i="3"/>
  <c r="BE497" i="3"/>
  <c r="BF497" i="3"/>
  <c r="BG497" i="3"/>
  <c r="BH497" i="3"/>
  <c r="BI497" i="3"/>
  <c r="BJ497" i="3"/>
  <c r="BK497" i="3"/>
  <c r="BM497" i="3"/>
  <c r="BN497" i="3"/>
  <c r="BL497" i="3" s="1"/>
  <c r="AZ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c r="J22" i="36"/>
  <c r="AC22" i="36" s="1"/>
  <c r="Q20" i="36"/>
  <c r="Z20" i="36" s="1"/>
  <c r="Q16" i="36"/>
  <c r="Z16" i="36"/>
  <c r="Q14" i="36"/>
  <c r="Z14" i="36"/>
  <c r="Q13" i="36"/>
  <c r="Z13" i="36"/>
  <c r="Q12" i="36"/>
  <c r="Z12" i="36"/>
  <c r="Q11" i="36"/>
  <c r="Z11" i="36" s="1"/>
  <c r="Q10" i="36"/>
  <c r="Z10" i="36"/>
  <c r="F10" i="36"/>
  <c r="AA10" i="36" s="1"/>
  <c r="Q9" i="36"/>
  <c r="Z9" i="36" s="1"/>
  <c r="H9" i="36"/>
  <c r="AB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F35" i="35" s="1"/>
  <c r="S35" i="35" s="1"/>
  <c r="B97" i="35"/>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H45" i="33"/>
  <c r="U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H34" i="35"/>
  <c r="AB34" i="35" s="1"/>
  <c r="F34" i="35"/>
  <c r="Q33" i="35"/>
  <c r="Z33" i="35" s="1"/>
  <c r="Q32" i="35"/>
  <c r="Z32" i="35" s="1"/>
  <c r="H32" i="35"/>
  <c r="AB32" i="35"/>
  <c r="F32" i="35"/>
  <c r="AA32" i="35" s="1"/>
  <c r="Q31" i="35"/>
  <c r="Z31" i="35" s="1"/>
  <c r="AB31" i="35"/>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c r="G15" i="20"/>
  <c r="C24" i="20"/>
  <c r="B51" i="46" s="1"/>
  <c r="C21" i="20"/>
  <c r="C20" i="20"/>
  <c r="B76" i="46" s="1"/>
  <c r="C18" i="20"/>
  <c r="C17" i="20"/>
  <c r="B58" i="46" s="1"/>
  <c r="C16" i="20"/>
  <c r="B47" i="46" s="1"/>
  <c r="C15" i="20"/>
  <c r="B69" i="46" s="1"/>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c r="J26" i="21"/>
  <c r="W26" i="21" s="1"/>
  <c r="F26" i="21"/>
  <c r="AA26" i="21" s="1"/>
  <c r="AB41" i="21"/>
  <c r="S41" i="21"/>
  <c r="AA41" i="21"/>
  <c r="S10" i="39"/>
  <c r="U30" i="37"/>
  <c r="F103" i="37"/>
  <c r="G103" i="37" s="1"/>
  <c r="H103" i="37" s="1"/>
  <c r="I103" i="37" s="1"/>
  <c r="J103" i="37" s="1"/>
  <c r="F29" i="36"/>
  <c r="AA29" i="36"/>
  <c r="F16" i="36"/>
  <c r="AA16" i="36" s="1"/>
  <c r="U22" i="36"/>
  <c r="W22" i="36"/>
  <c r="AC31" i="36"/>
  <c r="J33" i="36"/>
  <c r="W33" i="36"/>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c r="H27" i="21"/>
  <c r="AB27" i="21"/>
  <c r="J27" i="21"/>
  <c r="W27" i="2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c r="W13" i="36"/>
  <c r="F13" i="36"/>
  <c r="S13" i="36" s="1"/>
  <c r="E89" i="37"/>
  <c r="F89" i="37" s="1"/>
  <c r="G89" i="37" s="1"/>
  <c r="H89" i="37" s="1"/>
  <c r="I89" i="37"/>
  <c r="J89" i="37" s="1"/>
  <c r="K89" i="37" s="1"/>
  <c r="L89" i="37" s="1"/>
  <c r="M89" i="37" s="1"/>
  <c r="J29" i="37"/>
  <c r="W29" i="37"/>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AZ520" i="3" s="1"/>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c r="D3" i="21"/>
  <c r="AC33" i="36"/>
  <c r="AC23" i="37"/>
  <c r="AC8" i="37"/>
  <c r="AC45" i="33"/>
  <c r="U19" i="21"/>
  <c r="F43" i="33"/>
  <c r="AA43" i="33" s="1"/>
  <c r="L107" i="37"/>
  <c r="M107" i="37" s="1"/>
  <c r="F37" i="21"/>
  <c r="S37" i="21"/>
  <c r="J37" i="21"/>
  <c r="W37" i="21"/>
  <c r="J10" i="37"/>
  <c r="W10" i="37"/>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AZ118" i="3" s="1"/>
  <c r="BL119" i="3"/>
  <c r="G120" i="3"/>
  <c r="BA122" i="3"/>
  <c r="BL123" i="3"/>
  <c r="G124" i="3"/>
  <c r="BA126" i="3"/>
  <c r="AZ126" i="3" s="1"/>
  <c r="BL127" i="3"/>
  <c r="G128" i="3"/>
  <c r="BA130" i="3"/>
  <c r="BL131" i="3"/>
  <c r="AZ131" i="3" s="1"/>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AZ161" i="3"/>
  <c r="BL162" i="3"/>
  <c r="G163" i="3"/>
  <c r="BA165" i="3"/>
  <c r="BL166" i="3"/>
  <c r="AZ166" i="3" s="1"/>
  <c r="G167" i="3"/>
  <c r="BA169" i="3"/>
  <c r="AZ169" i="3" s="1"/>
  <c r="BL170" i="3"/>
  <c r="G171" i="3"/>
  <c r="BA173" i="3"/>
  <c r="AZ173" i="3"/>
  <c r="BL174" i="3"/>
  <c r="AZ174" i="3" s="1"/>
  <c r="G175" i="3"/>
  <c r="BA178" i="3"/>
  <c r="BL179" i="3"/>
  <c r="G180" i="3"/>
  <c r="AZ23" i="3"/>
  <c r="AZ31" i="3"/>
  <c r="AZ35" i="3"/>
  <c r="BL181" i="3"/>
  <c r="G182" i="3"/>
  <c r="BA184" i="3"/>
  <c r="AZ184" i="3" s="1"/>
  <c r="BL185" i="3"/>
  <c r="G186" i="3"/>
  <c r="BA188" i="3"/>
  <c r="AZ188" i="3" s="1"/>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AZ203" i="3"/>
  <c r="G523" i="3"/>
  <c r="BL297" i="3"/>
  <c r="G298" i="3"/>
  <c r="BA300" i="3"/>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53" i="3"/>
  <c r="G368" i="3"/>
  <c r="BA370" i="3"/>
  <c r="AZ370" i="3" s="1"/>
  <c r="BL371" i="3"/>
  <c r="G372" i="3"/>
  <c r="BA374" i="3"/>
  <c r="AZ374" i="3" s="1"/>
  <c r="BL375" i="3"/>
  <c r="G376" i="3"/>
  <c r="BA378" i="3"/>
  <c r="AZ378" i="3" s="1"/>
  <c r="BL379" i="3"/>
  <c r="G380" i="3"/>
  <c r="BA382" i="3"/>
  <c r="BL383" i="3"/>
  <c r="G384" i="3"/>
  <c r="AZ261" i="3"/>
  <c r="AZ383" i="3"/>
  <c r="AZ303" i="3"/>
  <c r="AZ438"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c r="BA564" i="3"/>
  <c r="BA553" i="3"/>
  <c r="BL549" i="3"/>
  <c r="BL548" i="3"/>
  <c r="BL547" i="3"/>
  <c r="BL539" i="3"/>
  <c r="BA537" i="3"/>
  <c r="AZ537" i="3" s="1"/>
  <c r="BA535" i="3"/>
  <c r="BA533" i="3"/>
  <c r="AZ533" i="3" s="1"/>
  <c r="BL531" i="3"/>
  <c r="BL530" i="3"/>
  <c r="BL529" i="3"/>
  <c r="BL528" i="3"/>
  <c r="BA526" i="3"/>
  <c r="BA525" i="3"/>
  <c r="BL523" i="3"/>
  <c r="AZ523" i="3" s="1"/>
  <c r="BA523" i="3"/>
  <c r="BL522" i="3"/>
  <c r="BA522" i="3"/>
  <c r="BL521" i="3"/>
  <c r="AZ521" i="3" s="1"/>
  <c r="BA519" i="3"/>
  <c r="AZ519" i="3"/>
  <c r="BL518" i="3"/>
  <c r="BA518" i="3"/>
  <c r="AZ518" i="3" s="1"/>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s="1"/>
  <c r="BL499" i="3"/>
  <c r="BL498" i="3"/>
  <c r="BA497" i="3"/>
  <c r="BA496" i="3"/>
  <c r="BL494" i="3"/>
  <c r="BA494" i="3"/>
  <c r="AZ494" i="3"/>
  <c r="G494" i="3"/>
  <c r="BA491" i="3"/>
  <c r="AZ491" i="3" s="1"/>
  <c r="BL490" i="3"/>
  <c r="BA490" i="3"/>
  <c r="BL489" i="3"/>
  <c r="BA489" i="3"/>
  <c r="BL487" i="3"/>
  <c r="AZ487" i="3" s="1"/>
  <c r="BL486" i="3"/>
  <c r="BA486" i="3"/>
  <c r="AZ486" i="3" s="1"/>
  <c r="BA482" i="3"/>
  <c r="AZ482" i="3" s="1"/>
  <c r="BL481" i="3"/>
  <c r="BA481" i="3"/>
  <c r="AZ481" i="3" s="1"/>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c r="J40" i="40"/>
  <c r="AC40" i="40" s="1"/>
  <c r="J34" i="40"/>
  <c r="AC34" i="40" s="1"/>
  <c r="H16" i="40"/>
  <c r="U16" i="40" s="1"/>
  <c r="AB16" i="40"/>
  <c r="H14" i="40"/>
  <c r="U14" i="40" s="1"/>
  <c r="F32" i="40"/>
  <c r="AA32" i="40" s="1"/>
  <c r="AZ428" i="3"/>
  <c r="AZ444" i="3"/>
  <c r="AZ449" i="3"/>
  <c r="M1" i="46"/>
  <c r="M6" i="46"/>
  <c r="C6" i="46" s="1"/>
  <c r="M10" i="46"/>
  <c r="N2" i="46"/>
  <c r="N5" i="46"/>
  <c r="F58" i="46"/>
  <c r="H61" i="46" s="1"/>
  <c r="N7" i="46"/>
  <c r="AZ458" i="3"/>
  <c r="AZ215" i="3"/>
  <c r="AZ236" i="3"/>
  <c r="AZ124" i="3"/>
  <c r="M7" i="46"/>
  <c r="M11" i="46"/>
  <c r="N3" i="46"/>
  <c r="N6" i="46"/>
  <c r="N10" i="46"/>
  <c r="AZ40" i="3"/>
  <c r="AZ112" i="3"/>
  <c r="J13" i="40"/>
  <c r="W13" i="40" s="1"/>
  <c r="AB14" i="40"/>
  <c r="W40" i="40"/>
  <c r="AC14" i="40"/>
  <c r="W35" i="40"/>
  <c r="AC47" i="39"/>
  <c r="J23" i="40"/>
  <c r="W23" i="40" s="1"/>
  <c r="F23" i="40"/>
  <c r="S23" i="40" s="1"/>
  <c r="W27" i="39"/>
  <c r="S23" i="39"/>
  <c r="H20" i="35"/>
  <c r="U20" i="35" s="1"/>
  <c r="F20" i="35"/>
  <c r="AA20" i="35" s="1"/>
  <c r="S20" i="35"/>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c r="AB21" i="39"/>
  <c r="U21" i="39"/>
  <c r="AB33" i="36"/>
  <c r="AA14" i="35"/>
  <c r="F33" i="37"/>
  <c r="AA33" i="37" s="1"/>
  <c r="U19" i="39"/>
  <c r="AA14" i="34"/>
  <c r="AC13" i="33"/>
  <c r="AA11" i="34"/>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0" i="33"/>
  <c r="U10" i="33" s="1"/>
  <c r="I66" i="33"/>
  <c r="J10" i="33"/>
  <c r="AC10" i="33" s="1"/>
  <c r="U11" i="37"/>
  <c r="AC16" i="35"/>
  <c r="J11" i="34"/>
  <c r="W11" i="34" s="1"/>
  <c r="F25" i="40"/>
  <c r="AA25" i="40" s="1"/>
  <c r="H33" i="37"/>
  <c r="AB33" i="37"/>
  <c r="AP11" i="1"/>
  <c r="B11" i="1"/>
  <c r="E11" i="1" s="1"/>
  <c r="K11" i="1"/>
  <c r="M11" i="1" s="1"/>
  <c r="O11" i="1" s="1"/>
  <c r="P11" i="1" s="1"/>
  <c r="B9" i="1"/>
  <c r="E9" i="1" s="1"/>
  <c r="K9" i="1"/>
  <c r="M9" i="1" s="1"/>
  <c r="B7" i="1"/>
  <c r="E7" i="1" s="1"/>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H17" i="33"/>
  <c r="AB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S27" i="39"/>
  <c r="AC19" i="39"/>
  <c r="W29" i="39"/>
  <c r="AC21" i="39"/>
  <c r="AC17" i="39"/>
  <c r="S14" i="39"/>
  <c r="U11" i="39"/>
  <c r="U23" i="39"/>
  <c r="U31" i="39"/>
  <c r="AB31" i="39"/>
  <c r="S38" i="39"/>
  <c r="M20" i="15"/>
  <c r="A18" i="64"/>
  <c r="B74" i="63"/>
  <c r="C53" i="10"/>
  <c r="A25" i="64" s="1"/>
  <c r="A18" i="51"/>
  <c r="B14" i="63" s="1"/>
  <c r="BA16" i="3"/>
  <c r="BA17" i="3"/>
  <c r="AZ17" i="3" s="1"/>
  <c r="F3" i="35"/>
  <c r="K1" i="43"/>
  <c r="K1" i="12"/>
  <c r="G1" i="44"/>
  <c r="AZ15" i="3"/>
  <c r="BO5" i="3"/>
  <c r="BN5" i="3"/>
  <c r="BD5" i="3"/>
  <c r="BS5" i="3"/>
  <c r="BL16" i="3"/>
  <c r="AZ16" i="3" s="1"/>
  <c r="BA13" i="3"/>
  <c r="G26" i="12"/>
  <c r="D24" i="44"/>
  <c r="G23" i="43"/>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C7" i="46" s="1"/>
  <c r="E9" i="46"/>
  <c r="E11" i="46"/>
  <c r="E8" i="46"/>
  <c r="H55" i="46"/>
  <c r="H54" i="46"/>
  <c r="H52" i="46"/>
  <c r="H47" i="46"/>
  <c r="AD12" i="46"/>
  <c r="AH12" i="46"/>
  <c r="B17" i="59"/>
  <c r="B16" i="59" s="1"/>
  <c r="B15" i="59" s="1"/>
  <c r="B14" i="59" s="1"/>
  <c r="B13" i="59" s="1"/>
  <c r="D17" i="59"/>
  <c r="M10" i="44"/>
  <c r="E8" i="67"/>
  <c r="I4" i="65"/>
  <c r="F8" i="67"/>
  <c r="F13" i="67"/>
  <c r="F11" i="44"/>
  <c r="F9" i="67"/>
  <c r="N5" i="65"/>
  <c r="F13" i="15"/>
  <c r="N3" i="65"/>
  <c r="F15" i="44"/>
  <c r="F28" i="44"/>
  <c r="I6" i="65"/>
  <c r="M31" i="44"/>
  <c r="E12" i="67"/>
  <c r="M29" i="44"/>
  <c r="F11" i="67"/>
  <c r="M28" i="44"/>
  <c r="F10" i="67"/>
  <c r="E10" i="67"/>
  <c r="F39" i="44"/>
  <c r="M26" i="44"/>
  <c r="B11" i="67"/>
  <c r="F10" i="44"/>
  <c r="N7" i="65"/>
  <c r="F9" i="44"/>
  <c r="J5" i="65"/>
  <c r="L48" i="44"/>
  <c r="B10" i="67"/>
  <c r="L49" i="44"/>
  <c r="F18" i="44"/>
  <c r="F45" i="44"/>
  <c r="B14" i="67"/>
  <c r="I5" i="65"/>
  <c r="N4" i="65"/>
  <c r="J3" i="65"/>
  <c r="M30" i="44"/>
  <c r="M11" i="44"/>
  <c r="B9" i="67"/>
  <c r="F40" i="15"/>
  <c r="M25" i="44"/>
  <c r="E11" i="67"/>
  <c r="F12" i="67"/>
  <c r="B13" i="67"/>
  <c r="J6" i="65"/>
  <c r="F38" i="44"/>
  <c r="M8" i="44"/>
  <c r="B8" i="67"/>
  <c r="J17" i="44"/>
  <c r="E14" i="67"/>
  <c r="B12" i="67"/>
  <c r="N6" i="65"/>
  <c r="F14" i="67"/>
  <c r="E9" i="67"/>
  <c r="F43" i="44"/>
  <c r="E13" i="67"/>
  <c r="G28" i="12" l="1"/>
  <c r="D26" i="44"/>
  <c r="J17" i="33"/>
  <c r="W17" i="33" s="1"/>
  <c r="F17" i="33"/>
  <c r="AA17" i="33" s="1"/>
  <c r="AB43" i="34"/>
  <c r="F17" i="34"/>
  <c r="AA17" i="34" s="1"/>
  <c r="C51" i="10"/>
  <c r="G10" i="1"/>
  <c r="AZ332" i="3"/>
  <c r="AZ20" i="3"/>
  <c r="B20" i="31"/>
  <c r="R22" i="31"/>
  <c r="B21" i="31" s="1"/>
  <c r="AZ559" i="3"/>
  <c r="AZ556" i="3"/>
  <c r="AZ527" i="3"/>
  <c r="AZ483" i="3"/>
  <c r="AZ525" i="3"/>
  <c r="U14" i="33"/>
  <c r="AB14" i="33"/>
  <c r="AA15" i="40"/>
  <c r="S15" i="40"/>
  <c r="AA29" i="40"/>
  <c r="S29" i="40"/>
  <c r="AA35" i="40"/>
  <c r="S35" i="40"/>
  <c r="AZ540" i="3"/>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BL553" i="3"/>
  <c r="BA551" i="3"/>
  <c r="AZ551" i="3" s="1"/>
  <c r="BA546" i="3"/>
  <c r="BL542" i="3"/>
  <c r="BA542" i="3"/>
  <c r="BL541" i="3"/>
  <c r="AZ541" i="3" s="1"/>
  <c r="BL535" i="3"/>
  <c r="BA531" i="3"/>
  <c r="AZ531" i="3" s="1"/>
  <c r="BA524" i="3"/>
  <c r="BA484" i="3"/>
  <c r="AZ484" i="3" s="1"/>
  <c r="AZ498" i="3"/>
  <c r="AZ499" i="3"/>
  <c r="AZ535" i="3"/>
  <c r="AZ553" i="3"/>
  <c r="AZ301" i="3"/>
  <c r="AZ336" i="3"/>
  <c r="AZ376" i="3"/>
  <c r="AA10" i="35"/>
  <c r="S10" i="35"/>
  <c r="AZ560" i="3"/>
  <c r="AZ555"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BA532" i="3"/>
  <c r="AZ532" i="3" s="1"/>
  <c r="BL525" i="3"/>
  <c r="BL485" i="3"/>
  <c r="AZ485" i="3" s="1"/>
  <c r="BL483" i="3"/>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37" i="3"/>
  <c r="AZ377" i="3"/>
  <c r="AZ360"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358" i="3"/>
  <c r="AZ355" i="3"/>
  <c r="AZ354" i="3"/>
  <c r="AZ338" i="3"/>
  <c r="AZ322" i="3"/>
  <c r="AZ363" i="3"/>
  <c r="AZ14" i="3"/>
  <c r="BL20" i="3"/>
  <c r="BL526" i="3"/>
  <c r="AZ526" i="3" s="1"/>
  <c r="BL546" i="3"/>
  <c r="BL552" i="3"/>
  <c r="AZ552" i="3" s="1"/>
  <c r="BL556" i="3"/>
  <c r="AZ502" i="3"/>
  <c r="AZ501" i="3"/>
  <c r="G572" i="3"/>
  <c r="BL572" i="3"/>
  <c r="BA572" i="3"/>
  <c r="AZ572" i="3" s="1"/>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AZ384" i="3" s="1"/>
  <c r="BA385" i="3"/>
  <c r="BL213" i="3"/>
  <c r="AZ213" i="3" s="1"/>
  <c r="BL389" i="3"/>
  <c r="AZ392" i="3"/>
  <c r="BA398" i="3"/>
  <c r="BL398" i="3"/>
  <c r="BA402" i="3"/>
  <c r="AZ402" i="3" s="1"/>
  <c r="AZ404" i="3"/>
  <c r="BL404" i="3"/>
  <c r="BA408" i="3"/>
  <c r="AZ408" i="3" s="1"/>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BA311" i="3"/>
  <c r="AZ311" i="3" s="1"/>
  <c r="BA313" i="3"/>
  <c r="AZ313" i="3" s="1"/>
  <c r="BL314" i="3"/>
  <c r="AZ314" i="3" s="1"/>
  <c r="BA319" i="3"/>
  <c r="BL319" i="3"/>
  <c r="G320" i="3"/>
  <c r="BA321" i="3"/>
  <c r="AZ321" i="3" s="1"/>
  <c r="BL326" i="3"/>
  <c r="AZ326" i="3" s="1"/>
  <c r="G329" i="3"/>
  <c r="G331" i="3"/>
  <c r="G333" i="3"/>
  <c r="BA337" i="3"/>
  <c r="BL350" i="3"/>
  <c r="BA351" i="3"/>
  <c r="G352" i="3"/>
  <c r="BL360" i="3"/>
  <c r="G363" i="3"/>
  <c r="G367" i="3"/>
  <c r="BA367" i="3"/>
  <c r="AZ367" i="3" s="1"/>
  <c r="BL369" i="3"/>
  <c r="BA371" i="3"/>
  <c r="AZ371" i="3" s="1"/>
  <c r="G375" i="3"/>
  <c r="BA375" i="3"/>
  <c r="AZ375" i="3" s="1"/>
  <c r="BL376" i="3"/>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AZ37" i="3" s="1"/>
  <c r="BA44" i="3"/>
  <c r="AZ44" i="3" s="1"/>
  <c r="BL51" i="3"/>
  <c r="BA53" i="3"/>
  <c r="BL59" i="3"/>
  <c r="AZ59" i="3" s="1"/>
  <c r="BL60" i="3"/>
  <c r="BA61" i="3"/>
  <c r="AZ61" i="3" s="1"/>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AZ148" i="3" s="1"/>
  <c r="BL148" i="3"/>
  <c r="G149" i="3"/>
  <c r="G151" i="3"/>
  <c r="G154" i="3"/>
  <c r="G157" i="3"/>
  <c r="BL157" i="3"/>
  <c r="AZ157" i="3" s="1"/>
  <c r="G158" i="3"/>
  <c r="BA158" i="3"/>
  <c r="AZ158" i="3" s="1"/>
  <c r="G161" i="3"/>
  <c r="G166" i="3"/>
  <c r="BA171" i="3"/>
  <c r="BA172" i="3"/>
  <c r="G173" i="3"/>
  <c r="BA175" i="3"/>
  <c r="AZ175" i="3" s="1"/>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AZ24" i="3" s="1"/>
  <c r="BA27" i="3"/>
  <c r="BL27" i="3"/>
  <c r="G28" i="3"/>
  <c r="G30" i="3"/>
  <c r="BA30" i="3"/>
  <c r="AZ30" i="3" s="1"/>
  <c r="G31" i="3"/>
  <c r="G32" i="3"/>
  <c r="BL32" i="3"/>
  <c r="G37" i="3"/>
  <c r="BL41" i="3"/>
  <c r="AZ41" i="3" s="1"/>
  <c r="BL44" i="3"/>
  <c r="BL45" i="3"/>
  <c r="AZ45" i="3" s="1"/>
  <c r="BA48" i="3"/>
  <c r="BL48" i="3"/>
  <c r="G51" i="3"/>
  <c r="G52" i="3"/>
  <c r="BA52" i="3"/>
  <c r="BL54" i="3"/>
  <c r="BA55" i="3"/>
  <c r="AZ58" i="3"/>
  <c r="BA64" i="3"/>
  <c r="AZ80" i="3"/>
  <c r="BL98" i="3"/>
  <c r="O61" i="59"/>
  <c r="B39" i="59"/>
  <c r="B40" i="59" s="1"/>
  <c r="S40" i="59" s="1"/>
  <c r="E47" i="59"/>
  <c r="E48" i="59" s="1"/>
  <c r="U48" i="59" s="1"/>
  <c r="B55" i="59"/>
  <c r="F75" i="59"/>
  <c r="F74" i="59" s="1"/>
  <c r="G54" i="3"/>
  <c r="BA54" i="3"/>
  <c r="G56" i="3"/>
  <c r="G57" i="3"/>
  <c r="BL66" i="3"/>
  <c r="AZ66" i="3" s="1"/>
  <c r="BL67" i="3"/>
  <c r="AZ67" i="3" s="1"/>
  <c r="G68" i="3"/>
  <c r="G69" i="3"/>
  <c r="BL72" i="3"/>
  <c r="BA76" i="3"/>
  <c r="AZ76" i="3" s="1"/>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AZ283" i="3" s="1"/>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AZ129" i="3"/>
  <c r="BA156" i="3"/>
  <c r="BL180"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AZ88" i="3" s="1"/>
  <c r="BA89" i="3"/>
  <c r="AZ89" i="3" s="1"/>
  <c r="BL91" i="3"/>
  <c r="AZ91" i="3" s="1"/>
  <c r="E36" i="59"/>
  <c r="C48" i="59"/>
  <c r="D47" i="59"/>
  <c r="F52" i="59"/>
  <c r="V52" i="59" s="1"/>
  <c r="X22" i="59"/>
  <c r="BL198" i="3"/>
  <c r="AZ198" i="3" s="1"/>
  <c r="BL53" i="3"/>
  <c r="AZ53" i="3" s="1"/>
  <c r="BL61" i="3"/>
  <c r="BA72" i="3"/>
  <c r="AZ72" i="3" s="1"/>
  <c r="BA94" i="3"/>
  <c r="AZ94" i="3" s="1"/>
  <c r="BL96" i="3"/>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AZ97" i="3" s="1"/>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6" i="3" s="1"/>
  <c r="AZ108" i="3"/>
  <c r="AA21" i="37"/>
  <c r="S21" i="37"/>
  <c r="D71" i="59"/>
  <c r="C70" i="59"/>
  <c r="D70" i="59" s="1"/>
  <c r="BA47" i="3"/>
  <c r="BA56" i="3"/>
  <c r="AZ9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C10" i="68" s="1"/>
  <c r="F21" i="6"/>
  <c r="E21" i="6" s="1"/>
  <c r="C10" i="12"/>
  <c r="C6" i="12" s="1"/>
  <c r="C24" i="12" s="1"/>
  <c r="E20" i="6"/>
  <c r="W10" i="21"/>
  <c r="U9" i="21"/>
  <c r="AB10" i="21"/>
  <c r="W8" i="21"/>
  <c r="AP8" i="1"/>
  <c r="G8" i="1"/>
  <c r="G7" i="1"/>
  <c r="AP7" i="1"/>
  <c r="C42" i="1"/>
  <c r="C15" i="43" s="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F46" i="44"/>
  <c r="M27" i="15"/>
  <c r="F42" i="15"/>
  <c r="J4" i="65"/>
  <c r="M24" i="15"/>
  <c r="M26" i="15"/>
  <c r="F9" i="15"/>
  <c r="C18" i="44"/>
  <c r="M6" i="15"/>
  <c r="I7" i="65"/>
  <c r="I3" i="65"/>
  <c r="D21" i="69"/>
  <c r="D21" i="12"/>
  <c r="F8" i="15"/>
  <c r="F38" i="15"/>
  <c r="F40" i="44"/>
  <c r="L47" i="15"/>
  <c r="J36" i="15"/>
  <c r="F16" i="15"/>
  <c r="E3" i="65"/>
  <c r="M24" i="44"/>
  <c r="J7" i="65"/>
  <c r="M22" i="15"/>
  <c r="D21" i="70"/>
  <c r="M23" i="15"/>
  <c r="F26" i="15"/>
  <c r="F33" i="12"/>
  <c r="M28" i="15"/>
  <c r="J15" i="15"/>
  <c r="L48" i="15"/>
  <c r="F37" i="15"/>
  <c r="M9" i="15"/>
  <c r="M8" i="15"/>
  <c r="F36" i="15"/>
  <c r="F8" i="44"/>
  <c r="I1" i="65" l="1"/>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U12" i="59"/>
  <c r="AZ13" i="3"/>
  <c r="AZ56" i="3"/>
  <c r="AZ136" i="3"/>
  <c r="AZ318" i="3"/>
  <c r="AZ451" i="3"/>
  <c r="AC47" i="34"/>
  <c r="W47" i="34"/>
  <c r="AZ47" i="3"/>
  <c r="V20" i="59"/>
  <c r="F19" i="59"/>
  <c r="F18" i="59" s="1"/>
  <c r="F17" i="59" s="1"/>
  <c r="F16" i="59" s="1"/>
  <c r="AZ156" i="3"/>
  <c r="AZ90" i="3"/>
  <c r="AZ246" i="3"/>
  <c r="G101" i="33"/>
  <c r="F32" i="33" s="1"/>
  <c r="J32" i="33"/>
  <c r="C16" i="71"/>
  <c r="B32" i="1"/>
  <c r="B11" i="59"/>
  <c r="B10" i="59" s="1"/>
  <c r="B9" i="59" s="1"/>
  <c r="B8"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K7" i="1"/>
  <c r="C4" i="73"/>
  <c r="H13"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26" i="77"/>
  <c r="F37" i="77"/>
  <c r="M8" i="77"/>
  <c r="M9" i="77"/>
  <c r="J36" i="77"/>
  <c r="F33" i="70"/>
  <c r="M6" i="77"/>
  <c r="E2" i="65"/>
  <c r="AE7" i="1"/>
  <c r="F13" i="77"/>
  <c r="F43" i="15"/>
  <c r="M29" i="15"/>
  <c r="F16" i="77"/>
  <c r="F38" i="77"/>
  <c r="J15" i="77"/>
  <c r="F43" i="77"/>
  <c r="F7" i="77"/>
  <c r="F36" i="77"/>
  <c r="M28" i="77"/>
  <c r="F9" i="77"/>
  <c r="M29" i="77"/>
  <c r="L48" i="77"/>
  <c r="F42" i="77"/>
  <c r="M22" i="77"/>
  <c r="L47" i="77"/>
  <c r="M24" i="77"/>
  <c r="M26" i="77"/>
  <c r="M23" i="77"/>
  <c r="F7" i="15"/>
  <c r="M27" i="77"/>
  <c r="F8" i="77"/>
  <c r="F33" i="69"/>
  <c r="F40" i="77"/>
  <c r="AA32" i="33" l="1"/>
  <c r="S32" i="33"/>
  <c r="B40" i="1"/>
  <c r="F24" i="77" s="1"/>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M19" i="72" s="1"/>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4" i="15"/>
  <c r="C24" i="15" s="1"/>
  <c r="C15" i="12"/>
  <c r="C16" i="77"/>
  <c r="C16" i="15"/>
  <c r="C15" i="69"/>
  <c r="F41" i="15"/>
  <c r="C15" i="70"/>
  <c r="F26" i="44" l="1"/>
  <c r="C26" i="44" s="1"/>
  <c r="F26" i="12"/>
  <c r="C27" i="12" s="1"/>
  <c r="D26" i="12" s="1"/>
  <c r="C32" i="12" s="1"/>
  <c r="D30" i="12" s="1"/>
  <c r="F21" i="43"/>
  <c r="C23" i="43" s="1"/>
  <c r="D21" i="43" s="1"/>
  <c r="F26" i="70"/>
  <c r="C27" i="70" s="1"/>
  <c r="D26" i="70" s="1"/>
  <c r="C32" i="70" s="1"/>
  <c r="D30" i="70" s="1"/>
  <c r="H7" i="21"/>
  <c r="C38" i="71"/>
  <c r="E38" i="71" s="1"/>
  <c r="E3" i="6"/>
  <c r="AY6" i="3"/>
  <c r="F11" i="59"/>
  <c r="F10" i="59" s="1"/>
  <c r="F9" i="59" s="1"/>
  <c r="F8"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Q58" i="44"/>
  <c r="Q67" i="44"/>
  <c r="Q49" i="44"/>
  <c r="Q55" i="44" s="1"/>
  <c r="AE8" i="1"/>
  <c r="F7" i="67"/>
  <c r="AC7" i="21" l="1"/>
  <c r="V48" i="21" s="1"/>
  <c r="I48" i="21" s="1"/>
  <c r="I52" i="21" s="1"/>
  <c r="J52" i="21"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S7" i="33"/>
  <c r="AB7" i="33"/>
  <c r="U7" i="33"/>
  <c r="G52" i="21"/>
  <c r="H52" i="21" s="1"/>
  <c r="J7" i="34"/>
  <c r="E4" i="67"/>
  <c r="D77" i="9"/>
  <c r="N75" i="9" s="1"/>
  <c r="C17" i="77"/>
  <c r="F41" i="77"/>
  <c r="D16" i="69"/>
  <c r="D22" i="70"/>
  <c r="D16" i="12"/>
  <c r="B7" i="67"/>
  <c r="D22" i="69"/>
  <c r="C19" i="44"/>
  <c r="D22" i="12"/>
  <c r="C17" i="15"/>
  <c r="E7" i="67"/>
  <c r="D16" i="70"/>
  <c r="C11" i="33" l="1"/>
  <c r="C11" i="79"/>
  <c r="C11" i="81"/>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S16" i="1"/>
  <c r="T6" i="1" s="1"/>
  <c r="I19" i="6"/>
  <c r="M27" i="6"/>
  <c r="I70" i="39"/>
  <c r="H72" i="39"/>
  <c r="H67" i="40"/>
  <c r="I65" i="40"/>
  <c r="R49" i="21"/>
  <c r="E48" i="21"/>
  <c r="W7" i="34"/>
  <c r="AC7" i="34"/>
  <c r="V49" i="34" s="1"/>
  <c r="I49" i="34" s="1"/>
  <c r="E3" i="67"/>
  <c r="B2" i="67"/>
  <c r="C13" i="12"/>
  <c r="M23" i="44"/>
  <c r="M21" i="15"/>
  <c r="F37" i="44"/>
  <c r="J11" i="79" l="1"/>
  <c r="F11" i="79"/>
  <c r="H11" i="79"/>
  <c r="R21" i="6"/>
  <c r="R8" i="1" s="1"/>
  <c r="J11" i="81"/>
  <c r="F11" i="81"/>
  <c r="H11" i="81"/>
  <c r="H11" i="33"/>
  <c r="J11" i="33"/>
  <c r="F11" i="33"/>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4" i="34"/>
  <c r="F54" i="34" s="1"/>
  <c r="E53" i="34"/>
  <c r="F53" i="34" s="1"/>
  <c r="B3" i="67"/>
  <c r="B4" i="67"/>
  <c r="C13" i="70"/>
  <c r="C14" i="77"/>
  <c r="C14" i="15"/>
  <c r="C13" i="69"/>
  <c r="M21" i="77"/>
  <c r="C16" i="44"/>
  <c r="J20" i="77" l="1"/>
  <c r="W11" i="33"/>
  <c r="AC11" i="33"/>
  <c r="V48" i="33" s="1"/>
  <c r="I48" i="33" s="1"/>
  <c r="U11" i="81"/>
  <c r="AB11" i="81"/>
  <c r="T49" i="81" s="1"/>
  <c r="G49" i="81" s="1"/>
  <c r="W11" i="81"/>
  <c r="AC11" i="81"/>
  <c r="V49" i="81" s="1"/>
  <c r="I49" i="81" s="1"/>
  <c r="AB11" i="79"/>
  <c r="T48" i="79" s="1"/>
  <c r="G48" i="79" s="1"/>
  <c r="U11" i="79"/>
  <c r="AC11" i="79"/>
  <c r="V48" i="79" s="1"/>
  <c r="I48" i="79" s="1"/>
  <c r="W11" i="79"/>
  <c r="S11" i="33"/>
  <c r="AA11" i="33"/>
  <c r="R48" i="33" s="1"/>
  <c r="U11" i="33"/>
  <c r="AB11" i="33"/>
  <c r="T48" i="33" s="1"/>
  <c r="G48" i="33" s="1"/>
  <c r="AA11" i="81"/>
  <c r="R49" i="81" s="1"/>
  <c r="S11" i="81"/>
  <c r="AA11" i="79"/>
  <c r="R48" i="79" s="1"/>
  <c r="S11" i="79"/>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C18" i="77"/>
  <c r="C15" i="77"/>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B3" i="34" l="1"/>
  <c r="B2" i="34" s="1"/>
  <c r="U8" i="1"/>
  <c r="G52" i="33"/>
  <c r="H52" i="33" s="1"/>
  <c r="G53" i="33"/>
  <c r="H53" i="33" s="1"/>
  <c r="R49" i="33"/>
  <c r="E48" i="33"/>
  <c r="I53" i="81"/>
  <c r="J53" i="81" s="1"/>
  <c r="G53" i="81"/>
  <c r="H53" i="81" s="1"/>
  <c r="G54" i="81"/>
  <c r="H54" i="81" s="1"/>
  <c r="I52" i="33"/>
  <c r="J52" i="33" s="1"/>
  <c r="I53" i="33"/>
  <c r="J53" i="33" s="1"/>
  <c r="E48" i="79"/>
  <c r="R49" i="79"/>
  <c r="E49" i="81"/>
  <c r="R50" i="81"/>
  <c r="I53" i="79"/>
  <c r="J53" i="79" s="1"/>
  <c r="I52" i="79"/>
  <c r="J52" i="79" s="1"/>
  <c r="G52" i="79"/>
  <c r="H52" i="79" s="1"/>
  <c r="G53" i="79"/>
  <c r="H53" i="79"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F6" i="77"/>
  <c r="F31" i="77" l="1"/>
  <c r="C6" i="77"/>
  <c r="E54" i="81"/>
  <c r="F54" i="81" s="1"/>
  <c r="E53" i="81"/>
  <c r="F53" i="81" s="1"/>
  <c r="E53" i="79"/>
  <c r="F53" i="79" s="1"/>
  <c r="E52" i="79"/>
  <c r="F52" i="79" s="1"/>
  <c r="C49" i="33"/>
  <c r="B3" i="33" s="1"/>
  <c r="B2" i="33" s="1"/>
  <c r="C48" i="33"/>
  <c r="U7" i="1" s="1"/>
  <c r="C49" i="81"/>
  <c r="C50" i="81"/>
  <c r="B3" i="81" s="1"/>
  <c r="B2" i="81" s="1"/>
  <c r="C48" i="79"/>
  <c r="C49" i="79"/>
  <c r="B3" i="79" s="1"/>
  <c r="B2" i="79" s="1"/>
  <c r="I54" i="81"/>
  <c r="J54" i="81" s="1"/>
  <c r="E53" i="33"/>
  <c r="F53" i="33" s="1"/>
  <c r="E52" i="33"/>
  <c r="F52" i="33" s="1"/>
  <c r="D113" i="71"/>
  <c r="J22" i="71" s="1"/>
  <c r="C21" i="71" s="1"/>
  <c r="H3" i="68" s="1"/>
  <c r="J3" i="68" s="1"/>
  <c r="K3" i="68" s="1"/>
  <c r="D113" i="72"/>
  <c r="J22" i="72" s="1"/>
  <c r="C21" i="72" s="1"/>
  <c r="M20" i="46"/>
  <c r="M20" i="72"/>
  <c r="M20" i="7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F6" i="15"/>
  <c r="B3" i="12"/>
  <c r="B4" i="12"/>
  <c r="C10" i="77" l="1"/>
  <c r="C32" i="77"/>
  <c r="C5" i="77"/>
  <c r="C38" i="77" s="1"/>
  <c r="C6" i="15"/>
  <c r="F31" i="15"/>
  <c r="B12" i="68"/>
  <c r="C29" i="71"/>
  <c r="E29" i="71" s="1"/>
  <c r="C26" i="71" s="1"/>
  <c r="B2" i="71" s="1"/>
  <c r="B4" i="71" s="1"/>
  <c r="E29" i="46"/>
  <c r="C26" i="46" s="1"/>
  <c r="B2" i="46" s="1"/>
  <c r="C30" i="46"/>
  <c r="E30" i="46" s="1"/>
  <c r="C27" i="46" s="1"/>
  <c r="H4" i="68"/>
  <c r="J4" i="68" s="1"/>
  <c r="C29" i="72"/>
  <c r="J59" i="77"/>
  <c r="J60" i="77" s="1"/>
  <c r="J19" i="77"/>
  <c r="J17" i="77" s="1"/>
  <c r="C36" i="77"/>
  <c r="C33" i="77"/>
  <c r="C56" i="77"/>
  <c r="C13" i="77"/>
  <c r="J14" i="77"/>
  <c r="Q50" i="77"/>
  <c r="J16" i="44"/>
  <c r="J24" i="44" s="1"/>
  <c r="C15" i="44"/>
  <c r="Q72" i="44" s="1"/>
  <c r="C38" i="44"/>
  <c r="J21" i="44"/>
  <c r="J19" i="44" s="1"/>
  <c r="C35" i="44"/>
  <c r="C33" i="44" s="1"/>
  <c r="J19" i="15"/>
  <c r="J17" i="15" s="1"/>
  <c r="J59" i="15"/>
  <c r="J60" i="15" s="1"/>
  <c r="C36" i="15"/>
  <c r="C33" i="15"/>
  <c r="C56" i="15"/>
  <c r="C60" i="15" s="1"/>
  <c r="C58" i="15" s="1"/>
  <c r="J14" i="15"/>
  <c r="J13" i="15" s="1"/>
  <c r="J23" i="15" s="1"/>
  <c r="C13" i="15"/>
  <c r="Q71" i="15" s="1"/>
  <c r="M67" i="40"/>
  <c r="H9" i="40" s="1"/>
  <c r="N65" i="40"/>
  <c r="N67" i="40" s="1"/>
  <c r="F9" i="40" s="1"/>
  <c r="M72" i="39"/>
  <c r="N70" i="39"/>
  <c r="N72" i="39" s="1"/>
  <c r="J9" i="39" s="1"/>
  <c r="B5" i="12"/>
  <c r="C31" i="77" l="1"/>
  <c r="C10" i="15"/>
  <c r="C5" i="15" s="1"/>
  <c r="C38" i="15" s="1"/>
  <c r="C32" i="15"/>
  <c r="C31" i="15" s="1"/>
  <c r="B3" i="71"/>
  <c r="D4" i="71"/>
  <c r="C30" i="71"/>
  <c r="E30" i="71" s="1"/>
  <c r="C27" i="71" s="1"/>
  <c r="C30" i="72"/>
  <c r="E30" i="72" s="1"/>
  <c r="C27" i="72" s="1"/>
  <c r="E29" i="72"/>
  <c r="C26" i="72" s="1"/>
  <c r="B2" i="72" s="1"/>
  <c r="K4" i="68"/>
  <c r="B13" i="68"/>
  <c r="B3" i="46"/>
  <c r="D4" i="46"/>
  <c r="B4" i="46"/>
  <c r="Q71" i="77"/>
  <c r="C55" i="77"/>
  <c r="C64" i="77" s="1"/>
  <c r="C37" i="77"/>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63" i="15"/>
  <c r="C55" i="15"/>
  <c r="C64" i="15" s="1"/>
  <c r="W9" i="39"/>
  <c r="AC9" i="39"/>
  <c r="V49" i="39" s="1"/>
  <c r="I49" i="39" s="1"/>
  <c r="AA9" i="40"/>
  <c r="R44" i="40" s="1"/>
  <c r="S9" i="40"/>
  <c r="F9" i="39"/>
  <c r="H9" i="39"/>
  <c r="U9" i="40"/>
  <c r="AB9" i="40"/>
  <c r="T44" i="40" s="1"/>
  <c r="G44" i="40" s="1"/>
  <c r="G48" i="40" s="1"/>
  <c r="H48" i="40" s="1"/>
  <c r="J9" i="40"/>
  <c r="C19" i="9"/>
  <c r="C30" i="77" l="1"/>
  <c r="C39" i="77" s="1"/>
  <c r="C30" i="15"/>
  <c r="C39" i="15" s="1"/>
  <c r="C40" i="15" s="1"/>
  <c r="C10" i="70" s="1"/>
  <c r="C6" i="70" s="1"/>
  <c r="C24" i="70" s="1"/>
  <c r="L43" i="9"/>
  <c r="B3" i="72"/>
  <c r="D4" i="72"/>
  <c r="B4" i="72"/>
  <c r="C57" i="77"/>
  <c r="C66" i="77" s="1"/>
  <c r="C67" i="77" s="1"/>
  <c r="C70" i="77" s="1"/>
  <c r="J16" i="77"/>
  <c r="J25" i="77" s="1"/>
  <c r="Q70" i="77"/>
  <c r="Q69" i="77" s="1"/>
  <c r="C44" i="44"/>
  <c r="C45" i="44" s="1"/>
  <c r="B2" i="44" s="1"/>
  <c r="C57" i="15"/>
  <c r="C66" i="15" s="1"/>
  <c r="C67" i="15" s="1"/>
  <c r="C70" i="15" s="1"/>
  <c r="W9" i="40"/>
  <c r="AC9" i="40"/>
  <c r="V44" i="40" s="1"/>
  <c r="I44" i="40" s="1"/>
  <c r="AB9" i="39"/>
  <c r="T49" i="39" s="1"/>
  <c r="G49" i="39" s="1"/>
  <c r="U9" i="39"/>
  <c r="I53" i="39"/>
  <c r="J53" i="39" s="1"/>
  <c r="AA9" i="39"/>
  <c r="R49" i="39" s="1"/>
  <c r="S9" i="39"/>
  <c r="E44" i="40"/>
  <c r="R45" i="40"/>
  <c r="L51" i="77"/>
  <c r="C21" i="9"/>
  <c r="C20" i="9"/>
  <c r="Q68" i="77" l="1"/>
  <c r="C40" i="77"/>
  <c r="J39" i="77"/>
  <c r="J40" i="77" s="1"/>
  <c r="C43" i="15"/>
  <c r="C8" i="70" s="1"/>
  <c r="Q66" i="15"/>
  <c r="Q70" i="15"/>
  <c r="Q69" i="15" s="1"/>
  <c r="C29" i="70"/>
  <c r="Q48" i="15"/>
  <c r="Q54" i="15" s="1"/>
  <c r="J42" i="15"/>
  <c r="J43" i="15" s="1"/>
  <c r="Q57" i="15"/>
  <c r="J39" i="15"/>
  <c r="J40" i="15" s="1"/>
  <c r="B9" i="68"/>
  <c r="I9" i="68" s="1"/>
  <c r="C10" i="69"/>
  <c r="C6" i="69" s="1"/>
  <c r="C43" i="77"/>
  <c r="C8" i="69" s="1"/>
  <c r="Q48" i="77"/>
  <c r="Q54" i="77" s="1"/>
  <c r="Q57" i="77"/>
  <c r="Q63" i="77" s="1"/>
  <c r="Q66" i="77"/>
  <c r="Q76" i="77" s="1"/>
  <c r="J42" i="77"/>
  <c r="J43" i="77" s="1"/>
  <c r="B2" i="77"/>
  <c r="B3" i="77" s="1"/>
  <c r="C46" i="77"/>
  <c r="C35" i="70"/>
  <c r="C33" i="70" s="1"/>
  <c r="C28" i="70"/>
  <c r="C26" i="70" s="1"/>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L51" i="15"/>
  <c r="Q68" i="15" l="1"/>
  <c r="C31" i="70"/>
  <c r="C30" i="70" s="1"/>
  <c r="B10" i="68"/>
  <c r="I10" i="68" s="1"/>
  <c r="C29" i="69"/>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3" i="70"/>
  <c r="B5" i="70"/>
  <c r="C36" i="69" l="1"/>
  <c r="C37" i="69" s="1"/>
  <c r="J10" i="68" s="1"/>
  <c r="D12" i="68"/>
  <c r="J12" i="68" s="1"/>
  <c r="K9" i="68"/>
  <c r="B5" i="39"/>
  <c r="B4" i="39"/>
  <c r="B3" i="39"/>
  <c r="B4" i="70"/>
  <c r="B2" i="69" l="1"/>
  <c r="K10" i="68"/>
  <c r="D13" i="68"/>
  <c r="J13" i="68" s="1"/>
  <c r="B3" i="73"/>
  <c r="B8" i="73" s="1"/>
  <c r="K12" i="68"/>
  <c r="B3" i="69"/>
  <c r="D19" i="9"/>
  <c r="L44" i="9" l="1"/>
  <c r="D22" i="9"/>
  <c r="G19" i="9"/>
  <c r="K13" i="68"/>
  <c r="I13" i="68"/>
  <c r="I15" i="68" s="1"/>
  <c r="B4" i="73"/>
  <c r="B4" i="69"/>
  <c r="D20" i="9"/>
  <c r="B5" i="69"/>
  <c r="L13" i="68" l="1"/>
  <c r="I22" i="68" s="1"/>
  <c r="I16" i="68"/>
  <c r="I18" i="68" s="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<sst xmlns="http://schemas.openxmlformats.org/spreadsheetml/2006/main" count="8977" uniqueCount="3238">
  <si>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</si>
  <si>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</si>
  <si>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</si>
  <si>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</si>
  <si>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</si>
  <si>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</si>
  <si>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</si>
  <si>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</si>
  <si>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</si>
  <si>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</si>
  <si>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</si>
  <si>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</si>
  <si>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</si>
  <si>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</si>
  <si>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</si>
  <si>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</si>
  <si>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</si>
  <si>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</si>
  <si>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</si>
  <si>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</si>
  <si>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</si>
  <si>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</si>
  <si>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</si>
  <si>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</si>
  <si>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</si>
  <si>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</si>
  <si>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</si>
  <si>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</si>
  <si>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</si>
  <si>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</si>
  <si>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</si>
  <si>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</si>
  <si>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</si>
  <si>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</si>
  <si>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</si>
  <si>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</si>
  <si>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</si>
  <si>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</si>
  <si>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</si>
  <si>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</si>
  <si>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</si>
  <si>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</si>
  <si>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</si>
  <si>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</si>
  <si>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</si>
  <si>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</si>
  <si>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</si>
  <si>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</si>
  <si>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</si>
  <si>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</si>
  <si>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</si>
  <si>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</si>
  <si>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</si>
  <si>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</si>
  <si>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</si>
  <si>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</si>
  <si>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</si>
  <si>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</si>
  <si>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</si>
  <si>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</si>
  <si>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</si>
  <si>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</si>
  <si>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</si>
  <si>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</si>
  <si>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</si>
  <si>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</si>
  <si>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</si>
  <si>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</si>
  <si>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</si>
  <si>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</si>
  <si>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</si>
  <si>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</si>
  <si>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</si>
  <si>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</si>
  <si>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</si>
  <si>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</si>
  <si>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</si>
  <si>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</si>
  <si>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</si>
  <si>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</si>
  <si>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</si>
  <si>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</si>
  <si>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</si>
  <si>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</si>
  <si>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</si>
  <si>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</si>
  <si>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</si>
  <si>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</si>
  <si>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</si>
  <si>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</si>
  <si>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</si>
  <si>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</si>
  <si>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</si>
  <si>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</si>
  <si>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</si>
  <si>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</si>
  <si>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</si>
  <si>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</si>
  <si>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</si>
  <si>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</si>
  <si>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</si>
  <si>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</si>
  <si>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</si>
  <si>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</si>
  <si>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</si>
  <si>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</si>
  <si>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</si>
  <si>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</si>
  <si>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</si>
  <si>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</si>
  <si>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</si>
  <si>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</si>
  <si>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</si>
  <si>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</si>
  <si>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</si>
  <si>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</si>
  <si>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</si>
  <si>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</si>
  <si>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</si>
  <si>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</si>
  <si>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</si>
  <si>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</si>
  <si>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</si>
  <si>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</si>
  <si>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</si>
  <si>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</si>
  <si>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</si>
  <si>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</si>
  <si>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</si>
  <si>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</si>
  <si>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</si>
  <si>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</si>
  <si>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</si>
  <si>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</si>
  <si>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</si>
  <si>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</si>
  <si>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</si>
  <si>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</si>
  <si>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</si>
  <si>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</si>
  <si>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</si>
  <si>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</si>
  <si>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</si>
  <si>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</si>
  <si>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</si>
  <si>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</si>
  <si>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</si>
  <si>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</si>
  <si>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</si>
  <si>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</si>
  <si>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</si>
  <si>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</si>
  <si>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</si>
  <si>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</si>
  <si>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</si>
  <si>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</si>
  <si>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</si>
  <si>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</si>
  <si>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</si>
  <si>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</si>
  <si>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</si>
  <si>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</si>
  <si>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</si>
  <si>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</si>
  <si>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</si>
  <si>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</si>
  <si>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</si>
  <si>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</si>
  <si>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</si>
  <si>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</si>
  <si>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</si>
  <si>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</si>
  <si>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</si>
  <si>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</si>
  <si>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</si>
  <si>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</si>
  <si>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</si>
  <si>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</si>
  <si>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</si>
  <si>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</si>
  <si>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</si>
  <si>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</si>
  <si>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</si>
  <si>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</si>
  <si>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</si>
  <si>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</si>
  <si>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</si>
  <si>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</si>
  <si>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</si>
  <si>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</si>
  <si>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</si>
  <si>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</si>
  <si>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</si>
  <si>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</si>
  <si>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</si>
  <si>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</si>
  <si>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</si>
  <si>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</si>
  <si>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</si>
  <si>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</si>
  <si>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</si>
  <si>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</si>
  <si>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</si>
  <si>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</si>
  <si>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</si>
  <si>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</si>
  <si>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</si>
  <si>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</si>
  <si>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</si>
  <si>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</si>
  <si>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</si>
  <si>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</si>
  <si>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</si>
  <si>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</si>
  <si>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</si>
  <si>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</si>
  <si>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</si>
  <si>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</si>
  <si>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</si>
  <si>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</si>
  <si>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</si>
  <si>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</si>
  <si>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</si>
  <si>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</si>
  <si>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</si>
  <si>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</si>
  <si>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</si>
  <si>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</si>
  <si>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</si>
  <si>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</si>
  <si>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</si>
  <si>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</si>
  <si>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</si>
  <si>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</si>
  <si>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</si>
  <si>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</si>
  <si>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</si>
  <si>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</si>
  <si>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</si>
  <si>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</si>
  <si>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</si>
  <si>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</si>
  <si>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</si>
  <si>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</si>
  <si>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</si>
  <si>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</si>
  <si>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</si>
  <si>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</si>
  <si>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</si>
  <si>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</si>
  <si>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</si>
  <si>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</si>
  <si>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</si>
  <si>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</si>
  <si>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</si>
  <si>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</si>
  <si>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</si>
  <si>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</si>
  <si>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</si>
  <si>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</si>
  <si>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</si>
  <si>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</si>
  <si>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</si>
  <si>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</si>
  <si>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</si>
  <si>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</si>
  <si>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</si>
  <si>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</si>
  <si>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</si>
  <si>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</si>
  <si>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</si>
  <si>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</si>
  <si>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</si>
  <si>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</si>
  <si>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</si>
  <si>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</si>
  <si>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</si>
  <si>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</si>
  <si>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</si>
  <si>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</si>
  <si>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</si>
  <si>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</si>
  <si>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</si>
  <si>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</si>
  <si>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</si>
  <si>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</si>
  <si>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</si>
  <si>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</si>
  <si>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</si>
  <si>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</si>
  <si>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</si>
  <si>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</si>
  <si>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</si>
  <si>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</si>
  <si>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</si>
  <si>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</si>
  <si>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</si>
  <si>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</si>
  <si>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</si>
  <si>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</si>
  <si>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</si>
  <si>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</si>
  <si>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</si>
  <si>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</si>
  <si>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</si>
  <si>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</si>
  <si>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</si>
  <si>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</si>
  <si>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</si>
  <si>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</si>
  <si>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</si>
  <si>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</si>
  <si>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</si>
  <si>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</si>
  <si>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</si>
  <si>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</si>
  <si>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</si>
  <si>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</si>
  <si>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</si>
  <si>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</si>
  <si>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</si>
  <si>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</si>
  <si>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</si>
  <si>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</si>
  <si>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</si>
  <si>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</si>
  <si>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</si>
  <si>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</si>
  <si>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</si>
  <si>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</si>
  <si>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</si>
  <si>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</si>
  <si>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</si>
  <si>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</si>
  <si>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</si>
  <si>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</si>
  <si>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</si>
  <si>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</si>
  <si>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</si>
  <si>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</si>
  <si>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</si>
  <si>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</si>
  <si>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</si>
  <si>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</si>
  <si>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</si>
  <si>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</si>
  <si>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</si>
  <si>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</si>
  <si>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</si>
  <si>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</si>
  <si>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</si>
  <si>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</si>
  <si>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</si>
  <si>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</si>
  <si>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</si>
  <si>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</si>
  <si>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</si>
  <si>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</si>
  <si>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</si>
  <si>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</si>
  <si>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</si>
  <si>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</si>
  <si>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</si>
  <si>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</si>
  <si>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</si>
  <si>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</si>
  <si>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</si>
  <si>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</si>
  <si>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</si>
  <si>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</si>
  <si>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</si>
  <si>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</si>
  <si>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</si>
  <si>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</si>
  <si>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</si>
  <si>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</si>
  <si>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</si>
  <si>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</si>
  <si>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</si>
  <si>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</si>
  <si>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</si>
  <si>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</si>
  <si>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</si>
  <si>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</si>
  <si>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</si>
  <si>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</si>
  <si>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</si>
  <si>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</si>
  <si>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</si>
  <si>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</si>
  <si>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</si>
  <si>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</si>
  <si>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</si>
  <si>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</si>
  <si>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</si>
  <si>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</si>
  <si>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</si>
  <si>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</si>
  <si>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</si>
  <si>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</si>
  <si>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</si>
  <si>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</si>
  <si>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</si>
  <si>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</si>
  <si>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</si>
  <si>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</si>
  <si>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</si>
  <si>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</si>
  <si>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</si>
  <si>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</si>
  <si>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</si>
  <si>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</si>
  <si>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</si>
  <si>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</si>
  <si>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</si>
  <si>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</si>
  <si>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</si>
  <si>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</si>
  <si>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</si>
  <si>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</si>
  <si>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</si>
  <si>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</si>
  <si>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</si>
  <si>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</si>
  <si>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</si>
  <si>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</si>
  <si>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</si>
  <si>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</si>
  <si>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</si>
  <si>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</si>
  <si>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</si>
  <si>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</si>
  <si>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</si>
  <si>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</si>
  <si>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</si>
  <si>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</si>
  <si>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</si>
  <si>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</si>
  <si>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</si>
  <si>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</si>
  <si>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</si>
  <si>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</si>
  <si>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</si>
  <si>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</si>
  <si>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</si>
  <si>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</si>
  <si>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</si>
  <si>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</si>
  <si>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</si>
  <si>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</si>
  <si>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</si>
  <si>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</si>
  <si>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</si>
  <si>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</si>
  <si>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</si>
  <si>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</si>
  <si>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</si>
  <si>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</si>
  <si>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</si>
  <si>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</si>
  <si>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</si>
  <si>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</si>
  <si>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</si>
  <si>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</si>
  <si>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</si>
  <si>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</si>
  <si>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</si>
  <si>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</si>
  <si>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</si>
  <si>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</si>
  <si>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</si>
  <si>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</si>
  <si>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</si>
  <si>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</si>
  <si>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</si>
  <si>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</si>
  <si>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</si>
  <si>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</si>
  <si>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</si>
  <si>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</si>
  <si>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</si>
  <si>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</si>
  <si>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</si>
  <si>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</si>
  <si>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</si>
  <si>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</si>
  <si>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</si>
  <si>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</si>
  <si>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</si>
  <si>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</si>
  <si>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</si>
  <si>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</si>
  <si>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</si>
  <si>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</si>
  <si>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</si>
  <si>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</si>
  <si>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</si>
  <si>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</si>
  <si>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</si>
  <si>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</si>
  <si>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</si>
  <si>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</si>
  <si>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</si>
  <si>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</si>
  <si>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</si>
  <si>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</si>
  <si>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</si>
  <si>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</si>
  <si>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</si>
  <si>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</si>
  <si>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</si>
  <si>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</si>
  <si>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</si>
  <si>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</si>
  <si>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</si>
  <si>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</si>
  <si>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</si>
  <si>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</si>
  <si>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</si>
  <si>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</si>
  <si>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</si>
  <si>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</si>
  <si>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</si>
  <si>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</si>
  <si>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</si>
  <si>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</si>
  <si>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</si>
  <si>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</si>
  <si>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</si>
  <si>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</si>
  <si>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</si>
  <si>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</si>
  <si>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</si>
  <si>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</si>
  <si>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</si>
  <si>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</si>
  <si>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</si>
  <si>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</si>
  <si>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</si>
  <si>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</si>
  <si>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</si>
  <si>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</si>
  <si>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</si>
  <si>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</si>
  <si>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</si>
  <si>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</si>
  <si>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</si>
  <si>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</si>
  <si>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</si>
  <si>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</si>
  <si>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</si>
  <si>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</si>
  <si>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</si>
  <si>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</si>
  <si>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</si>
  <si>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</si>
  <si>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</si>
  <si>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</si>
  <si>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</si>
  <si>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</si>
  <si>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</si>
  <si>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</si>
  <si>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</si>
  <si>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</si>
  <si>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</si>
  <si>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</si>
  <si>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</si>
  <si>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</si>
  <si>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</si>
  <si>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</si>
  <si>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</si>
  <si>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</si>
  <si>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</si>
  <si>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</si>
  <si>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</si>
  <si>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</si>
  <si>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</si>
  <si>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</si>
  <si>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</si>
  <si>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</si>
  <si>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</si>
  <si>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</si>
  <si>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</si>
  <si>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</si>
  <si>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</si>
  <si>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</si>
  <si>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</si>
  <si>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</si>
  <si>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</si>
  <si>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</si>
  <si>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</si>
  <si>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</si>
  <si>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</si>
  <si>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</si>
  <si>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</si>
  <si>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</si>
  <si>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</si>
  <si>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</si>
  <si>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</si>
  <si>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</si>
  <si>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</si>
  <si>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</si>
  <si>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</si>
  <si>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</si>
  <si>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</si>
  <si>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</si>
  <si>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</si>
  <si>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</si>
  <si>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</si>
  <si>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</si>
  <si>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</si>
  <si>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</si>
  <si>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</si>
  <si>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</si>
  <si>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</si>
  <si>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</si>
  <si>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</si>
  <si>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</si>
  <si>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</si>
  <si>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</si>
  <si>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</si>
  <si>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</si>
  <si>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</si>
  <si>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</si>
  <si>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</si>
  <si>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</si>
  <si>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</si>
  <si>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</si>
  <si>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</si>
  <si>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</si>
  <si>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</si>
  <si>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</si>
  <si>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</si>
  <si>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</si>
  <si>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</si>
  <si>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</si>
  <si>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</si>
  <si>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</si>
  <si>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</si>
  <si>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</si>
  <si>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</si>
  <si>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</si>
  <si>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</si>
  <si>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</si>
  <si>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</si>
  <si>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</si>
  <si>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</si>
  <si>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</si>
  <si>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</si>
  <si>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</si>
  <si>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</si>
  <si>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</si>
  <si>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</si>
  <si>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</si>
  <si>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</si>
  <si>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</si>
  <si>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</si>
  <si>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</si>
  <si>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</si>
  <si>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</si>
  <si>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</si>
  <si>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</si>
  <si>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</si>
  <si>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</si>
  <si>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</si>
  <si>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</si>
  <si>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</si>
  <si>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</si>
  <si>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</si>
  <si>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</si>
  <si>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</si>
  <si>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</si>
  <si>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</si>
  <si>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</si>
  <si>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</si>
  <si>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</si>
  <si>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</si>
  <si>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</si>
  <si>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</si>
  <si>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</si>
  <si>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</si>
  <si>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</si>
  <si>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</si>
  <si>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</si>
  <si>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</si>
  <si>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</si>
  <si>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</si>
  <si>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</si>
  <si>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</si>
  <si>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</si>
  <si>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</si>
  <si>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</si>
  <si>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</si>
  <si>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</si>
  <si>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</si>
  <si>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</si>
  <si>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</si>
  <si>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</si>
  <si>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</si>
  <si>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</si>
  <si>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</si>
  <si>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</si>
  <si>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</si>
  <si>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</si>
  <si>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</si>
  <si>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</si>
  <si>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</si>
  <si>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</si>
  <si>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</si>
  <si>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</si>
  <si>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</si>
  <si>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</si>
  <si>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</si>
  <si>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</si>
  <si>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</si>
  <si>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</si>
  <si>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</si>
  <si>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</si>
  <si>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</si>
  <si>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</si>
  <si>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</si>
  <si>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</si>
  <si>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</si>
  <si>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</si>
  <si>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</si>
  <si>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</si>
  <si>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</si>
  <si>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</si>
  <si>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</si>
  <si>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</si>
  <si>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</si>
  <si>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</si>
  <si>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</si>
  <si>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</si>
  <si>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</si>
  <si>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</si>
  <si>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</si>
  <si>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</si>
  <si>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</si>
  <si>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</si>
  <si>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</si>
  <si>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</si>
  <si>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</si>
  <si>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</si>
  <si>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</si>
  <si>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</si>
  <si>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</si>
  <si>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</si>
  <si>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</si>
  <si>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</si>
  <si>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</si>
  <si>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</si>
  <si>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</si>
  <si>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</si>
  <si>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</si>
  <si>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</si>
  <si>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</si>
  <si>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</si>
  <si>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</si>
  <si>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</si>
  <si>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</si>
  <si>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</si>
  <si>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</si>
  <si>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</si>
  <si>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</si>
  <si>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</si>
  <si>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</si>
  <si>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</si>
  <si>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</si>
  <si>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</si>
  <si>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</si>
  <si>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</si>
  <si>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</si>
  <si>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</si>
  <si>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</si>
  <si>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</si>
  <si>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</si>
  <si>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</si>
  <si>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</si>
  <si>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</si>
  <si>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</si>
  <si>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</si>
  <si>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</si>
  <si>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</si>
  <si>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</si>
  <si>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</si>
  <si>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</si>
  <si>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</si>
  <si>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</si>
  <si>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</si>
  <si>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</si>
  <si>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</si>
  <si>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</si>
  <si>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</si>
  <si>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</si>
  <si>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</si>
  <si>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</si>
  <si>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</si>
  <si>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</si>
  <si>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</si>
  <si>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</si>
  <si>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</si>
  <si>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</si>
  <si>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</si>
  <si>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</si>
  <si>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</si>
  <si>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</si>
  <si>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</si>
  <si>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</si>
  <si>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</si>
  <si>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</si>
  <si>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</si>
  <si>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</si>
  <si>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</si>
  <si>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</si>
  <si>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</si>
  <si>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</si>
  <si>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</si>
  <si>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</si>
  <si>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</si>
  <si>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</si>
  <si>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</si>
  <si>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</si>
  <si>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</si>
  <si>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</si>
  <si>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</si>
  <si>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</si>
  <si>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</si>
  <si>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</si>
  <si>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</si>
  <si>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</si>
  <si>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</si>
  <si>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</si>
  <si>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</si>
  <si>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</si>
  <si>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</si>
  <si>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</si>
  <si>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</si>
  <si>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</si>
  <si>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</si>
  <si>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</si>
  <si>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</si>
  <si>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</si>
  <si>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</si>
  <si>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</si>
  <si>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</si>
  <si>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</si>
  <si>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</si>
  <si>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</si>
  <si>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</si>
  <si>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</si>
  <si>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</si>
  <si>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</si>
  <si>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</si>
  <si>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</si>
  <si>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</si>
  <si>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</si>
  <si>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</si>
  <si>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</si>
  <si>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</si>
  <si>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</si>
  <si>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</si>
  <si>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</si>
  <si>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</si>
  <si>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</si>
  <si>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</si>
  <si>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</si>
  <si>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</si>
  <si>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</si>
  <si>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</si>
  <si>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</si>
  <si>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</si>
  <si>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</si>
  <si>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</si>
  <si>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</si>
  <si>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</si>
  <si>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</si>
  <si>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</si>
  <si>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</si>
  <si>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</si>
  <si>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</si>
  <si>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</si>
  <si>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</si>
  <si>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</si>
  <si>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</si>
  <si>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</si>
  <si>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</si>
  <si>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</si>
  <si>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</si>
  <si>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</si>
  <si>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</si>
  <si>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</si>
  <si>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</si>
  <si>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</si>
  <si>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</si>
  <si>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</si>
  <si>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</si>
  <si>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</si>
  <si>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</si>
  <si>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</si>
  <si>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</si>
  <si>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</si>
  <si>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</si>
  <si>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</si>
  <si>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</si>
  <si>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</si>
  <si>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</si>
  <si>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</si>
  <si>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</si>
  <si>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</si>
  <si>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</si>
  <si>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</si>
  <si>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</si>
  <si>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</si>
  <si>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</si>
  <si>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</si>
  <si>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</si>
  <si>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</si>
  <si>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</si>
  <si>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</si>
  <si>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</si>
  <si>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</si>
  <si>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</si>
  <si>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</si>
  <si>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</si>
  <si>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</si>
  <si>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</si>
  <si>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</si>
  <si>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</si>
  <si>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</si>
  <si>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</si>
  <si>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</si>
  <si>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</si>
  <si>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</si>
  <si>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</si>
  <si>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</si>
  <si>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</si>
  <si>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</si>
  <si>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</si>
  <si>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</si>
  <si>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</si>
  <si>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</si>
  <si>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</si>
  <si>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</si>
  <si>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</si>
  <si>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</si>
  <si>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</si>
  <si>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</si>
  <si>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</si>
  <si>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</si>
  <si>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</si>
  <si>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</si>
  <si>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</si>
  <si>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</si>
  <si>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</si>
  <si>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</si>
  <si>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</si>
  <si>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</si>
  <si>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</si>
  <si>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</si>
  <si>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</si>
  <si>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</si>
  <si>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</si>
  <si>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</si>
  <si>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</si>
  <si>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</si>
  <si>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</si>
  <si>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</si>
  <si>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</si>
  <si>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</si>
  <si>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</si>
  <si>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</si>
  <si>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</si>
  <si>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</si>
  <si>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</si>
  <si>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</si>
  <si>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</si>
  <si>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</si>
  <si>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</si>
  <si>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</si>
  <si>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</si>
  <si>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</si>
  <si>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</si>
  <si>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</si>
  <si>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</si>
  <si>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</si>
  <si>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</si>
  <si>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</si>
  <si>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</si>
  <si>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</si>
  <si>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</si>
  <si>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</si>
  <si>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</si>
  <si>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</si>
  <si>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</si>
  <si>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</si>
  <si>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</si>
  <si>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</si>
  <si>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</si>
  <si>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</si>
  <si>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</si>
  <si>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</si>
  <si>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</si>
  <si>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</si>
  <si>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</si>
  <si>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</si>
  <si>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</si>
  <si>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</si>
  <si>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</si>
  <si>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</si>
  <si>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</si>
  <si>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</si>
  <si>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</si>
  <si>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</si>
  <si>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</si>
  <si>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</si>
  <si>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</si>
  <si>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</si>
  <si>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</si>
  <si>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</si>
  <si>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</si>
  <si>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</si>
  <si>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</si>
  <si>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</si>
  <si>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</si>
  <si>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</si>
  <si>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</si>
  <si>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</si>
  <si>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</si>
  <si>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</si>
  <si>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</si>
  <si>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</si>
  <si>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</si>
  <si>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</si>
  <si>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</si>
  <si>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</si>
  <si>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</si>
  <si>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</si>
  <si>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</si>
  <si>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</si>
  <si>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</si>
  <si>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</si>
  <si>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</si>
  <si>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</si>
  <si>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</si>
  <si>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</si>
  <si>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</si>
  <si>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</si>
  <si>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</si>
  <si>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</si>
  <si>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</si>
  <si>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</si>
  <si>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</si>
  <si>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</si>
  <si>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</si>
  <si>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</si>
  <si>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</si>
  <si>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</si>
  <si>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</si>
  <si>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</si>
  <si>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</si>
  <si>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</si>
  <si>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</si>
  <si>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</si>
  <si>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</si>
  <si>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</si>
  <si>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</si>
  <si>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</si>
  <si>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</si>
  <si>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</si>
  <si>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</si>
  <si>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</si>
  <si>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</si>
  <si>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</si>
  <si>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</si>
  <si>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</si>
  <si>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</si>
  <si>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</si>
  <si>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</si>
  <si>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</si>
  <si>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</si>
  <si>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</si>
  <si>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</si>
  <si>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</si>
  <si>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</si>
  <si>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</si>
  <si>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</si>
  <si>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</si>
  <si>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</si>
  <si>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</si>
  <si>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</si>
  <si>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</si>
  <si>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</si>
  <si>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</si>
  <si>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</si>
  <si>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</si>
  <si>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</si>
  <si>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</si>
  <si>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</si>
  <si>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</si>
  <si>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</si>
  <si>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</si>
  <si>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</si>
  <si>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</si>
  <si>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</si>
  <si>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</si>
  <si>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</si>
  <si>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</si>
  <si>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</si>
  <si>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</si>
  <si>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</si>
  <si>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</si>
  <si>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</si>
  <si>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</si>
  <si>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</si>
  <si>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</si>
  <si>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</si>
  <si>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</si>
  <si>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</si>
  <si>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</si>
  <si>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</si>
  <si>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</si>
  <si>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</si>
  <si>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</si>
  <si>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</si>
  <si>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</si>
  <si>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</si>
  <si>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</si>
  <si>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</si>
  <si>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</si>
  <si>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</si>
  <si>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</si>
  <si>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</si>
  <si>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</si>
  <si>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</si>
  <si>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</si>
  <si>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</si>
  <si>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</si>
  <si>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</si>
  <si>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</si>
  <si>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</si>
  <si>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</si>
  <si>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</si>
  <si>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</si>
  <si>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</si>
  <si>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</si>
  <si>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</si>
  <si>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</si>
  <si>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</si>
  <si>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</si>
  <si>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</si>
  <si>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</si>
  <si>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</si>
  <si>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</si>
  <si>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</si>
  <si>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</si>
  <si>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</si>
  <si>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</si>
  <si>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</si>
  <si>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</si>
  <si>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</si>
  <si>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</si>
  <si>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</si>
  <si>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</si>
  <si>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</si>
  <si>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</si>
  <si>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</si>
  <si>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</si>
  <si>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</si>
  <si>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</si>
  <si>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</si>
  <si>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</si>
  <si>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</si>
  <si>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</si>
  <si>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</si>
  <si>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</si>
  <si>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</si>
  <si>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</si>
  <si>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</si>
  <si>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</si>
  <si>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</si>
  <si>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</si>
  <si>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</si>
  <si>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</si>
  <si>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</si>
  <si>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</si>
  <si>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</si>
  <si>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</si>
  <si>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</si>
  <si>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</si>
  <si>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</si>
  <si>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</si>
  <si>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</si>
  <si>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</si>
  <si>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</si>
  <si>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</si>
  <si>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</si>
  <si>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</si>
  <si>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</si>
  <si>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</si>
  <si>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</si>
  <si>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</si>
  <si>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</si>
  <si>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</si>
  <si>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</si>
  <si>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</si>
  <si>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</si>
  <si>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</si>
  <si>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</si>
  <si>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</si>
  <si>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</si>
  <si>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</si>
  <si>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</si>
  <si>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</si>
  <si>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</si>
  <si>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</si>
  <si>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</si>
  <si>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</si>
  <si>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</si>
  <si>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</si>
  <si>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</si>
  <si>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</si>
  <si>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</si>
  <si>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</si>
  <si>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</si>
  <si>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</si>
  <si>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</si>
  <si>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</si>
  <si>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</si>
  <si>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</si>
  <si>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</si>
  <si>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</si>
  <si>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</si>
  <si>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</si>
  <si>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</si>
  <si>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</si>
  <si>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</si>
  <si>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</si>
  <si>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</si>
  <si>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</si>
  <si>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</si>
  <si>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</si>
  <si>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</si>
  <si>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</si>
  <si>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</si>
  <si>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</si>
  <si>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</si>
  <si>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</si>
  <si>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</si>
  <si>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</si>
  <si>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</si>
  <si>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</si>
  <si>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</si>
  <si>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</si>
  <si>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</si>
  <si>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</si>
  <si>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</si>
  <si>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</si>
  <si>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</si>
  <si>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</si>
  <si>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</si>
  <si>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</si>
  <si>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</si>
  <si>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</si>
  <si>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</si>
  <si>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</si>
  <si>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</si>
  <si>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</si>
  <si>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</si>
  <si>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</si>
  <si>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</si>
  <si>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</si>
  <si>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</si>
  <si>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</si>
  <si>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</si>
  <si>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</si>
  <si>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</si>
  <si>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</si>
  <si>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</si>
  <si>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</si>
  <si>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</si>
  <si>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</si>
  <si>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</si>
  <si>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</si>
  <si>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</si>
  <si>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</si>
  <si>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</si>
  <si>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</si>
  <si>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</si>
  <si>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</si>
  <si>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</si>
  <si>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</si>
  <si>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</si>
  <si>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</si>
  <si>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</si>
  <si>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</si>
  <si>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</si>
  <si>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</si>
  <si>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</si>
  <si>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</si>
  <si>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</si>
  <si>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</si>
  <si>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</si>
  <si>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</si>
  <si>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</si>
  <si>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</si>
  <si>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</si>
  <si>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</si>
  <si>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</si>
  <si>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</si>
  <si>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</si>
  <si>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</si>
  <si>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</si>
  <si>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</si>
  <si>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</si>
  <si>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</si>
  <si>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</si>
  <si>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</si>
  <si>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</si>
  <si>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</si>
  <si>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</si>
  <si>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</si>
  <si>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</si>
  <si>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</si>
  <si>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</si>
  <si>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</si>
  <si>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</si>
  <si>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</si>
  <si>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</si>
  <si>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</si>
  <si>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</si>
  <si>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</si>
  <si>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</si>
  <si>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</si>
  <si>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</si>
  <si>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</si>
  <si>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</si>
  <si>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</si>
  <si>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</si>
  <si>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</si>
  <si>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</si>
  <si>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</si>
  <si>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</si>
  <si>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</si>
  <si>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</si>
  <si>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</si>
  <si>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</si>
  <si>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</si>
  <si>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</si>
  <si>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</si>
  <si>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</si>
  <si>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</si>
  <si>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</si>
  <si>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</si>
  <si>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</si>
  <si>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</si>
  <si>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</si>
  <si>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</si>
  <si>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</si>
  <si>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</si>
  <si>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</si>
  <si>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</si>
  <si>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</si>
  <si>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</si>
  <si>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</si>
  <si>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</si>
  <si>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</si>
  <si>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</si>
  <si>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</si>
  <si>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</si>
  <si>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</si>
  <si>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</si>
  <si>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</si>
  <si>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</si>
  <si>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</si>
  <si>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</si>
  <si>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</si>
  <si>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</si>
  <si>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</si>
  <si>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</si>
  <si>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</si>
  <si>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</si>
  <si>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</si>
  <si>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</si>
  <si>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</si>
  <si>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</si>
  <si>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</si>
  <si>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</si>
  <si>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</si>
  <si>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</si>
  <si>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</si>
  <si>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</si>
  <si>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</si>
  <si>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</si>
  <si>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</si>
  <si>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</si>
  <si>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</si>
  <si>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</si>
  <si>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</si>
  <si>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</si>
  <si>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</si>
  <si>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</si>
  <si>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</si>
  <si>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</si>
  <si>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</si>
  <si>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</si>
  <si>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</si>
  <si>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</si>
  <si>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</si>
  <si>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</si>
  <si>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</si>
  <si>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</si>
  <si>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</si>
  <si>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</si>
  <si>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</si>
  <si>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</si>
  <si>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</si>
  <si>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</si>
  <si>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</si>
  <si>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</si>
  <si>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</si>
  <si>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</si>
  <si>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</si>
  <si>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</si>
  <si>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</si>
  <si>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</si>
  <si>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</si>
  <si>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</si>
  <si>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</si>
  <si>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</si>
  <si>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</si>
  <si>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</si>
  <si>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</si>
  <si>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</si>
  <si>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</si>
  <si>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</si>
  <si>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</si>
  <si>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</si>
  <si>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</si>
  <si>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</si>
  <si>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</si>
  <si>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</si>
  <si>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</si>
  <si>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</si>
  <si>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</si>
  <si>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</si>
  <si>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</si>
  <si>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</si>
  <si>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</si>
  <si>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</si>
  <si>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</si>
  <si>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</si>
  <si>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</si>
  <si>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</si>
  <si>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</si>
  <si>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</si>
  <si>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</si>
  <si>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</si>
  <si>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</si>
  <si>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</si>
  <si>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</si>
  <si>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</si>
  <si>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</si>
  <si>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</si>
  <si>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</si>
  <si>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</si>
  <si>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</si>
  <si>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</si>
  <si>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</si>
  <si>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</si>
  <si>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</si>
  <si>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</si>
  <si>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</si>
  <si>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</si>
  <si>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</si>
  <si>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</si>
  <si>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</si>
  <si>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</si>
  <si>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</si>
  <si>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</si>
  <si>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</si>
  <si>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</si>
  <si>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</si>
  <si>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</si>
  <si>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</si>
  <si>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</si>
  <si>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</si>
  <si>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</si>
  <si>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</si>
  <si>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</si>
  <si>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</si>
  <si>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</si>
  <si>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</si>
  <si>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</si>
  <si>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</si>
  <si>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</si>
  <si>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</si>
  <si>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</si>
  <si>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</si>
  <si>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</si>
  <si>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</si>
  <si>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</si>
  <si>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</si>
  <si>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</si>
  <si>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</si>
  <si>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</si>
  <si>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</si>
  <si>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</si>
  <si>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</si>
  <si>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</si>
  <si>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</si>
  <si>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</si>
  <si>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</si>
  <si>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</si>
  <si>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</si>
  <si>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</si>
  <si>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</si>
  <si>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</si>
  <si>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</si>
  <si>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</si>
  <si>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</si>
  <si>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</si>
  <si>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</si>
  <si>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</si>
  <si>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</si>
  <si>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</si>
  <si>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</si>
  <si>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</si>
  <si>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</si>
  <si>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</si>
  <si>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</si>
  <si>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</si>
  <si>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</si>
  <si>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</si>
  <si>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</si>
  <si>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</si>
  <si>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</si>
  <si>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</si>
  <si>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</si>
  <si>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</si>
  <si>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</si>
  <si>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</si>
  <si>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</si>
  <si>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</si>
  <si>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</si>
  <si>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</si>
  <si>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</si>
  <si>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</si>
  <si>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</si>
  <si>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</si>
  <si>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</si>
  <si>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</si>
  <si>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</si>
  <si>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</si>
  <si>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</si>
  <si>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</si>
  <si>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</si>
  <si>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</si>
  <si>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</si>
  <si>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</si>
  <si>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</si>
  <si>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</si>
  <si>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</si>
  <si>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</si>
  <si>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</si>
  <si>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</si>
  <si>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</si>
  <si>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</si>
  <si>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</si>
  <si>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</si>
  <si>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</si>
  <si>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</si>
  <si>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</si>
  <si>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</si>
  <si>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</si>
  <si>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</si>
  <si>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</si>
  <si>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</si>
  <si>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</si>
  <si>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</si>
  <si>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</si>
  <si>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</si>
  <si>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</si>
  <si>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</si>
  <si>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</si>
  <si>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</si>
  <si>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</si>
  <si>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</si>
  <si>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</si>
  <si>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</si>
  <si>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</si>
  <si>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</si>
  <si>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</si>
  <si>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</si>
  <si>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</si>
  <si>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</si>
  <si>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</si>
  <si>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</si>
  <si>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</si>
  <si>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</si>
  <si>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</si>
  <si>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</si>
  <si>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</si>
  <si>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</si>
  <si>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</si>
  <si>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</si>
  <si>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</si>
  <si>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</si>
  <si>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</si>
  <si>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</si>
  <si>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</si>
  <si>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</si>
  <si>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</si>
  <si>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</si>
  <si>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</si>
  <si>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</si>
  <si>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</si>
  <si>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</si>
  <si>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</si>
  <si>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</si>
  <si>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</si>
  <si>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</si>
  <si>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</si>
  <si>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</si>
  <si>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</si>
  <si>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</si>
  <si>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</si>
  <si>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</si>
  <si>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</si>
  <si>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</si>
  <si>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</si>
  <si>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</si>
  <si>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</si>
  <si>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</si>
  <si>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</si>
  <si>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</si>
  <si>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</si>
  <si>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</si>
  <si>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</si>
  <si>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</si>
  <si>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</si>
  <si>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</si>
  <si>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</si>
  <si>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</si>
  <si>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</si>
  <si>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</si>
  <si>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</si>
  <si>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</si>
  <si>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</si>
  <si>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</si>
  <si>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</si>
  <si>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</si>
  <si>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</si>
  <si>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</si>
  <si>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</si>
  <si>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</si>
  <si>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</si>
  <si>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</si>
  <si>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</si>
  <si>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</si>
  <si>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</si>
  <si>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</si>
  <si>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</si>
  <si>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</si>
  <si>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</si>
  <si>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</si>
  <si>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</si>
  <si>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</si>
  <si>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</si>
  <si>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</si>
  <si>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</si>
  <si>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</si>
  <si>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</si>
  <si>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</si>
  <si>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</si>
  <si>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</si>
  <si>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</si>
  <si>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</si>
  <si>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</si>
  <si>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</si>
  <si>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</si>
  <si>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</si>
  <si>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</si>
  <si>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</si>
  <si>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</si>
  <si>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</si>
  <si>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</si>
  <si>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</si>
  <si>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</si>
  <si>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</si>
  <si>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</si>
  <si>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</si>
  <si>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</si>
  <si>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</si>
  <si>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</si>
  <si>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</si>
  <si>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</si>
  <si>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</si>
  <si>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</si>
  <si>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</si>
  <si>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</si>
  <si>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</si>
  <si>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</si>
  <si>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</si>
  <si>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</si>
  <si>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</si>
  <si>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</si>
  <si>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</si>
  <si>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</si>
  <si>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</si>
  <si>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</si>
  <si>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</si>
  <si>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</si>
  <si>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</si>
  <si>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</si>
  <si>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</si>
  <si>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</si>
  <si>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</si>
  <si>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</si>
  <si>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</si>
  <si>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</si>
  <si>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</si>
  <si>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</si>
  <si>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</si>
  <si>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</si>
  <si>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</si>
  <si>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</si>
  <si>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</si>
  <si>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</si>
  <si>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</si>
  <si>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</si>
  <si>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</si>
  <si>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</si>
  <si>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</si>
  <si>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</si>
  <si>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</si>
  <si>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</si>
  <si>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</si>
  <si>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</si>
  <si>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</si>
  <si>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</si>
  <si>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</si>
  <si>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</si>
  <si>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</si>
  <si>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</si>
  <si>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</si>
  <si>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</si>
  <si>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</si>
  <si>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</si>
  <si>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</si>
  <si>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</si>
  <si>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</si>
  <si>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</si>
  <si>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</si>
  <si>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</si>
  <si>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</si>
  <si>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</si>
  <si>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</si>
  <si>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</si>
  <si>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</si>
  <si>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</si>
  <si>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</si>
  <si>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</si>
  <si>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</si>
  <si>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</si>
  <si>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</si>
  <si>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</si>
  <si>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</si>
  <si>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</si>
  <si>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</si>
  <si>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</si>
  <si>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</si>
  <si>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</si>
  <si>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</si>
  <si>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</si>
  <si>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</si>
  <si>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</si>
  <si>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</si>
  <si>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</si>
  <si>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</si>
  <si>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</si>
  <si>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</si>
  <si>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</si>
  <si>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</si>
  <si>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</si>
  <si>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</si>
  <si>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</si>
  <si>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</si>
  <si>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</si>
  <si>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</si>
  <si>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</si>
  <si>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</si>
  <si>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</si>
  <si>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</si>
  <si>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</si>
  <si>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</si>
  <si>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</si>
  <si>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</si>
  <si>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</si>
  <si>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</si>
  <si>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</si>
  <si>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</si>
  <si>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</si>
  <si>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</si>
  <si>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</si>
  <si>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</si>
  <si>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</si>
  <si>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</si>
  <si>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</si>
  <si>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</si>
  <si>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</si>
  <si>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</si>
  <si>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</si>
  <si>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</si>
  <si>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</si>
  <si>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</si>
  <si>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</si>
  <si>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</si>
  <si>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</si>
  <si>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</si>
  <si>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</si>
  <si>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</si>
  <si>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</si>
  <si>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</si>
  <si>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</si>
  <si>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</si>
  <si>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</si>
  <si>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</si>
  <si>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</si>
  <si>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</si>
  <si>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</si>
  <si>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</si>
  <si>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</si>
  <si>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</si>
  <si>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</si>
  <si>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</si>
  <si>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</si>
  <si>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</si>
  <si>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</si>
  <si>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</si>
  <si>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</si>
  <si>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</si>
  <si>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</si>
  <si>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</si>
  <si>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</si>
  <si>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</si>
  <si>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</si>
  <si>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</si>
  <si>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</si>
  <si>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</si>
  <si>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</si>
  <si>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</si>
  <si>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</si>
  <si>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</si>
  <si>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</si>
  <si>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</si>
  <si>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</si>
  <si>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</si>
  <si>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</si>
  <si>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</si>
  <si>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</si>
  <si>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</si>
  <si>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</si>
  <si>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</si>
  <si>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</si>
  <si>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</si>
  <si>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</si>
  <si>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</si>
  <si>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</si>
  <si>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</si>
  <si>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</si>
  <si>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</si>
  <si>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</si>
  <si>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</si>
  <si>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</si>
  <si>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</si>
  <si>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</si>
  <si>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</si>
  <si>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</si>
  <si>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</si>
  <si>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</si>
  <si>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</si>
  <si>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</si>
  <si>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</si>
  <si>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</si>
  <si>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</si>
  <si>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</si>
  <si>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</si>
  <si>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</si>
  <si>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</si>
  <si>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</si>
  <si>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</si>
  <si>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</si>
  <si>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</si>
  <si>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</si>
  <si>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</si>
  <si>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</si>
  <si>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</si>
  <si>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</si>
  <si>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</si>
  <si>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</si>
  <si>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</si>
  <si>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</si>
  <si>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</si>
  <si>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</si>
  <si>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</si>
  <si>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</si>
  <si>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</si>
  <si>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</si>
  <si>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</si>
  <si>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</si>
  <si>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</si>
  <si>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</si>
  <si>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</si>
  <si>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</si>
  <si>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</si>
  <si>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</si>
  <si>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</si>
  <si>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</si>
  <si>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</si>
  <si>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</si>
  <si>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</si>
  <si>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</si>
  <si>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</si>
  <si>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</si>
  <si>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</si>
  <si>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</si>
  <si>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</si>
  <si>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</si>
  <si>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</si>
  <si>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</si>
  <si>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</si>
  <si>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</si>
  <si>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</si>
  <si>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</si>
  <si>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</si>
  <si>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</si>
  <si>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</si>
  <si>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</si>
  <si>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</si>
  <si>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</si>
  <si>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</si>
  <si>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</si>
  <si>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</si>
  <si>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</si>
  <si>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</si>
  <si>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</si>
  <si>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</si>
  <si>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</si>
  <si>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</si>
  <si>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</si>
  <si>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</si>
  <si>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</si>
  <si>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</si>
  <si>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</si>
  <si>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</si>
  <si>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</si>
  <si>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</si>
  <si>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</si>
  <si>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</si>
  <si>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</si>
  <si>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</si>
  <si>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</si>
  <si>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</si>
  <si>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</si>
  <si>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</si>
  <si>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</si>
  <si>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</si>
  <si>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</si>
  <si>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</si>
  <si>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</si>
  <si>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</si>
  <si>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</si>
  <si>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</si>
  <si>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</si>
  <si>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</si>
  <si>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</si>
  <si>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</si>
  <si>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</si>
  <si>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</si>
  <si>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</si>
  <si>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</si>
  <si>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</si>
  <si>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</si>
  <si>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</si>
  <si>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</si>
  <si>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</si>
  <si>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</si>
  <si>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</si>
  <si>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</si>
  <si>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</si>
  <si>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</si>
  <si>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</si>
  <si>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</si>
  <si>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</si>
  <si>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</si>
  <si>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</si>
  <si>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</si>
  <si>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</si>
  <si>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</si>
  <si>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</si>
  <si>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</si>
  <si>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</si>
  <si>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</si>
  <si>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</si>
  <si>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</si>
  <si>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</si>
  <si>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</si>
  <si>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</si>
  <si>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</si>
  <si>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</si>
  <si>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</si>
  <si>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</si>
  <si>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</si>
  <si>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</si>
  <si>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</si>
  <si>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</si>
  <si>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</si>
  <si>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</si>
  <si>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</si>
  <si>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</si>
  <si>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</si>
  <si>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</si>
  <si>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</si>
  <si>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</si>
  <si>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</si>
  <si>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</si>
  <si>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</si>
  <si>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</si>
  <si>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</si>
  <si>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</si>
  <si>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</si>
  <si>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</si>
  <si>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</si>
  <si>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</si>
  <si>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</si>
  <si>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</si>
  <si>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</si>
  <si>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</si>
  <si>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</si>
  <si>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</si>
  <si>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</si>
  <si>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</si>
  <si>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</si>
  <si>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</si>
  <si>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</si>
  <si>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</si>
  <si>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</si>
  <si>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</si>
  <si>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</si>
  <si>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</si>
  <si>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</si>
  <si>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</si>
  <si>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</si>
  <si>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</si>
  <si>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</si>
  <si>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</si>
  <si>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</si>
  <si>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</si>
  <si>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</si>
  <si>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</si>
  <si>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</si>
  <si>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</si>
  <si>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</si>
  <si>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</si>
  <si>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</si>
  <si>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</si>
  <si>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</si>
  <si>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</si>
  <si>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</si>
  <si>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</si>
  <si>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</si>
  <si>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</si>
  <si>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</si>
  <si>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</si>
  <si>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</si>
  <si>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</si>
  <si>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</si>
  <si>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</si>
  <si>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</si>
  <si>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</si>
  <si>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</si>
  <si>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</si>
  <si>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</si>
  <si>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</si>
  <si>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</si>
  <si>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</si>
  <si>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</si>
  <si>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</si>
  <si>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</si>
  <si>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</si>
  <si>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</si>
  <si>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</si>
  <si>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</si>
  <si>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</si>
  <si>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</si>
  <si>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</si>
  <si>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</si>
  <si>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</si>
  <si>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</si>
  <si>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</si>
  <si>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</si>
  <si>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</si>
  <si>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</si>
  <si>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</si>
  <si>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</si>
  <si>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</si>
  <si>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</si>
  <si>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</si>
  <si>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</si>
  <si>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</si>
  <si>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</si>
  <si>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</si>
  <si>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</si>
  <si>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</si>
  <si>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</si>
  <si>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</si>
  <si>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</si>
  <si>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</si>
  <si>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</si>
  <si>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</si>
  <si>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</si>
  <si>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</si>
  <si>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</si>
  <si>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</si>
  <si>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</si>
  <si>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</si>
  <si>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</si>
  <si>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</si>
  <si>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</si>
  <si>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</si>
  <si>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</si>
  <si>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</si>
  <si>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</si>
  <si>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</si>
  <si>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</si>
  <si>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</si>
  <si>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</si>
  <si>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</si>
  <si>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</si>
  <si>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</si>
  <si>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</si>
  <si>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</si>
  <si>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</si>
  <si>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</si>
  <si>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</si>
  <si>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</si>
  <si>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</si>
  <si>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</si>
  <si>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</si>
  <si>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</si>
  <si>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</si>
  <si>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</si>
  <si>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</si>
  <si>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</si>
  <si>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</si>
  <si>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</si>
  <si>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</si>
  <si>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</si>
  <si>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</si>
  <si>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</si>
  <si>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</si>
  <si>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</si>
  <si>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</si>
  <si>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</si>
  <si>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</si>
  <si>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</si>
  <si>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</si>
  <si>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</si>
  <si>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</si>
  <si>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</si>
  <si>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</si>
  <si>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</si>
  <si>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</si>
  <si>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</si>
  <si>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</si>
  <si>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</si>
  <si>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</si>
  <si>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</si>
  <si>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</si>
  <si>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</si>
  <si>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</si>
  <si>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</si>
  <si>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</si>
  <si>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</si>
  <si>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</si>
  <si>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</si>
  <si>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</si>
  <si>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</si>
  <si>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</si>
  <si>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</si>
  <si>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</si>
  <si>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</si>
  <si>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</si>
  <si>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</si>
  <si>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</si>
  <si>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</si>
  <si>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</si>
  <si>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</si>
  <si>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</si>
  <si>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</si>
  <si>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</si>
  <si>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</si>
  <si>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</si>
  <si>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</si>
  <si>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</si>
  <si>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</si>
  <si>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</si>
  <si>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</si>
  <si>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</si>
  <si>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</si>
  <si>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</si>
  <si>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</si>
  <si>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</si>
  <si>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</si>
  <si>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</si>
  <si>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</si>
  <si>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</si>
  <si>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</si>
  <si>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</si>
  <si>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</si>
  <si>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</si>
  <si>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</si>
  <si>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</si>
  <si>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</si>
  <si>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</si>
  <si>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</si>
  <si>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</si>
  <si>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</si>
  <si>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</si>
  <si>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</si>
  <si>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</si>
  <si>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</si>
  <si>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</si>
  <si>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</si>
  <si>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</si>
  <si>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</si>
  <si>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</si>
  <si>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</si>
  <si>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</si>
  <si>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</si>
  <si>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</si>
  <si>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</si>
  <si>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</si>
  <si>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</si>
  <si>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</si>
  <si>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</si>
  <si>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</si>
  <si>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</si>
  <si>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</si>
  <si>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</si>
  <si>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</si>
  <si>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</si>
  <si>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</si>
  <si>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</si>
  <si>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</si>
  <si>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</si>
  <si>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</si>
  <si>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</si>
  <si>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</si>
  <si>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</si>
  <si>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</si>
  <si>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</si>
  <si>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</si>
  <si>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</si>
  <si>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</si>
  <si>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</si>
  <si>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</si>
  <si>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</si>
  <si>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</si>
  <si>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</si>
  <si>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</si>
  <si>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</si>
  <si>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</si>
  <si>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</si>
  <si>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</si>
  <si>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</si>
  <si>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</si>
  <si>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</si>
  <si>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</si>
  <si>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</si>
  <si>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</si>
  <si>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</si>
  <si>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</si>
  <si>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</si>
  <si>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</si>
  <si>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</si>
  <si>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</si>
  <si>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</si>
  <si>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</si>
  <si>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</si>
  <si>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</si>
  <si>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</si>
  <si>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</si>
  <si>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</si>
  <si>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</si>
  <si>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</si>
  <si>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</si>
  <si>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</si>
  <si>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</si>
  <si>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</si>
  <si>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</si>
  <si>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</si>
  <si>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</si>
  <si>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</si>
  <si>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</si>
  <si>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</si>
  <si>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</si>
  <si>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</si>
  <si>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</si>
  <si>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</si>
  <si>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</si>
  <si>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</si>
  <si>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</si>
  <si>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</si>
  <si>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</si>
  <si>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</si>
  <si>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</si>
  <si>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</si>
  <si>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</si>
  <si>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</si>
  <si>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</si>
  <si>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</si>
  <si>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</si>
  <si>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</si>
  <si>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</si>
  <si>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</si>
  <si>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</si>
  <si>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</si>
  <si>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</si>
  <si>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</si>
  <si>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</si>
  <si>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</si>
  <si>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</si>
  <si>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</si>
  <si>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</si>
  <si>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</si>
  <si>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</si>
  <si>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</si>
  <si>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</si>
  <si>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</si>
  <si>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</si>
  <si>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</si>
  <si>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</si>
  <si>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</si>
  <si>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</si>
  <si>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</si>
  <si>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</si>
  <si>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</si>
  <si>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</si>
  <si>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</si>
  <si>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</si>
  <si>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</si>
  <si>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</si>
  <si>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</si>
  <si>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</si>
  <si>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</si>
  <si>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</si>
  <si>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</si>
  <si>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</si>
  <si>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</si>
  <si>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</si>
  <si>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</si>
  <si>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</si>
  <si>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</si>
  <si>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</si>
  <si>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</si>
  <si>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</si>
  <si>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</si>
  <si>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</si>
  <si>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</si>
  <si>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</si>
  <si>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</si>
  <si>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</si>
  <si>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</si>
  <si>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</si>
  <si>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</si>
  <si>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</si>
  <si>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</si>
  <si>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</si>
  <si>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</si>
  <si>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</si>
  <si>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</si>
  <si>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</si>
  <si>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</si>
  <si>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</si>
  <si>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</si>
  <si>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</si>
  <si>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</si>
  <si>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</si>
  <si>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</si>
  <si>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</si>
  <si>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</si>
  <si>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</si>
  <si>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</si>
  <si>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</si>
  <si>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</si>
  <si>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</si>
  <si>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</si>
  <si>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</si>
  <si>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</si>
  <si>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</si>
  <si>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</si>
  <si>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</si>
  <si>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</si>
  <si>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</si>
  <si>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</si>
  <si>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</si>
  <si>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</si>
  <si>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</si>
  <si>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</si>
  <si>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</si>
  <si>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</si>
  <si>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</si>
  <si>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</si>
  <si>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</si>
  <si>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</si>
  <si>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</si>
  <si>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</si>
  <si>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</si>
  <si>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</si>
  <si>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</si>
  <si>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</si>
  <si>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</si>
  <si>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</si>
  <si>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</si>
  <si>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</si>
  <si>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</si>
  <si>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</si>
  <si>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</si>
  <si>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</si>
  <si>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</si>
  <si>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</si>
  <si>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</si>
  <si>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</si>
  <si>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</si>
  <si>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</si>
  <si>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</si>
  <si>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</si>
  <si>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</si>
  <si>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</si>
  <si>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</si>
  <si>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</si>
  <si>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</si>
  <si>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</si>
  <si>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</si>
  <si>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</si>
  <si>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</si>
  <si>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</si>
  <si>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</si>
  <si>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</si>
  <si>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</si>
  <si>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</si>
  <si>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</si>
  <si>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</si>
  <si>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</si>
  <si>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</si>
  <si>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</si>
  <si>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</si>
  <si>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</si>
  <si>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</si>
  <si>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</si>
  <si>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</si>
  <si>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</si>
  <si>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</si>
  <si>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</si>
  <si>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</si>
  <si>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</si>
  <si>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</si>
  <si>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</si>
  <si>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</si>
  <si>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</si>
  <si>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</si>
  <si>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</si>
  <si>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</si>
  <si>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</si>
  <si>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</si>
  <si>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</si>
  <si>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</si>
  <si>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</si>
  <si>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</si>
  <si>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</si>
  <si>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</si>
  <si>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</si>
  <si>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</si>
  <si>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</si>
  <si>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</si>
  <si>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</si>
  <si>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</si>
  <si>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</si>
  <si>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</si>
  <si>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</si>
  <si>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</si>
  <si>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</si>
  <si>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</si>
  <si>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</si>
  <si>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</si>
  <si>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</si>
  <si>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</si>
  <si>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</si>
  <si>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</si>
  <si>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</si>
  <si>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</si>
  <si>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</si>
  <si>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</si>
  <si>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</si>
  <si>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</si>
  <si>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</si>
  <si>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</si>
  <si>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</si>
  <si>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</si>
  <si>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</si>
  <si>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</si>
  <si>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</si>
  <si>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</si>
  <si>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</si>
  <si>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</si>
  <si>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</si>
  <si>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</si>
  <si>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</si>
  <si>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</si>
  <si>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</si>
  <si>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</si>
  <si>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</si>
  <si>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</si>
  <si>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</si>
  <si>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</si>
  <si>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</si>
  <si>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</si>
  <si>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</si>
  <si>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</si>
  <si>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</si>
  <si>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</si>
  <si>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</si>
  <si>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</si>
  <si>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</si>
  <si>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</si>
  <si>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</si>
  <si>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</si>
  <si>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</si>
  <si>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</si>
  <si>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</si>
  <si>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</si>
  <si>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</si>
  <si>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</si>
  <si>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</si>
  <si>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</si>
  <si>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</si>
  <si>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</si>
  <si>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</si>
  <si>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</si>
  <si>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</si>
  <si>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</si>
  <si>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</si>
  <si>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</si>
  <si>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</si>
  <si>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</si>
  <si>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</si>
  <si>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</si>
  <si>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</si>
  <si>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</si>
  <si>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</si>
  <si>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</si>
  <si>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</si>
  <si>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</si>
  <si>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</si>
  <si>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</si>
  <si>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</si>
  <si>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</si>
  <si>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</si>
  <si>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</si>
  <si>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</si>
  <si>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</si>
  <si>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</si>
  <si>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</si>
  <si>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</si>
  <si>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</si>
  <si>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</si>
  <si>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</si>
  <si>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</si>
  <si>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</si>
  <si>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</si>
  <si>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</si>
  <si>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</si>
  <si>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</si>
  <si>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</si>
  <si>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</si>
  <si>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</si>
  <si>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</si>
  <si>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</si>
  <si>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</si>
  <si>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</si>
  <si>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</si>
  <si>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</si>
  <si>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</si>
  <si>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</si>
  <si>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</si>
  <si>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</si>
  <si>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</si>
  <si>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</si>
  <si>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</si>
  <si>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</si>
  <si>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</si>
  <si>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</si>
  <si>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</si>
  <si>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</si>
  <si>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</si>
  <si>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</si>
  <si>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</si>
  <si>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</si>
  <si>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</si>
  <si>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</si>
  <si>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</si>
  <si>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</si>
  <si>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</si>
  <si>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</si>
  <si>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</si>
  <si>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</si>
  <si>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</si>
  <si>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</si>
  <si>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</si>
  <si>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</si>
  <si>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</si>
  <si>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</si>
  <si>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</si>
  <si>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</si>
  <si>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</si>
  <si>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</si>
  <si>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</si>
  <si>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</si>
  <si>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</si>
  <si>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</si>
  <si>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</si>
  <si>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</si>
  <si>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</si>
  <si>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</si>
  <si>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</si>
  <si>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</si>
  <si>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</si>
  <si>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</si>
  <si>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</si>
  <si>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</si>
  <si>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</si>
  <si>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</si>
  <si>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</si>
  <si>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</si>
  <si>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</si>
  <si>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</si>
  <si>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</si>
  <si>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</si>
  <si>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</si>
  <si>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</si>
  <si>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</si>
  <si>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</si>
  <si>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</si>
  <si>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</si>
  <si>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</si>
  <si>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</si>
  <si>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</si>
  <si>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</si>
  <si>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</si>
  <si>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</si>
  <si>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</si>
  <si>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</si>
  <si>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</si>
  <si>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</si>
  <si>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</si>
  <si>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</si>
  <si>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</si>
  <si>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</si>
  <si>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</si>
  <si>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</si>
  <si>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</si>
  <si>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</si>
  <si>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</si>
  <si>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</si>
  <si>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</si>
  <si>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</si>
  <si>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</si>
  <si>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</si>
  <si>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</si>
  <si>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</si>
  <si>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</si>
  <si>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</si>
  <si>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</si>
  <si>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</si>
  <si>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</si>
  <si>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</si>
  <si>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</si>
  <si>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</si>
  <si>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</si>
  <si>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</si>
  <si>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</si>
  <si>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</si>
  <si>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</si>
  <si>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</si>
  <si>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</si>
  <si>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</si>
  <si>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</si>
  <si>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</si>
  <si>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</si>
  <si>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</si>
  <si>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</si>
  <si>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</si>
  <si>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</si>
  <si>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</si>
  <si>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</si>
  <si>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</si>
  <si>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</si>
  <si>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</si>
  <si>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</si>
  <si>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</si>
  <si>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</si>
  <si>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</si>
  <si>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</si>
  <si>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</si>
  <si>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</si>
  <si>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</si>
  <si>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</si>
  <si>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</si>
  <si>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</si>
  <si>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</si>
  <si>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</si>
  <si>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</si>
  <si>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</si>
  <si>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</si>
  <si>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</si>
  <si>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</si>
  <si>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</si>
  <si>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</si>
  <si>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</si>
  <si>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</si>
  <si>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</si>
  <si>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</si>
  <si>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</si>
  <si>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</si>
  <si>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</si>
  <si>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</si>
  <si>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</si>
  <si>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</si>
  <si>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</si>
  <si>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</si>
  <si>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</si>
  <si>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</si>
  <si>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</si>
  <si>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</si>
  <si>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</si>
  <si>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</si>
  <si>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</si>
  <si>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</si>
  <si>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</si>
  <si>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</si>
  <si>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</si>
  <si>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</si>
  <si>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</si>
  <si>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</si>
  <si>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</si>
  <si>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</si>
  <si>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</si>
  <si>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</si>
  <si>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</si>
  <si>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</si>
  <si>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</si>
  <si>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</si>
  <si>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</si>
  <si>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</si>
  <si>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</si>
  <si>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</si>
  <si>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</si>
  <si>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</si>
  <si>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</si>
  <si>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</si>
  <si>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</si>
  <si>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</si>
  <si>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</si>
  <si>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</si>
  <si>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</si>
  <si>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</si>
  <si>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</si>
  <si>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</si>
  <si>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</si>
  <si>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</si>
  <si>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</si>
  <si>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</si>
  <si>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</si>
  <si>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</si>
  <si>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</si>
  <si>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</si>
  <si>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</si>
  <si>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</si>
  <si>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</si>
  <si>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</si>
  <si>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</si>
  <si>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</si>
  <si>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</si>
  <si>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</si>
  <si>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</si>
  <si>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</si>
  <si>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</si>
  <si>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</si>
  <si>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</si>
  <si>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</si>
  <si>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</si>
  <si>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</si>
  <si>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</si>
  <si>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</si>
  <si>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</si>
  <si>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</si>
  <si>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</si>
  <si>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</si>
  <si>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</si>
  <si>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</si>
  <si>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</si>
  <si>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</si>
  <si>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</si>
  <si>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</si>
  <si>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</si>
  <si>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</si>
  <si>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</si>
  <si>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</si>
  <si>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</si>
  <si>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</si>
  <si>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</si>
  <si>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</si>
  <si>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</si>
  <si>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</si>
  <si>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</si>
  <si>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</si>
  <si>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</si>
  <si>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</si>
  <si>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</si>
  <si>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</si>
  <si>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</si>
  <si>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</si>
  <si>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</si>
  <si>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</si>
  <si>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</si>
  <si>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</si>
  <si>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</si>
  <si>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</si>
  <si>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</si>
  <si>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</si>
  <si>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</si>
  <si>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</si>
  <si>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</si>
  <si>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</si>
  <si>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</si>
  <si>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</si>
  <si>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</si>
  <si>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</si>
  <si>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</si>
  <si>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</si>
  <si>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</si>
  <si>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</si>
  <si>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</si>
  <si>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</si>
  <si>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</si>
  <si>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</si>
  <si>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</si>
  <si>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</si>
  <si>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</si>
  <si>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</si>
  <si>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</si>
  <si>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</si>
  <si>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</si>
  <si>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</si>
  <si>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</si>
  <si>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</si>
  <si>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</si>
  <si>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</si>
  <si>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</si>
  <si>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</si>
  <si>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</si>
  <si>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</si>
  <si>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</si>
  <si>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</si>
  <si>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</si>
  <si>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</si>
  <si>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</si>
  <si>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</si>
  <si>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</si>
  <si>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</si>
  <si>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</si>
  <si>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</si>
  <si>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</si>
  <si>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</si>
  <si>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</si>
  <si>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</si>
  <si>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</si>
  <si>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</si>
  <si>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</si>
  <si>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</si>
  <si>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</si>
  <si>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</si>
  <si>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</si>
  <si>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</si>
  <si>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</si>
  <si>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</si>
  <si>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</si>
  <si>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</si>
  <si>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</si>
  <si>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</si>
  <si>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</si>
  <si>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</si>
  <si>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</si>
  <si>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</si>
  <si>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</si>
  <si>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</si>
  <si>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</si>
  <si>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</si>
  <si>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</si>
  <si>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</si>
  <si>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</si>
  <si>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</si>
  <si>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</si>
  <si>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</si>
  <si>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</si>
  <si>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</si>
  <si>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</si>
  <si>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</si>
  <si>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</si>
  <si>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</si>
  <si>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</si>
  <si>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</si>
  <si>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</si>
  <si>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</si>
  <si>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</si>
  <si>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</si>
  <si>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</si>
  <si>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</si>
  <si>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</si>
  <si>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</si>
  <si>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</si>
  <si>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</si>
  <si>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</si>
  <si>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</si>
  <si>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</si>
  <si>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</si>
  <si>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</si>
  <si>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</si>
  <si>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</si>
  <si>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</si>
  <si>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</si>
  <si>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</si>
  <si>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</si>
  <si>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</si>
  <si>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</si>
  <si>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</si>
  <si>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</si>
  <si>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</si>
  <si>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</si>
  <si>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</si>
  <si>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</si>
  <si>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</si>
  <si>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</si>
  <si>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</si>
  <si>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</si>
  <si>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</si>
  <si>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</si>
  <si>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</si>
  <si>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</si>
  <si>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</si>
  <si>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</si>
  <si>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</si>
  <si>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</si>
  <si>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</si>
  <si>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</si>
  <si>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</si>
  <si>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</si>
  <si>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</si>
  <si>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</si>
  <si>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</si>
  <si>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</si>
  <si>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</si>
  <si>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</si>
  <si>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</si>
  <si>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</si>
  <si>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</si>
  <si>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</si>
  <si>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</si>
  <si>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</si>
  <si>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</si>
  <si>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</si>
  <si>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</si>
  <si>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</si>
  <si>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</si>
  <si>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</si>
  <si>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</si>
  <si>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</si>
  <si>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</si>
  <si>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</si>
  <si>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</si>
  <si>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</si>
  <si>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</si>
  <si>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</si>
  <si>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</si>
  <si>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</si>
  <si>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</si>
  <si>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</si>
  <si>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</si>
  <si>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</si>
  <si>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</si>
  <si>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</si>
  <si>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</si>
  <si>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</si>
  <si>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</si>
  <si>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</si>
  <si>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</si>
  <si>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</si>
  <si>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</si>
  <si>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</si>
  <si>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</si>
  <si>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</si>
  <si>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</si>
  <si>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</si>
  <si>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</si>
  <si>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</si>
  <si>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</si>
  <si>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</si>
  <si>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</si>
  <si>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</si>
  <si>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</si>
  <si>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</si>
  <si>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</si>
  <si>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</si>
  <si>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</si>
  <si>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</si>
  <si>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</si>
  <si>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</si>
  <si>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</si>
  <si>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</si>
  <si>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</si>
  <si>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</si>
  <si>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</si>
  <si>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</si>
  <si>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</si>
  <si>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</si>
  <si>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</si>
  <si>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</si>
  <si>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</si>
  <si>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</si>
  <si>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</si>
  <si>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</si>
  <si>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</si>
  <si>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</si>
  <si>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</si>
  <si>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</si>
  <si>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</si>
  <si>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</si>
  <si>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</si>
  <si>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</si>
  <si>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</si>
  <si>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</si>
  <si>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</si>
  <si>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</si>
  <si>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</si>
  <si>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</si>
  <si>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</si>
  <si>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</si>
  <si>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</si>
  <si>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</si>
  <si>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</si>
  <si>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</si>
  <si>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</si>
  <si>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</si>
  <si>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</si>
  <si>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</si>
  <si>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</si>
  <si>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</si>
  <si>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</si>
  <si>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</si>
  <si>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</si>
  <si>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</si>
  <si>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</si>
  <si>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</si>
  <si>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</si>
  <si>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</si>
  <si>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</si>
  <si>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</si>
  <si>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</si>
  <si>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</si>
  <si>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</si>
  <si>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</si>
  <si>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</si>
  <si>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</si>
  <si>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</si>
  <si>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</si>
  <si>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</si>
  <si>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</si>
  <si>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</si>
  <si>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</si>
  <si>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</si>
  <si>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</si>
  <si>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</si>
  <si>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</si>
  <si>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</si>
  <si>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</si>
  <si>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</si>
  <si>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</si>
  <si>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</si>
  <si>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</si>
  <si>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</si>
  <si>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</si>
  <si>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</si>
  <si>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</si>
  <si>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</si>
  <si>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</si>
  <si>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</si>
  <si>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</si>
  <si>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</si>
  <si>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</si>
  <si>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</si>
  <si>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</si>
  <si>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</si>
  <si>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</si>
  <si>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</si>
  <si>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</si>
  <si>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</si>
  <si>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</si>
  <si>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</si>
  <si>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</si>
  <si>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</si>
  <si>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</si>
  <si>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</si>
  <si>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</si>
  <si>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</si>
  <si>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</si>
  <si>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</si>
  <si>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</si>
  <si>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</si>
  <si>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</si>
  <si>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</si>
  <si>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</si>
  <si>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</si>
  <si>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</si>
  <si>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</si>
  <si>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</si>
  <si>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</si>
  <si>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</si>
  <si>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</si>
  <si>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</si>
  <si>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</si>
  <si>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</si>
  <si>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</si>
  <si>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</si>
  <si>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</si>
  <si>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</si>
  <si>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</si>
  <si>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</si>
  <si>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</si>
  <si>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</si>
  <si>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</si>
  <si>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</si>
  <si>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</si>
  <si>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</si>
  <si>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</si>
  <si>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</si>
  <si>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</si>
  <si>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</si>
  <si>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</si>
  <si>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</si>
  <si>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</si>
  <si>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</si>
  <si>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</si>
  <si>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</si>
  <si>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</si>
  <si>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</si>
  <si>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</si>
  <si>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</si>
  <si>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</si>
  <si>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</si>
  <si>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</si>
  <si>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</si>
  <si>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</si>
  <si>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</si>
  <si>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</si>
  <si>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</si>
  <si>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</si>
  <si>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</si>
  <si>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</si>
  <si>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</si>
  <si>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</si>
  <si>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</si>
  <si>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</si>
  <si>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</si>
  <si>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t>五通</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</si>
  <si>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</si>
  <si>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</si>
  <si>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</si>
  <si>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</si>
  <si>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</si>
  <si>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t>商业街</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</si>
  <si>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</si>
  <si>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</si>
  <si>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</si>
  <si>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</si>
  <si>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</si>
  <si>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</si>
  <si>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</si>
  <si>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</si>
  <si>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</si>
  <si>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</si>
  <si>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</si>
  <si>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</si>
  <si>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</si>
  <si>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</si>
  <si>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</si>
  <si>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</si>
  <si>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</si>
  <si>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</si>
  <si>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</si>
  <si>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</si>
  <si>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</si>
  <si>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t>六通</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</si>
  <si>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</si>
  <si>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</si>
  <si>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</si>
  <si>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</si>
  <si>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</si>
  <si>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</si>
  <si>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</si>
  <si>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</si>
  <si>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</si>
  <si>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</si>
  <si>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</si>
  <si>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</si>
  <si>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</si>
  <si>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</si>
  <si>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</si>
  <si>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</si>
  <si>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</si>
  <si>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</si>
  <si>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</si>
  <si>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</si>
  <si>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</si>
  <si>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城市支路</t>
  </si>
  <si>
    <t>按租金收入计税</t>
  </si>
  <si>
    <t>商业街店铺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</si>
</sst>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 numFmtId="198"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286" fillId="0" borderId="2" xfId="16" applyFont="1" applyFill="1" applyBorder="1" applyAlignment="1">
      <alignment horizontal="center" vertical="center" wrapText="1"/>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178" fontId="285" fillId="2" borderId="10" xfId="16" applyNumberFormat="1" applyFont="1" applyFill="1" applyBorder="1" applyAlignment="1">
      <alignment horizontal="center" vertical="center"/>
    </xf>
    <xf numFmtId="178" fontId="285" fillId="20" borderId="10" xfId="16" applyNumberFormat="1" applyFont="1" applyFill="1" applyBorder="1" applyAlignment="1">
      <alignment horizontal="center" vertical="center" wrapText="1"/>
    </xf>
    <xf numFmtId="0" fontId="71" fillId="6" borderId="64"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protection locked="0"/>
    </xf>
    <xf numFmtId="0" fontId="71" fillId="6" borderId="5"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center" vertical="center" wrapText="1"/>
      <protection locked="0"/>
    </xf>
    <xf numFmtId="198" fontId="83" fillId="5" borderId="60" xfId="0" applyNumberFormat="1" applyFont="1" applyFill="1" applyBorder="1" applyAlignment="1" applyProtection="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5"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28.png"/><Relationship Id="rId16" Type="http://schemas.openxmlformats.org/officeDocument/2006/relationships/image" Target="../media/image49.png"/><Relationship Id="rId1" Type="http://schemas.openxmlformats.org/officeDocument/2006/relationships/image" Target="../media/image35.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675346</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K20">
            <v>3</v>
          </cell>
        </row>
        <row r="21">
          <cell r="B21">
            <v>5000</v>
          </cell>
          <cell r="C21">
            <v>0.25</v>
          </cell>
          <cell r="K21">
            <v>0.02</v>
          </cell>
        </row>
        <row r="22">
          <cell r="B22">
            <v>5000</v>
          </cell>
          <cell r="C22">
            <v>0.2</v>
          </cell>
          <cell r="K22">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根据《国有土地使用证》[]，估价对象（分摊）出让国有建设用地使用权面积为57209.51平方米。根据《建设工程规划许可证》[]、《出让合同》[]，估价对象规划建筑面积为726000平方米。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57209.51</v>
      </c>
    </row>
    <row r="44" spans="1:2">
      <c r="A44" s="2592" t="s">
        <v>2718</v>
      </c>
      <c r="B44" s="2593" t="str">
        <f>'预评函-2'!O3</f>
        <v>规划建筑面积/㎡</v>
      </c>
    </row>
    <row r="45" spans="1:2">
      <c r="A45" s="2592" t="s">
        <v>2700</v>
      </c>
      <c r="B45" s="2593">
        <f>'预评函-2'!O5</f>
        <v>726000</v>
      </c>
    </row>
    <row r="46" spans="1:2">
      <c r="A46" s="2592" t="s">
        <v>2701</v>
      </c>
      <c r="B46" s="2593">
        <f ca="1">'预评函-2'!P5</f>
        <v>69067</v>
      </c>
    </row>
    <row r="47" spans="1:2">
      <c r="A47" s="2592" t="s">
        <v>2702</v>
      </c>
      <c r="B47" s="2593">
        <f ca="1">'预评函-2'!Q5</f>
        <v>5443</v>
      </c>
    </row>
    <row r="48" spans="1:2">
      <c r="A48" s="2592" t="s">
        <v>2703</v>
      </c>
      <c r="B48" s="2593">
        <f ca="1">'预评函-2'!R5</f>
        <v>395127</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37" t="str">
        <f>IF(B10="北京市","北京市",C10)&amp;F10&amp;B16&amp;"国有建设用地使用权"&amp;B9&amp;"预评估"</f>
        <v>北京市储备国有建设用地使用权预评估</v>
      </c>
      <c r="C1" s="3838"/>
      <c r="D1" s="3838"/>
      <c r="E1" s="3838"/>
      <c r="F1" s="3838"/>
      <c r="G1" s="3838"/>
      <c r="H1" s="3838"/>
      <c r="I1" s="3839"/>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43"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44"/>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40"/>
      <c r="C12" s="3841"/>
      <c r="D12" s="3842"/>
      <c r="E12" s="1618" t="s">
        <v>2047</v>
      </c>
      <c r="F12" s="3858" t="s">
        <v>2866</v>
      </c>
      <c r="G12" s="3859"/>
      <c r="H12" s="3859"/>
      <c r="I12" s="3860"/>
      <c r="J12" s="3062"/>
      <c r="K12" s="3045"/>
      <c r="L12" s="3041"/>
      <c r="M12" s="3041"/>
      <c r="N12" s="3042"/>
      <c r="O12" s="3043"/>
      <c r="P12" s="3042"/>
      <c r="Q12" s="3042"/>
      <c r="R12" s="3042"/>
      <c r="S12" s="3042"/>
      <c r="T12" s="3042"/>
      <c r="U12" s="3042"/>
    </row>
    <row r="13" spans="1:21">
      <c r="A13" s="1609" t="s">
        <v>2045</v>
      </c>
      <c r="B13" s="3840"/>
      <c r="C13" s="3841"/>
      <c r="D13" s="3842"/>
      <c r="E13" s="1618" t="s">
        <v>2047</v>
      </c>
      <c r="F13" s="3858" t="s">
        <v>2867</v>
      </c>
      <c r="G13" s="3859"/>
      <c r="H13" s="3859"/>
      <c r="I13" s="3860"/>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3174</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55"/>
      <c r="E20" s="3856"/>
      <c r="F20" s="3856"/>
      <c r="G20" s="3856"/>
      <c r="H20" s="3856"/>
      <c r="I20" s="3857"/>
      <c r="J20" s="3062"/>
      <c r="K20" s="3045"/>
      <c r="L20" s="3041"/>
      <c r="M20" s="3041"/>
      <c r="N20" s="3042"/>
      <c r="O20" s="3043"/>
      <c r="P20" s="3042"/>
      <c r="Q20" s="3042"/>
      <c r="R20" s="3042"/>
      <c r="S20" s="3042"/>
      <c r="T20" s="3042"/>
      <c r="U20" s="3042"/>
    </row>
    <row r="21" spans="1:21">
      <c r="A21" s="1677" t="s">
        <v>1944</v>
      </c>
      <c r="B21" s="1678" t="s">
        <v>1945</v>
      </c>
      <c r="C21" s="1673">
        <f>'数据-汇总表'!E3</f>
        <v>726000</v>
      </c>
      <c r="D21" s="1674" t="s">
        <v>1946</v>
      </c>
      <c r="E21" s="3845" t="s">
        <v>1984</v>
      </c>
      <c r="F21" s="3846"/>
      <c r="G21" s="3846"/>
      <c r="H21" s="3846"/>
      <c r="I21" s="3847"/>
      <c r="J21" s="3062"/>
      <c r="K21" s="3045"/>
      <c r="L21" s="3041"/>
      <c r="M21" s="3041"/>
      <c r="N21" s="3042"/>
      <c r="O21" s="3043"/>
      <c r="P21" s="3042"/>
      <c r="Q21" s="3042"/>
      <c r="R21" s="3042"/>
      <c r="S21" s="3042"/>
      <c r="T21" s="3042"/>
      <c r="U21" s="3042"/>
    </row>
    <row r="22" spans="1:21">
      <c r="A22" s="2799" t="s">
        <v>941</v>
      </c>
      <c r="B22" s="1586" t="s">
        <v>1947</v>
      </c>
      <c r="C22" s="1608">
        <f>'数据-汇总表'!D3</f>
        <v>57209.51</v>
      </c>
      <c r="D22" s="1609" t="s">
        <v>1946</v>
      </c>
      <c r="E22" s="3845" t="s">
        <v>2868</v>
      </c>
      <c r="F22" s="3846"/>
      <c r="G22" s="3846"/>
      <c r="H22" s="3846"/>
      <c r="I22" s="3847"/>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48" t="s">
        <v>1952</v>
      </c>
      <c r="C24" s="3849"/>
      <c r="D24" s="3850" t="s">
        <v>1953</v>
      </c>
      <c r="E24" s="3851"/>
      <c r="F24" s="1626" t="s">
        <v>1954</v>
      </c>
      <c r="G24" s="3062"/>
      <c r="H24" s="3062"/>
      <c r="I24" s="3066"/>
      <c r="J24" s="3062"/>
      <c r="K24" s="3836"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36"/>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36"/>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22" t="s">
        <v>1987</v>
      </c>
      <c r="B31" s="1678" t="s">
        <v>1988</v>
      </c>
      <c r="C31" s="3861"/>
      <c r="D31" s="3862"/>
      <c r="E31" s="3062"/>
      <c r="F31" s="3062"/>
      <c r="G31" s="3062"/>
      <c r="H31" s="3062"/>
      <c r="I31" s="3066"/>
      <c r="J31" s="3062"/>
      <c r="K31" s="3048"/>
      <c r="L31" s="3042"/>
      <c r="M31" s="3042"/>
      <c r="N31" s="3042"/>
      <c r="O31" s="3042"/>
      <c r="P31" s="3042"/>
      <c r="Q31" s="3042"/>
      <c r="R31" s="3042"/>
      <c r="S31" s="3042"/>
      <c r="T31" s="3042"/>
      <c r="U31" s="3042"/>
    </row>
    <row r="32" spans="1:21">
      <c r="A32" s="3822"/>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22"/>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23"/>
      <c r="B34" s="1586" t="s">
        <v>1991</v>
      </c>
      <c r="C34" s="3824"/>
      <c r="D34" s="3825"/>
      <c r="E34" s="3062"/>
      <c r="F34" s="3062"/>
      <c r="G34" s="3062"/>
      <c r="H34" s="3062"/>
      <c r="I34" s="3066"/>
      <c r="J34" s="3062"/>
      <c r="K34" s="3048"/>
      <c r="L34" s="3042"/>
      <c r="M34" s="3042"/>
      <c r="N34" s="3042"/>
      <c r="O34" s="3042"/>
      <c r="P34" s="3042"/>
      <c r="Q34" s="3042"/>
      <c r="R34" s="3042"/>
      <c r="S34" s="3042"/>
      <c r="T34" s="3042"/>
      <c r="U34" s="3042"/>
    </row>
    <row r="35" spans="1:28">
      <c r="A35" s="3826" t="s">
        <v>837</v>
      </c>
      <c r="B35" s="1640"/>
      <c r="C35" s="1687" t="str">
        <f>IF(B35="场地平整","——","具体情况：")</f>
        <v>具体情况：</v>
      </c>
      <c r="D35" s="3828"/>
      <c r="E35" s="3829"/>
      <c r="F35" s="3829"/>
      <c r="G35" s="3829"/>
      <c r="H35" s="3829"/>
      <c r="I35" s="3830"/>
      <c r="J35" s="3062"/>
      <c r="K35" s="3049"/>
      <c r="L35" s="3041"/>
      <c r="M35" s="3041"/>
      <c r="N35" s="3042"/>
      <c r="O35" s="3043"/>
      <c r="P35" s="3042"/>
      <c r="Q35" s="3042"/>
      <c r="R35" s="3042"/>
      <c r="S35" s="3042"/>
      <c r="T35" s="3042"/>
      <c r="U35" s="3042"/>
    </row>
    <row r="36" spans="1:28">
      <c r="A36" s="3822"/>
      <c r="B36" s="3831" t="s">
        <v>2040</v>
      </c>
      <c r="C36" s="3832"/>
      <c r="D36" s="1703"/>
      <c r="E36" s="3833"/>
      <c r="F36" s="3833"/>
      <c r="G36" s="1609" t="str">
        <f>IF(B35="场地未平整","估价结果处理","")</f>
        <v/>
      </c>
      <c r="H36" s="3834"/>
      <c r="I36" s="3834"/>
      <c r="J36" s="3062"/>
      <c r="K36" s="3049"/>
      <c r="L36" s="3041"/>
      <c r="M36" s="3041"/>
      <c r="N36" s="3042"/>
      <c r="O36" s="3043"/>
      <c r="P36" s="3042"/>
      <c r="Q36" s="3042"/>
      <c r="R36" s="3042"/>
      <c r="S36" s="3042"/>
      <c r="T36" s="3042"/>
      <c r="U36" s="3042"/>
    </row>
    <row r="37" spans="1:28" ht="28.5">
      <c r="A37" s="3822"/>
      <c r="B37" s="3852"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22"/>
      <c r="B38" s="3853"/>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23"/>
      <c r="B39" s="3854"/>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35" t="s">
        <v>1971</v>
      </c>
      <c r="T40" s="1649" t="str">
        <f>NUMBERSTRING(7-K40,1)&amp;"通"</f>
        <v>七通</v>
      </c>
      <c r="U40" s="3042"/>
    </row>
    <row r="41" spans="1:28">
      <c r="A41" s="1588"/>
      <c r="B41" s="3827" t="s">
        <v>1709</v>
      </c>
      <c r="C41" s="3827"/>
      <c r="D41" s="3827"/>
      <c r="E41" s="3827"/>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35"/>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57209.51</v>
      </c>
      <c r="B3" s="21">
        <f>IF(C3="否",G5-AT5,G5)</f>
        <v>726000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726000</v>
      </c>
      <c r="H5" s="26">
        <f t="shared" ref="H5:AT5" si="0">SUM(H13:H641)</f>
        <v>726000</v>
      </c>
      <c r="I5" s="26">
        <f t="shared" si="0"/>
        <v>0</v>
      </c>
      <c r="J5" s="26">
        <f t="shared" si="0"/>
        <v>0</v>
      </c>
      <c r="K5" s="26">
        <f t="shared" si="0"/>
        <v>363000</v>
      </c>
      <c r="L5" s="26">
        <f t="shared" si="0"/>
        <v>0</v>
      </c>
      <c r="M5" s="26">
        <f t="shared" si="0"/>
        <v>363000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726000</v>
      </c>
      <c r="BA5" s="28">
        <f t="shared" si="1"/>
        <v>726000</v>
      </c>
      <c r="BB5" s="28">
        <f t="shared" si="1"/>
        <v>0</v>
      </c>
      <c r="BC5" s="28">
        <f t="shared" si="1"/>
        <v>363000</v>
      </c>
      <c r="BD5" s="28">
        <f t="shared" si="1"/>
        <v>363000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57209.52</v>
      </c>
      <c r="F6" s="26" t="s">
        <v>1</v>
      </c>
      <c r="G6" s="26" t="s">
        <v>2</v>
      </c>
      <c r="H6" s="32">
        <f>SUMIF(I$12:AB$12,"总值",I6:AB6)</f>
        <v>57209.52</v>
      </c>
      <c r="I6" s="26">
        <f t="shared" ref="I6:AB6" si="2">ROUND($A$3*I5/$B$3,2)</f>
        <v>0</v>
      </c>
      <c r="J6" s="26">
        <f t="shared" si="2"/>
        <v>0</v>
      </c>
      <c r="K6" s="26">
        <f t="shared" si="2"/>
        <v>28604.76</v>
      </c>
      <c r="L6" s="26">
        <f t="shared" si="2"/>
        <v>0</v>
      </c>
      <c r="M6" s="26">
        <f t="shared" si="2"/>
        <v>28604.76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57209.51</v>
      </c>
      <c r="AZ6" s="26" t="s">
        <v>3</v>
      </c>
      <c r="BA6" s="26">
        <f>ROUND($AY$6*BA5/$AZ$5,2)</f>
        <v>57209.51</v>
      </c>
      <c r="BB6" s="26">
        <f>ROUND($AY$6*BB5/$AZ$5,2)</f>
        <v>0</v>
      </c>
      <c r="BC6" s="26">
        <f t="shared" ref="BC6:BH6" si="4">ROUND($AY$6*BC5/$AZ$5,2)</f>
        <v>28604.76</v>
      </c>
      <c r="BD6" s="26">
        <f t="shared" si="4"/>
        <v>28604.76</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57209.51</v>
      </c>
      <c r="F13" s="80"/>
      <c r="G13" s="81">
        <f t="shared" ref="G13:G20" si="7">H13+AC13+AT13</f>
        <v>726000</v>
      </c>
      <c r="H13" s="32">
        <f t="shared" ref="H13:H20" si="8">SUMIF(I$12:AB$12,"总值",I13:AB13)</f>
        <v>726000</v>
      </c>
      <c r="I13" s="3323"/>
      <c r="J13" s="2728"/>
      <c r="K13" s="3323">
        <v>363000</v>
      </c>
      <c r="L13" s="3323"/>
      <c r="M13" s="3323">
        <f>K13</f>
        <v>363000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57209.51</v>
      </c>
      <c r="AZ13" s="26">
        <f t="shared" ref="AZ13:AZ20" si="11">BA13+BL13</f>
        <v>726000</v>
      </c>
      <c r="BA13" s="26">
        <f t="shared" ref="BA13:BA20" si="12">SUM(BB13:BK13)</f>
        <v>726000</v>
      </c>
      <c r="BB13" s="26">
        <f t="shared" ref="BB13:BB20" si="13">IF($D13="是",I13-J13,0)</f>
        <v>0</v>
      </c>
      <c r="BC13" s="26">
        <f t="shared" ref="BC13:BC20" si="14">IF($D13="是",K13-L13,0)</f>
        <v>363000</v>
      </c>
      <c r="BD13" s="26">
        <f t="shared" ref="BD13:BD20" si="15">IF($D13="是",M13-N13,0)</f>
        <v>363000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3151</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3151</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3" t="s">
        <v>0</v>
      </c>
      <c r="B1" s="3863" t="s">
        <v>4</v>
      </c>
      <c r="C1" s="3863" t="s">
        <v>5</v>
      </c>
      <c r="D1" s="3864" t="s">
        <v>40</v>
      </c>
      <c r="E1" s="3864" t="s">
        <v>41</v>
      </c>
      <c r="F1" s="3864"/>
      <c r="G1" s="3864"/>
      <c r="H1" s="3864"/>
      <c r="I1" s="3864"/>
      <c r="J1" s="3864"/>
      <c r="K1" s="3864"/>
      <c r="L1" s="3864"/>
      <c r="M1" s="3864"/>
    </row>
    <row r="2" spans="1:13" ht="27" customHeight="1">
      <c r="A2" s="3863"/>
      <c r="B2" s="3863"/>
      <c r="C2" s="3863"/>
      <c r="D2" s="3864"/>
      <c r="E2" s="3864" t="s">
        <v>24</v>
      </c>
      <c r="F2" s="3864" t="s">
        <v>25</v>
      </c>
      <c r="G2" s="3864"/>
      <c r="H2" s="3864"/>
      <c r="I2" s="3864"/>
      <c r="J2" s="3864" t="s">
        <v>26</v>
      </c>
      <c r="K2" s="3864"/>
      <c r="L2" s="3864"/>
      <c r="M2" s="3864"/>
    </row>
    <row r="3" spans="1:13" ht="28.5">
      <c r="A3" s="3863"/>
      <c r="B3" s="3863"/>
      <c r="C3" s="3863"/>
      <c r="D3" s="3864"/>
      <c r="E3" s="38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4" t="s">
        <v>42</v>
      </c>
      <c r="B9" s="3864"/>
      <c r="C9" s="38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4" t="s">
        <v>201</v>
      </c>
      <c r="B2" s="3874"/>
      <c r="C2" s="3874"/>
      <c r="D2" s="1886" t="s">
        <v>202</v>
      </c>
      <c r="E2" s="105" t="s">
        <v>203</v>
      </c>
      <c r="F2" s="3071"/>
      <c r="G2" s="1179"/>
      <c r="H2" s="1180"/>
      <c r="I2" s="1181" t="s">
        <v>847</v>
      </c>
      <c r="J2" s="3071"/>
      <c r="K2" s="3071"/>
      <c r="L2" s="3071"/>
      <c r="M2" s="3071"/>
      <c r="N2" s="3071"/>
      <c r="O2" s="3071"/>
      <c r="P2" s="3071"/>
    </row>
    <row r="3" spans="1:16" ht="15.75" thickBot="1">
      <c r="A3" s="3875" t="s">
        <v>204</v>
      </c>
      <c r="B3" s="3875"/>
      <c r="C3" s="3875"/>
      <c r="D3" s="3365">
        <f>'数据-基础表'!AY6</f>
        <v>57209.51</v>
      </c>
      <c r="E3" s="106">
        <f>'数据-基础表'!AZ5</f>
        <v>726000</v>
      </c>
      <c r="F3" s="3071"/>
      <c r="G3" s="276" t="s">
        <v>848</v>
      </c>
      <c r="H3" s="271" t="s">
        <v>849</v>
      </c>
      <c r="I3" s="1887">
        <f>ROUND('数据-基础表'!B3/'数据-基础表'!A3,2)</f>
        <v>12.69</v>
      </c>
      <c r="J3" s="3071"/>
      <c r="K3" s="3071"/>
      <c r="L3" s="3071"/>
      <c r="M3" s="3071"/>
      <c r="N3" s="3071"/>
      <c r="O3" s="3071"/>
      <c r="P3" s="3071"/>
    </row>
    <row r="4" spans="1:16" ht="15">
      <c r="A4" s="3876"/>
      <c r="B4" s="3877"/>
      <c r="C4" s="3878"/>
      <c r="D4" s="107" t="s">
        <v>202</v>
      </c>
      <c r="E4" s="108" t="s">
        <v>203</v>
      </c>
      <c r="F4" s="3071"/>
      <c r="G4" s="1182"/>
      <c r="H4" s="271" t="s">
        <v>850</v>
      </c>
      <c r="I4" s="1887">
        <f>ROUND(SUMIF('数据-基础表'!I9:AS9,"地上",'数据-基础表'!I5:AS5)/'数据-基础表'!A3,2)</f>
        <v>12.69</v>
      </c>
      <c r="J4" s="3071"/>
      <c r="K4" s="3071"/>
      <c r="L4" s="3071"/>
      <c r="M4" s="3071"/>
      <c r="N4" s="3071"/>
      <c r="O4" s="3071"/>
      <c r="P4" s="3071"/>
    </row>
    <row r="5" spans="1:16">
      <c r="A5" s="109" t="s">
        <v>205</v>
      </c>
      <c r="B5" s="3879" t="s">
        <v>228</v>
      </c>
      <c r="C5" s="3879"/>
      <c r="D5" s="110">
        <f>ROUND($D$3*E5/$E$3,2)</f>
        <v>0</v>
      </c>
      <c r="E5" s="111">
        <f>SUMIF('数据-基础表'!$11:$11,"住宅",'数据-基础表'!$5:$5)</f>
        <v>0</v>
      </c>
      <c r="F5" s="3071"/>
      <c r="G5" s="276" t="s">
        <v>851</v>
      </c>
      <c r="H5" s="271" t="s">
        <v>849</v>
      </c>
      <c r="I5" s="1887">
        <f>ROUND(E31/D31,2)</f>
        <v>12.69</v>
      </c>
      <c r="J5" s="3071"/>
      <c r="K5" s="3071"/>
      <c r="L5" s="3071"/>
      <c r="M5" s="3071"/>
      <c r="N5" s="3071"/>
      <c r="O5" s="3071"/>
      <c r="P5" s="3071"/>
    </row>
    <row r="6" spans="1:16" ht="15" thickBot="1">
      <c r="A6" s="112"/>
      <c r="B6" s="3879" t="s">
        <v>206</v>
      </c>
      <c r="C6" s="3879"/>
      <c r="D6" s="110">
        <f>ROUND($D$3*E6/$E$3,2)</f>
        <v>57209.51</v>
      </c>
      <c r="E6" s="111">
        <f>E3-E5</f>
        <v>726000</v>
      </c>
      <c r="F6" s="3071"/>
      <c r="G6" s="1182"/>
      <c r="H6" s="271" t="s">
        <v>850</v>
      </c>
      <c r="I6" s="1887">
        <f>ROUND(F31/D31,2)</f>
        <v>12.69</v>
      </c>
      <c r="J6" s="3071"/>
      <c r="K6" s="3071"/>
      <c r="L6" s="3071"/>
      <c r="M6" s="3071"/>
      <c r="N6" s="3071"/>
      <c r="O6" s="3071"/>
      <c r="P6" s="3071"/>
    </row>
    <row r="7" spans="1:16" ht="15">
      <c r="A7" s="3871"/>
      <c r="B7" s="3872"/>
      <c r="C7" s="3873"/>
      <c r="D7" s="107" t="s">
        <v>202</v>
      </c>
      <c r="E7" s="113" t="s">
        <v>229</v>
      </c>
      <c r="F7" s="3071"/>
      <c r="G7" s="1137" t="s">
        <v>1633</v>
      </c>
      <c r="H7" s="1138"/>
      <c r="I7" s="1757">
        <f>ROUND(F20/D3,2)</f>
        <v>6.35</v>
      </c>
      <c r="J7" s="3071"/>
      <c r="K7" s="3071"/>
      <c r="L7" s="3071"/>
      <c r="M7" s="3071"/>
      <c r="N7" s="3071"/>
      <c r="O7" s="3071"/>
      <c r="P7" s="3071"/>
    </row>
    <row r="8" spans="1:16">
      <c r="A8" s="109" t="s">
        <v>207</v>
      </c>
      <c r="B8" s="114" t="s">
        <v>208</v>
      </c>
      <c r="C8" s="110" t="s">
        <v>209</v>
      </c>
      <c r="D8" s="110">
        <f t="shared" ref="D8:D15" si="0">ROUND($D$3*E8/$E$3,2)</f>
        <v>57209.51</v>
      </c>
      <c r="E8" s="115">
        <f>SUMIF('数据-基础表'!BB10:BK10,"地上",'数据-基础表'!BB5:BK5)</f>
        <v>726000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57209.51</v>
      </c>
      <c r="E16" s="119">
        <f>SUM(E8:E15)</f>
        <v>726000</v>
      </c>
      <c r="F16" s="3071"/>
      <c r="G16" s="3072"/>
      <c r="H16" s="954" t="s">
        <v>217</v>
      </c>
      <c r="I16" s="955"/>
      <c r="J16" s="1895"/>
      <c r="K16" s="3865" t="s">
        <v>2545</v>
      </c>
      <c r="L16" s="3866"/>
      <c r="M16" s="3866"/>
      <c r="N16" s="3866"/>
      <c r="O16" s="3866"/>
      <c r="P16" s="3867"/>
    </row>
    <row r="17" spans="1:19" ht="15">
      <c r="A17" s="120" t="s">
        <v>214</v>
      </c>
      <c r="B17" s="121" t="s">
        <v>215</v>
      </c>
      <c r="C17" s="2175" t="s">
        <v>2298</v>
      </c>
      <c r="D17" s="107" t="s">
        <v>202</v>
      </c>
      <c r="E17" s="123" t="s">
        <v>203</v>
      </c>
      <c r="F17" s="124"/>
      <c r="G17" s="1317"/>
      <c r="H17" s="956" t="s">
        <v>216</v>
      </c>
      <c r="I17" s="957" t="s">
        <v>2297</v>
      </c>
      <c r="J17" s="1895"/>
      <c r="K17" s="3868" t="s">
        <v>2546</v>
      </c>
      <c r="L17" s="3869"/>
      <c r="M17" s="3870"/>
      <c r="N17" s="3868" t="s">
        <v>2547</v>
      </c>
      <c r="O17" s="3869"/>
      <c r="P17" s="3870"/>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24">
        <f>'数据-基础表'!I14+'数据-基础表'!I15</f>
        <v>0</v>
      </c>
      <c r="G19" s="3074"/>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28604.76</v>
      </c>
      <c r="E20" s="133">
        <f t="shared" si="2"/>
        <v>363000</v>
      </c>
      <c r="F20" s="3073">
        <f>'数据-基础表'!K5</f>
        <v>363000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28604.76</v>
      </c>
      <c r="S20" s="2178">
        <f t="shared" si="5"/>
        <v>363000</v>
      </c>
    </row>
    <row r="21" spans="1:19">
      <c r="A21" s="136"/>
      <c r="B21" s="114" t="s">
        <v>224</v>
      </c>
      <c r="C21" s="2735" t="s">
        <v>3060</v>
      </c>
      <c r="D21" s="110">
        <f t="shared" si="1"/>
        <v>28604.76</v>
      </c>
      <c r="E21" s="133">
        <f t="shared" si="2"/>
        <v>363000</v>
      </c>
      <c r="F21" s="3073">
        <f>F20</f>
        <v>363000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28604.76</v>
      </c>
      <c r="S21" s="2178">
        <f t="shared" si="5"/>
        <v>363000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57209.52</v>
      </c>
      <c r="E27" s="140">
        <f>IF(SUM(E19:E26)='数据-基础表'!BA5,SUM(E19:E26),IF(F27="地上面积有误","面积有误","地下面积有误"))</f>
        <v>726000</v>
      </c>
      <c r="F27" s="133">
        <f>IF(SUM(F19:F26)=E8,SUM(F19:F26),"地上面积有误")</f>
        <v>726000</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57209.52</v>
      </c>
      <c r="E31" s="1321">
        <f>E27+E30</f>
        <v>726000</v>
      </c>
      <c r="F31" s="1322">
        <f>F27+F30</f>
        <v>726000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K9" sqref="AK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c r="M6" s="174">
        <f t="shared" ref="M6:M14" si="0">ROUND(K6*L6/10000,0)</f>
        <v>0</v>
      </c>
      <c r="N6" s="2738">
        <v>0</v>
      </c>
      <c r="O6" s="174">
        <f>IF($N$5="成新度","——",ROUND(M6*N6,0))</f>
        <v>0</v>
      </c>
      <c r="P6" s="175">
        <f>IF($N$5="成新度","——",M6-O6)</f>
        <v>0</v>
      </c>
      <c r="Q6" s="2739"/>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0.05</v>
      </c>
      <c r="J7" s="173"/>
      <c r="K7" s="176">
        <f>SUMIF('数据-汇总表'!C$19:C$33,'数据-取费表'!A7,'数据-汇总表'!E$19:E$33)</f>
        <v>363000</v>
      </c>
      <c r="L7" s="2737">
        <f>'[2]4个单元汇总表'!$B$21</f>
        <v>5000</v>
      </c>
      <c r="M7" s="174">
        <f t="shared" si="0"/>
        <v>181500</v>
      </c>
      <c r="N7" s="2738">
        <v>0</v>
      </c>
      <c r="O7" s="174">
        <f t="shared" ref="O7:O14" si="3">IF($N$5="成新度","——",ROUND(M7*N7,0))</f>
        <v>0</v>
      </c>
      <c r="P7" s="175">
        <f t="shared" ref="P7:P14" si="4">IF($N$5="成新度","——",M7-O7)</f>
        <v>181500</v>
      </c>
      <c r="Q7" s="2739">
        <f>'[2]4个单元汇总表'!$C$21</f>
        <v>0.25</v>
      </c>
      <c r="R7" s="176">
        <f>SUMIF('数据-汇总表'!C$19:C$33,A7,'数据-汇总表'!R$19:R$33)</f>
        <v>28604.76</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ROUND('不动产比较法-商业租金'!C48,1)</f>
        <v>6.9</v>
      </c>
      <c r="V7" s="178">
        <v>0</v>
      </c>
      <c r="W7" s="178">
        <v>0.12</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1">
        <v>2.5000000000000001E-2</v>
      </c>
      <c r="AL7" s="3382">
        <v>3.0000000000000001E-3</v>
      </c>
      <c r="AM7" s="3383">
        <v>0.03</v>
      </c>
      <c r="AN7" s="2244" t="s">
        <v>3077</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363000</v>
      </c>
      <c r="L8" s="3372">
        <f>'[2]4个单元汇总表'!$B$22</f>
        <v>5000</v>
      </c>
      <c r="M8" s="174">
        <f>ROUND(K8*L8/10000,0)</f>
        <v>181500</v>
      </c>
      <c r="N8" s="2738">
        <v>0</v>
      </c>
      <c r="O8" s="174">
        <f t="shared" si="3"/>
        <v>0</v>
      </c>
      <c r="P8" s="175">
        <f t="shared" si="4"/>
        <v>181500</v>
      </c>
      <c r="Q8" s="2739">
        <f>'[2]4个单元汇总表'!$C$22</f>
        <v>0.2</v>
      </c>
      <c r="R8" s="176">
        <f>SUMIF('数据-汇总表'!C$19:C$33,A8,'数据-汇总表'!R$19:R$33)</f>
        <v>28604.76</v>
      </c>
      <c r="S8" s="131">
        <f>IF('数据-汇总表'!$I$17="按面积比例",SUMIF('数据-汇总表'!C$19:C$33,A8,'数据-汇总表'!K$19:K$33),SUMIF('数据-汇总表'!C$19:C$33,A8,'数据-汇总表'!N$19:N$33))</f>
        <v>0</v>
      </c>
      <c r="T8" s="2111" t="str">
        <f t="shared" si="5"/>
        <v>0</v>
      </c>
      <c r="U8" s="177">
        <f>'不动产比较法-办公租金'!C50</f>
        <v>3.9</v>
      </c>
      <c r="V8" s="178">
        <v>0</v>
      </c>
      <c r="W8" s="3384">
        <v>0.05</v>
      </c>
      <c r="X8" s="2198"/>
      <c r="Y8" s="179">
        <v>1</v>
      </c>
      <c r="Z8" s="180"/>
      <c r="AA8" s="173"/>
      <c r="AB8" s="173"/>
      <c r="AC8" s="2201"/>
      <c r="AD8" s="181"/>
      <c r="AE8" s="958">
        <f t="shared" ca="1" si="6"/>
        <v>50</v>
      </c>
      <c r="AF8" s="138"/>
      <c r="AG8" s="1194">
        <f t="shared" si="7"/>
        <v>0</v>
      </c>
      <c r="AH8" s="138"/>
      <c r="AI8" s="184">
        <v>365</v>
      </c>
      <c r="AJ8" s="185"/>
      <c r="AK8" s="3381">
        <v>1.2E-2</v>
      </c>
      <c r="AL8" s="3382">
        <v>1E-3</v>
      </c>
      <c r="AM8" s="3383">
        <v>0.01</v>
      </c>
      <c r="AN8" s="2244" t="s">
        <v>3079</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1"/>
      <c r="AL9" s="3382"/>
      <c r="AM9" s="3383"/>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726000</v>
      </c>
      <c r="L16" s="203">
        <f>ROUND(M16*10000/SUM(K6:K14),0)</f>
        <v>5000</v>
      </c>
      <c r="M16" s="203">
        <f>SUM(M6:M14)</f>
        <v>363000</v>
      </c>
      <c r="N16" s="204">
        <f>ROUND(SUMPRODUCT(M6:M14,N6:N14)/M16,3)</f>
        <v>0</v>
      </c>
      <c r="O16" s="203">
        <f>SUM(O6:O14)</f>
        <v>0</v>
      </c>
      <c r="P16" s="203">
        <f>SUM(P6:P14)</f>
        <v>363000</v>
      </c>
      <c r="Q16" s="205">
        <f>ROUND(SUMPRODUCT(Q6:Q13,K6:K13)/SUMPRODUCT((Q6:Q13&gt;0)*(K6:K13)),2)</f>
        <v>0.23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8">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7">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0" t="s">
        <v>1651</v>
      </c>
      <c r="B1" s="3881"/>
      <c r="C1" s="3881"/>
      <c r="D1" s="3881"/>
      <c r="E1" s="3881"/>
      <c r="F1" s="3881"/>
      <c r="G1" s="3881"/>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3163</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3164</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3159</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3162</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3161</v>
      </c>
      <c r="D8" s="3124"/>
      <c r="E8" s="3124"/>
      <c r="F8" s="3128"/>
      <c r="G8" s="3128"/>
      <c r="H8" s="3112"/>
      <c r="I8" s="3112"/>
      <c r="J8" s="3112"/>
      <c r="K8" s="3112"/>
      <c r="L8" s="3112"/>
      <c r="M8" s="3112"/>
      <c r="N8" s="3112"/>
      <c r="O8" s="3112"/>
      <c r="P8" s="3112"/>
      <c r="Q8" s="3112"/>
      <c r="R8" s="3112"/>
    </row>
    <row r="9" spans="1:18" ht="81">
      <c r="A9" s="3117"/>
      <c r="B9" s="3120" t="s">
        <v>1644</v>
      </c>
      <c r="C9" s="3362" t="s">
        <v>3160</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3165</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726000</v>
      </c>
      <c r="C1" s="3181"/>
      <c r="D1" s="3181"/>
      <c r="E1" s="3181"/>
      <c r="F1" s="3181"/>
      <c r="G1" s="3182"/>
      <c r="H1" s="3182"/>
      <c r="I1" s="3182"/>
      <c r="J1" s="3182"/>
    </row>
    <row r="2" spans="1:10" ht="16.5">
      <c r="A2" s="3172" t="s">
        <v>2822</v>
      </c>
      <c r="B2" s="3172">
        <f>SUM(C14:C23)</f>
        <v>57209.51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395127</v>
      </c>
      <c r="C5" s="3172">
        <f ca="1">ROUND(B5*10000/$B$1,0)</f>
        <v>5443</v>
      </c>
      <c r="D5" s="3172">
        <f ca="1">ROUND(B5*10000/$B$2,0)</f>
        <v>69067</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726000</v>
      </c>
      <c r="C14" s="3178">
        <f>结果表!K38</f>
        <v>57209.51</v>
      </c>
      <c r="D14" s="3178">
        <f ca="1">结果表!C42</f>
        <v>395127</v>
      </c>
      <c r="E14" s="3178">
        <f ca="1">ROUND(D14*10000/B14,0)</f>
        <v>5443</v>
      </c>
      <c r="F14" s="3178">
        <f ca="1">ROUND(D14*10000/C14,0)</f>
        <v>69067</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82" t="s">
        <v>3074</v>
      </c>
      <c r="B1" s="3882"/>
      <c r="C1" s="3882"/>
      <c r="D1" s="3882"/>
    </row>
    <row r="2" spans="1:4" ht="28.5">
      <c r="A2" s="3320"/>
      <c r="B2" s="3320" t="s">
        <v>3041</v>
      </c>
      <c r="C2" s="3320" t="s">
        <v>3042</v>
      </c>
      <c r="D2" s="3320" t="s">
        <v>3043</v>
      </c>
    </row>
    <row r="3" spans="1:4" ht="39" customHeight="1">
      <c r="A3" s="3320" t="s">
        <v>3044</v>
      </c>
      <c r="B3" s="3320">
        <f ca="1">土储要求测算表!J12</f>
        <v>11802</v>
      </c>
      <c r="C3" s="3320" t="s">
        <v>3045</v>
      </c>
      <c r="D3" s="3320" t="s">
        <v>3045</v>
      </c>
    </row>
    <row r="4" spans="1:4" ht="39" customHeight="1">
      <c r="A4" s="3320" t="s">
        <v>3046</v>
      </c>
      <c r="B4" s="3320">
        <f ca="1">土储要求测算表!J13</f>
        <v>10885</v>
      </c>
      <c r="C4" s="3320">
        <f>土储要求测算表!H10</f>
        <v>363000</v>
      </c>
      <c r="D4" s="3320">
        <f ca="1">ROUND(B4*C4/10000,2)</f>
        <v>395125.5</v>
      </c>
    </row>
    <row r="5" spans="1:4" ht="14.25">
      <c r="A5" s="3320" t="s">
        <v>3047</v>
      </c>
      <c r="B5" s="3320" t="s">
        <v>3048</v>
      </c>
      <c r="C5" s="3320">
        <f>C4</f>
        <v>363000</v>
      </c>
      <c r="D5" s="3321">
        <f ca="1">D4</f>
        <v>395125.5</v>
      </c>
    </row>
    <row r="6" spans="1:4" ht="14.25">
      <c r="A6" s="3322"/>
      <c r="B6" s="3322"/>
      <c r="C6" s="3322"/>
      <c r="D6" s="3322"/>
    </row>
    <row r="7" spans="1:4" ht="28.5">
      <c r="A7" s="3320"/>
      <c r="B7" s="3320" t="s">
        <v>3049</v>
      </c>
      <c r="C7" s="3320" t="s">
        <v>3050</v>
      </c>
      <c r="D7" s="3320" t="s">
        <v>3043</v>
      </c>
    </row>
    <row r="8" spans="1:4" ht="28.5">
      <c r="A8" s="3320" t="s">
        <v>3052</v>
      </c>
      <c r="B8" s="3320">
        <f ca="1">ROUND(B3*0.25,0)</f>
        <v>2951</v>
      </c>
      <c r="C8" s="3320" t="str">
        <f>C3</f>
        <v>——</v>
      </c>
      <c r="D8" s="3320" t="str">
        <f>D3</f>
        <v>——</v>
      </c>
    </row>
    <row r="9" spans="1:4" ht="28.5">
      <c r="A9" s="3320" t="s">
        <v>3053</v>
      </c>
      <c r="B9" s="3320">
        <f ca="1">ROUND(B4*0.25,0)</f>
        <v>2721</v>
      </c>
      <c r="C9" s="3320">
        <f>C4</f>
        <v>363000</v>
      </c>
      <c r="D9" s="3320">
        <f ca="1">ROUND(B9*C9/10000,2)</f>
        <v>98772.3</v>
      </c>
    </row>
    <row r="10" spans="1:4" ht="28.5">
      <c r="A10" s="3320" t="s">
        <v>3051</v>
      </c>
      <c r="B10" s="3320" t="s">
        <v>3048</v>
      </c>
      <c r="C10" s="3320">
        <f>C9</f>
        <v>363000</v>
      </c>
      <c r="D10" s="3321">
        <f ca="1">D9</f>
        <v>98772.3</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tabSelected="1" workbookViewId="0">
      <selection activeCell="H20" sqref="H20"/>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6.125" style="3317" customWidth="1"/>
    <col min="8" max="8" width="9.875" style="3317" customWidth="1"/>
    <col min="9" max="9" width="14.5" style="3318" customWidth="1"/>
    <col min="10" max="10" width="8.5" style="3318" customWidth="1"/>
    <col min="11" max="11" width="7.75" style="3319" customWidth="1"/>
    <col min="12" max="14" width="12.5" style="3317" customWidth="1"/>
    <col min="15" max="15" width="5.625" style="3317" customWidth="1"/>
    <col min="16" max="16384" width="9" style="3317"/>
  </cols>
  <sheetData>
    <row r="1" spans="1:16" s="3272" customFormat="1" ht="14.25">
      <c r="A1" s="3883" t="s">
        <v>3170</v>
      </c>
      <c r="B1" s="3883"/>
      <c r="C1" s="3883"/>
      <c r="D1" s="3883"/>
      <c r="E1" s="3883"/>
      <c r="F1" s="3883"/>
      <c r="G1" s="3883"/>
      <c r="H1" s="3883"/>
      <c r="I1" s="3884"/>
      <c r="J1" s="3883"/>
      <c r="K1" s="3884"/>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0.78159999999999996</v>
      </c>
      <c r="I3" s="3281">
        <f>基准地价商业!C24</f>
        <v>1.0589</v>
      </c>
      <c r="J3" s="3282">
        <f t="shared" ref="J3:J4" ca="1" si="0">ROUND((B3*C3+D3)*E3*F3*G3*H3*I3,0)</f>
        <v>11734</v>
      </c>
      <c r="K3" s="3283">
        <f t="shared" ref="K3:K10" ca="1" si="1">J3*0.25</f>
        <v>2933.5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0.78449999999999998</v>
      </c>
      <c r="I4" s="3281">
        <f>基准地价办公!C24</f>
        <v>1.0571999999999999</v>
      </c>
      <c r="J4" s="3282">
        <f t="shared" ca="1" si="0"/>
        <v>11701</v>
      </c>
      <c r="K4" s="3283">
        <f t="shared" ca="1" si="1"/>
        <v>2925.25</v>
      </c>
      <c r="L4" s="3285"/>
      <c r="M4" s="3371"/>
      <c r="N4" s="3371"/>
    </row>
    <row r="5" spans="1:16" s="3284" customFormat="1" ht="10.5">
      <c r="A5" s="3389" t="s">
        <v>3234</v>
      </c>
      <c r="B5" s="3279"/>
      <c r="C5" s="3280"/>
      <c r="D5" s="3389"/>
      <c r="E5" s="3281"/>
      <c r="F5" s="3281"/>
      <c r="G5" s="3281"/>
      <c r="H5" s="3281"/>
      <c r="I5" s="3281"/>
      <c r="J5" s="3282"/>
      <c r="K5" s="3283"/>
      <c r="L5" s="3371"/>
      <c r="M5" s="3371"/>
      <c r="N5" s="3371"/>
    </row>
    <row r="6" spans="1:16" s="3272" customFormat="1" ht="14.25">
      <c r="A6" s="3885" t="s">
        <v>3032</v>
      </c>
      <c r="B6" s="3885"/>
      <c r="C6" s="3885"/>
      <c r="D6" s="3885"/>
      <c r="E6" s="3885"/>
      <c r="F6" s="3885"/>
      <c r="G6" s="3885"/>
      <c r="H6" s="3885"/>
      <c r="I6" s="3885"/>
      <c r="J6" s="3885" t="s">
        <v>3008</v>
      </c>
      <c r="K6" s="3885"/>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 ca="1">剩余法商业!C8</f>
        <v>26777</v>
      </c>
      <c r="C9" s="3290">
        <v>0</v>
      </c>
      <c r="D9" s="3289">
        <v>0</v>
      </c>
      <c r="E9" s="3289">
        <v>0</v>
      </c>
      <c r="F9" s="3289">
        <v>0</v>
      </c>
      <c r="G9" s="3289">
        <v>0</v>
      </c>
      <c r="H9" s="3290">
        <v>0</v>
      </c>
      <c r="I9" s="3292">
        <f t="shared" ref="I9:I10" ca="1" si="2">B9</f>
        <v>26777</v>
      </c>
      <c r="J9" s="3296">
        <f ca="1">剩余法商业!C37</f>
        <v>11831</v>
      </c>
      <c r="K9" s="3294">
        <f t="shared" ca="1" si="1"/>
        <v>2957.75</v>
      </c>
    </row>
    <row r="10" spans="1:16" s="3272" customFormat="1" ht="14.25">
      <c r="A10" s="3274" t="s">
        <v>3020</v>
      </c>
      <c r="B10" s="3289">
        <f ca="1">剩余法办公!C8</f>
        <v>23821</v>
      </c>
      <c r="C10" s="3297">
        <f>H10</f>
        <v>363000</v>
      </c>
      <c r="D10" s="3291">
        <v>0</v>
      </c>
      <c r="E10" s="3297">
        <v>0</v>
      </c>
      <c r="F10" s="3297">
        <v>0</v>
      </c>
      <c r="G10" s="3297">
        <v>0</v>
      </c>
      <c r="H10" s="3297">
        <f>'数据-汇总表'!F20</f>
        <v>363000</v>
      </c>
      <c r="I10" s="3292">
        <f t="shared" ca="1" si="2"/>
        <v>23821</v>
      </c>
      <c r="J10" s="3296">
        <f ca="1">剩余法办公!C37</f>
        <v>10535</v>
      </c>
      <c r="K10" s="3294">
        <f t="shared" ca="1" si="1"/>
        <v>2633.75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3233</v>
      </c>
      <c r="B12" s="3300">
        <f ca="1">J3</f>
        <v>11734</v>
      </c>
      <c r="C12" s="3385">
        <v>0.3</v>
      </c>
      <c r="D12" s="3301">
        <f ca="1">J9</f>
        <v>11831</v>
      </c>
      <c r="E12" s="3302">
        <f t="shared" ref="E12:E13" si="3">1-C12</f>
        <v>0.7</v>
      </c>
      <c r="F12" s="3291"/>
      <c r="G12" s="3302"/>
      <c r="H12" s="3297">
        <v>0</v>
      </c>
      <c r="I12" s="3303">
        <v>0</v>
      </c>
      <c r="J12" s="3296">
        <f ca="1">ROUND(B12*C12+D12*E12,0)</f>
        <v>11802</v>
      </c>
      <c r="K12" s="3304">
        <f ca="1">ROUND(J12*0.25,0)</f>
        <v>2951</v>
      </c>
      <c r="L12" s="3305"/>
      <c r="M12" s="3305">
        <v>12385</v>
      </c>
      <c r="N12" s="3305"/>
      <c r="O12" s="3305"/>
    </row>
    <row r="13" spans="1:16" s="3272" customFormat="1" ht="14.25">
      <c r="A13" s="3274" t="s">
        <v>1665</v>
      </c>
      <c r="B13" s="3300">
        <f ca="1">J4</f>
        <v>11701</v>
      </c>
      <c r="C13" s="3385">
        <v>0.3</v>
      </c>
      <c r="D13" s="3301">
        <f ca="1">J10</f>
        <v>10535</v>
      </c>
      <c r="E13" s="3302">
        <f t="shared" si="3"/>
        <v>0.7</v>
      </c>
      <c r="F13" s="3291"/>
      <c r="G13" s="3302"/>
      <c r="H13" s="3297">
        <f>H10</f>
        <v>363000</v>
      </c>
      <c r="I13" s="3303">
        <f ca="1">ROUND(J13*H13/10000,2)</f>
        <v>395125.5</v>
      </c>
      <c r="J13" s="3296">
        <f ca="1">ROUND(B13*C13+D13*E13,0)</f>
        <v>10885</v>
      </c>
      <c r="K13" s="3304">
        <f ca="1">ROUND(J13*0.25,0)</f>
        <v>2721</v>
      </c>
      <c r="L13" s="3368">
        <f ca="1">K13*H13/10000</f>
        <v>98772.3</v>
      </c>
      <c r="M13" s="3368">
        <v>11192</v>
      </c>
      <c r="N13" s="3368"/>
      <c r="P13" s="3306"/>
    </row>
    <row r="14" spans="1:16" s="3272" customFormat="1" ht="14.25">
      <c r="A14" s="3776" t="s">
        <v>3234</v>
      </c>
      <c r="B14" s="3777"/>
      <c r="C14" s="3778"/>
      <c r="D14" s="3779"/>
      <c r="E14" s="3780"/>
      <c r="F14" s="3781"/>
      <c r="G14" s="3780"/>
      <c r="H14" s="3782"/>
      <c r="I14" s="3309"/>
      <c r="J14" s="3783"/>
      <c r="K14" s="3784"/>
      <c r="L14" s="3368"/>
      <c r="M14" s="3368"/>
      <c r="N14" s="3368"/>
      <c r="P14" s="3306"/>
    </row>
    <row r="15" spans="1:16" s="3272" customFormat="1" ht="14.25">
      <c r="A15" s="3307" t="s">
        <v>3026</v>
      </c>
      <c r="B15" s="3308"/>
      <c r="C15" s="3308"/>
      <c r="D15" s="3308"/>
      <c r="E15" s="3308"/>
      <c r="F15" s="3308"/>
      <c r="G15" s="3308"/>
      <c r="H15" s="3308"/>
      <c r="I15" s="3309">
        <f ca="1">I13</f>
        <v>395125.5</v>
      </c>
      <c r="J15" s="3308"/>
      <c r="K15" s="3310"/>
    </row>
    <row r="16" spans="1:16" s="3272" customFormat="1" ht="14.25">
      <c r="A16" s="3276" t="s">
        <v>3029</v>
      </c>
      <c r="B16" s="3311"/>
      <c r="C16" s="3311"/>
      <c r="D16" s="3311"/>
      <c r="E16" s="3311"/>
      <c r="F16" s="3311"/>
      <c r="G16" s="3311"/>
      <c r="H16" s="3311"/>
      <c r="I16" s="3303">
        <f ca="1">ROUND(K13*H13/10000,2)</f>
        <v>98772.3</v>
      </c>
      <c r="J16" s="3311"/>
      <c r="K16" s="3312"/>
    </row>
    <row r="17" spans="1:11" s="3272" customFormat="1" ht="14.25">
      <c r="A17" s="3276" t="s">
        <v>3030</v>
      </c>
      <c r="B17" s="3311"/>
      <c r="C17" s="3311"/>
      <c r="D17" s="3311"/>
      <c r="E17" s="3311"/>
      <c r="F17" s="3311"/>
      <c r="G17" s="3311"/>
      <c r="H17" s="3311"/>
      <c r="I17" s="3313">
        <v>446500</v>
      </c>
      <c r="J17" s="3311"/>
      <c r="K17" s="3312"/>
    </row>
    <row r="18" spans="1:11" s="3272" customFormat="1" ht="14.25">
      <c r="A18" s="3276" t="s">
        <v>3031</v>
      </c>
      <c r="B18" s="3311"/>
      <c r="C18" s="3311"/>
      <c r="D18" s="3311"/>
      <c r="E18" s="3311"/>
      <c r="F18" s="3311"/>
      <c r="G18" s="3311"/>
      <c r="H18" s="3311"/>
      <c r="I18" s="3333">
        <f ca="1">I16+I17</f>
        <v>545272.30000000005</v>
      </c>
      <c r="J18" s="3311"/>
      <c r="K18" s="3312"/>
    </row>
    <row r="19" spans="1:11" s="3314" customFormat="1">
      <c r="I19" s="3315"/>
      <c r="J19" s="3315"/>
      <c r="K19" s="3316"/>
    </row>
    <row r="21" spans="1:11">
      <c r="I21" s="3318">
        <v>199429</v>
      </c>
    </row>
    <row r="22" spans="1:11">
      <c r="I22" s="3367">
        <f ca="1">L13</f>
        <v>98772.3</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0" t="str">
        <f>项目基本情况!K2</f>
        <v>北京市储备国有建设用地使用权</v>
      </c>
      <c r="B2" s="3931"/>
      <c r="C2" s="3932"/>
      <c r="D2" s="3932"/>
      <c r="E2" s="3932"/>
      <c r="F2" s="3932"/>
      <c r="G2" s="3931"/>
      <c r="H2" s="3931"/>
      <c r="I2" s="3933"/>
      <c r="J2" s="1910"/>
      <c r="K2" s="1909"/>
      <c r="L2" s="1909"/>
      <c r="M2" s="1909"/>
      <c r="N2" s="1909"/>
      <c r="O2" s="1909"/>
      <c r="P2" s="1909"/>
      <c r="Q2" s="1909"/>
      <c r="R2" s="1909"/>
      <c r="S2" s="1909"/>
      <c r="T2" s="1909"/>
      <c r="U2" s="1909"/>
      <c r="V2" s="1909"/>
    </row>
    <row r="3" spans="1:22" ht="14.25">
      <c r="A3" s="3923" t="s">
        <v>296</v>
      </c>
      <c r="B3" s="3924"/>
      <c r="C3" s="3924"/>
      <c r="D3" s="3924"/>
      <c r="E3" s="3924"/>
      <c r="F3" s="3924"/>
      <c r="G3" s="3924"/>
      <c r="H3" s="3924"/>
      <c r="I3" s="3924"/>
      <c r="J3" s="1910"/>
      <c r="K3" s="1909"/>
      <c r="L3" s="1909"/>
      <c r="M3" s="1909"/>
      <c r="N3" s="1909"/>
      <c r="O3" s="1909"/>
      <c r="P3" s="1909"/>
      <c r="Q3" s="1909"/>
      <c r="R3" s="1909"/>
      <c r="S3" s="1909"/>
      <c r="T3" s="1909"/>
      <c r="U3" s="1909"/>
      <c r="V3" s="1909"/>
    </row>
    <row r="4" spans="1:22" ht="14.25">
      <c r="A4" s="254" t="s">
        <v>297</v>
      </c>
      <c r="B4" s="255" t="s">
        <v>298</v>
      </c>
      <c r="C4" s="256" t="s">
        <v>3157</v>
      </c>
      <c r="D4" s="256" t="s">
        <v>3158</v>
      </c>
      <c r="E4" s="3889" t="s">
        <v>299</v>
      </c>
      <c r="F4" s="3890"/>
      <c r="G4" s="3890"/>
      <c r="H4" s="3890"/>
      <c r="I4" s="3925"/>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888" t="s">
        <v>300</v>
      </c>
      <c r="B5" s="3917">
        <v>25</v>
      </c>
      <c r="C5" s="3915">
        <v>3</v>
      </c>
      <c r="D5" s="3919">
        <v>7</v>
      </c>
      <c r="E5" s="257" t="s">
        <v>301</v>
      </c>
      <c r="F5" s="258"/>
      <c r="G5" s="258"/>
      <c r="H5" s="258"/>
      <c r="I5" s="259"/>
      <c r="J5" s="1910"/>
      <c r="K5" s="1909"/>
      <c r="L5" s="1909"/>
      <c r="M5" s="1909"/>
      <c r="N5" s="1909"/>
      <c r="O5" s="1909"/>
      <c r="P5" s="1909"/>
      <c r="Q5" s="1909"/>
      <c r="R5" s="1909"/>
      <c r="S5" s="1909"/>
      <c r="T5" s="1909"/>
      <c r="U5" s="1909"/>
      <c r="V5" s="1909"/>
    </row>
    <row r="6" spans="1:22" ht="14.25">
      <c r="A6" s="3888"/>
      <c r="B6" s="3917"/>
      <c r="C6" s="3918"/>
      <c r="D6" s="3919"/>
      <c r="E6" s="257" t="s">
        <v>302</v>
      </c>
      <c r="F6" s="258"/>
      <c r="G6" s="258"/>
      <c r="H6" s="258"/>
      <c r="I6" s="259"/>
      <c r="J6" s="1910"/>
      <c r="K6" s="1909"/>
      <c r="L6" s="1909"/>
      <c r="M6" s="1909"/>
      <c r="N6" s="1909"/>
      <c r="O6" s="1909"/>
      <c r="P6" s="1909"/>
      <c r="Q6" s="1909"/>
      <c r="R6" s="1909"/>
      <c r="S6" s="1909"/>
      <c r="T6" s="1909"/>
      <c r="U6" s="1909"/>
      <c r="V6" s="1909"/>
    </row>
    <row r="7" spans="1:22" ht="14.25">
      <c r="A7" s="3888"/>
      <c r="B7" s="3917"/>
      <c r="C7" s="3916"/>
      <c r="D7" s="3919"/>
      <c r="E7" s="257" t="s">
        <v>303</v>
      </c>
      <c r="F7" s="258"/>
      <c r="G7" s="258"/>
      <c r="H7" s="258"/>
      <c r="I7" s="259"/>
      <c r="J7" s="1910"/>
      <c r="K7" s="1909"/>
      <c r="L7" s="1909"/>
      <c r="M7" s="1909"/>
      <c r="N7" s="1909"/>
      <c r="O7" s="1909"/>
      <c r="P7" s="1909"/>
      <c r="Q7" s="1909"/>
      <c r="R7" s="1909"/>
      <c r="S7" s="1909"/>
      <c r="T7" s="1909"/>
      <c r="U7" s="1909"/>
      <c r="V7" s="1909"/>
    </row>
    <row r="8" spans="1:22" ht="14.25">
      <c r="A8" s="3888" t="s">
        <v>304</v>
      </c>
      <c r="B8" s="3917">
        <v>15</v>
      </c>
      <c r="C8" s="3915"/>
      <c r="D8" s="3919"/>
      <c r="E8" s="257" t="s">
        <v>305</v>
      </c>
      <c r="F8" s="258"/>
      <c r="G8" s="258"/>
      <c r="H8" s="258"/>
      <c r="I8" s="259"/>
      <c r="J8" s="1910"/>
      <c r="K8" s="1909"/>
      <c r="L8" s="1909"/>
      <c r="M8" s="1909"/>
      <c r="N8" s="1909"/>
      <c r="O8" s="1909"/>
      <c r="P8" s="1909"/>
      <c r="Q8" s="1909"/>
      <c r="R8" s="1909"/>
      <c r="S8" s="1909"/>
      <c r="T8" s="1909"/>
      <c r="U8" s="1909"/>
      <c r="V8" s="1909"/>
    </row>
    <row r="9" spans="1:22" ht="14.25">
      <c r="A9" s="3888"/>
      <c r="B9" s="3917"/>
      <c r="C9" s="3916"/>
      <c r="D9" s="3919"/>
      <c r="E9" s="257" t="s">
        <v>306</v>
      </c>
      <c r="F9" s="258"/>
      <c r="G9" s="258"/>
      <c r="H9" s="258"/>
      <c r="I9" s="259"/>
      <c r="J9" s="1910"/>
      <c r="K9" s="1909"/>
      <c r="L9" s="1909"/>
      <c r="M9" s="1909"/>
      <c r="N9" s="1909"/>
      <c r="O9" s="1909"/>
      <c r="P9" s="1909"/>
      <c r="Q9" s="1909"/>
      <c r="R9" s="1909"/>
      <c r="S9" s="1909"/>
      <c r="T9" s="1909"/>
      <c r="U9" s="1909"/>
      <c r="V9" s="1909"/>
    </row>
    <row r="10" spans="1:22" ht="14.25">
      <c r="A10" s="3888" t="s">
        <v>307</v>
      </c>
      <c r="B10" s="3917">
        <v>15</v>
      </c>
      <c r="C10" s="3915"/>
      <c r="D10" s="3919"/>
      <c r="E10" s="257" t="s">
        <v>308</v>
      </c>
      <c r="F10" s="258"/>
      <c r="G10" s="258"/>
      <c r="H10" s="258"/>
      <c r="I10" s="259"/>
      <c r="J10" s="1910"/>
      <c r="K10" s="1909"/>
      <c r="L10" s="1909"/>
      <c r="M10" s="1909"/>
      <c r="N10" s="1909"/>
      <c r="O10" s="1909"/>
      <c r="P10" s="1909"/>
      <c r="Q10" s="1909"/>
      <c r="R10" s="1909"/>
      <c r="S10" s="1909"/>
      <c r="T10" s="1909"/>
      <c r="U10" s="1909"/>
      <c r="V10" s="1909"/>
    </row>
    <row r="11" spans="1:22" ht="14.25">
      <c r="A11" s="3888"/>
      <c r="B11" s="3917"/>
      <c r="C11" s="3916"/>
      <c r="D11" s="3919"/>
      <c r="E11" s="257" t="s">
        <v>309</v>
      </c>
      <c r="F11" s="258"/>
      <c r="G11" s="258"/>
      <c r="H11" s="258"/>
      <c r="I11" s="259"/>
      <c r="J11" s="1910"/>
      <c r="K11" s="1909"/>
      <c r="L11" s="1909"/>
      <c r="M11" s="1909"/>
      <c r="N11" s="1909"/>
      <c r="O11" s="1909"/>
      <c r="P11" s="1909"/>
      <c r="Q11" s="1909"/>
      <c r="R11" s="1909"/>
      <c r="S11" s="1909"/>
      <c r="T11" s="1909"/>
      <c r="U11" s="1909"/>
      <c r="V11" s="1909"/>
    </row>
    <row r="12" spans="1:22" ht="14.25">
      <c r="A12" s="3888" t="s">
        <v>310</v>
      </c>
      <c r="B12" s="3917">
        <v>15</v>
      </c>
      <c r="C12" s="3915"/>
      <c r="D12" s="3919"/>
      <c r="E12" s="257" t="s">
        <v>311</v>
      </c>
      <c r="F12" s="258"/>
      <c r="G12" s="258"/>
      <c r="H12" s="258"/>
      <c r="I12" s="259"/>
      <c r="J12" s="1910"/>
      <c r="K12" s="1909"/>
      <c r="L12" s="1909"/>
      <c r="M12" s="1909"/>
      <c r="N12" s="1909"/>
      <c r="O12" s="1909"/>
      <c r="P12" s="1909"/>
      <c r="Q12" s="1909"/>
      <c r="R12" s="1909"/>
      <c r="S12" s="1909"/>
      <c r="T12" s="1909"/>
      <c r="U12" s="1909"/>
      <c r="V12" s="1909"/>
    </row>
    <row r="13" spans="1:22" ht="14.25">
      <c r="A13" s="3888"/>
      <c r="B13" s="3917"/>
      <c r="C13" s="3916"/>
      <c r="D13" s="3919"/>
      <c r="E13" s="257" t="s">
        <v>312</v>
      </c>
      <c r="F13" s="258"/>
      <c r="G13" s="258"/>
      <c r="H13" s="258"/>
      <c r="I13" s="259"/>
      <c r="J13" s="1910"/>
      <c r="K13" s="1909"/>
      <c r="L13" s="1909"/>
      <c r="M13" s="1909"/>
      <c r="N13" s="1909"/>
      <c r="O13" s="1909"/>
      <c r="P13" s="1909"/>
      <c r="Q13" s="1909"/>
      <c r="R13" s="1909"/>
      <c r="S13" s="1909"/>
      <c r="T13" s="1909"/>
      <c r="U13" s="1909"/>
      <c r="V13" s="1909"/>
    </row>
    <row r="14" spans="1:22" ht="14.25">
      <c r="A14" s="3888" t="s">
        <v>313</v>
      </c>
      <c r="B14" s="3917">
        <v>30</v>
      </c>
      <c r="C14" s="3915"/>
      <c r="D14" s="3919"/>
      <c r="E14" s="257" t="s">
        <v>314</v>
      </c>
      <c r="F14" s="258"/>
      <c r="G14" s="258"/>
      <c r="H14" s="258"/>
      <c r="I14" s="259"/>
      <c r="J14" s="1910"/>
      <c r="K14" s="1909"/>
      <c r="L14" s="1909"/>
      <c r="M14" s="1909"/>
      <c r="N14" s="1909"/>
      <c r="O14" s="1909"/>
      <c r="P14" s="1909"/>
      <c r="Q14" s="1909"/>
      <c r="R14" s="1909"/>
      <c r="S14" s="1909"/>
      <c r="T14" s="1909"/>
      <c r="U14" s="1909"/>
      <c r="V14" s="1909"/>
    </row>
    <row r="15" spans="1:22" ht="14.25">
      <c r="A15" s="3888"/>
      <c r="B15" s="3917"/>
      <c r="C15" s="3918"/>
      <c r="D15" s="3919"/>
      <c r="E15" s="257" t="s">
        <v>315</v>
      </c>
      <c r="F15" s="258"/>
      <c r="G15" s="258"/>
      <c r="H15" s="258"/>
      <c r="I15" s="259"/>
      <c r="J15" s="1910"/>
      <c r="K15" s="1909"/>
      <c r="L15" s="1909"/>
      <c r="M15" s="1909"/>
      <c r="N15" s="1909"/>
      <c r="O15" s="1909"/>
      <c r="P15" s="1909"/>
      <c r="Q15" s="1909"/>
      <c r="R15" s="1909"/>
      <c r="S15" s="1909"/>
      <c r="T15" s="1909"/>
      <c r="U15" s="1909"/>
      <c r="V15" s="1909"/>
    </row>
    <row r="16" spans="1:22" ht="14.25">
      <c r="A16" s="3888"/>
      <c r="B16" s="3917"/>
      <c r="C16" s="3916"/>
      <c r="D16" s="3919"/>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20" t="s">
        <v>2956</v>
      </c>
      <c r="F18" s="3921"/>
      <c r="G18" s="3921"/>
      <c r="H18" s="3921"/>
      <c r="I18" s="3921"/>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424746</v>
      </c>
      <c r="D19" s="267">
        <f ca="1">SUMIF(INDIRECT("'"&amp;D4&amp;"'"&amp;"!A:A"),结果表!B19,INDIRECT("'"&amp;D4&amp;"'"&amp;"!B:B"))</f>
        <v>382433</v>
      </c>
      <c r="E19" s="264" t="s">
        <v>321</v>
      </c>
      <c r="F19" s="265" t="s">
        <v>320</v>
      </c>
      <c r="G19" s="268">
        <f ca="1">ROUND(C19*$C$18+D19*$D$18,0)</f>
        <v>395127</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11701</v>
      </c>
      <c r="D20" s="273">
        <f ca="1">SUMIF(INDIRECT("'"&amp;D4&amp;"'"&amp;"!A:A"),结果表!B20,INDIRECT("'"&amp;D4&amp;"'"&amp;"!B:B"))</f>
        <v>10535</v>
      </c>
      <c r="E20" s="270"/>
      <c r="F20" s="271" t="s">
        <v>323</v>
      </c>
      <c r="G20" s="274">
        <f ca="1">ROUND(C20*$C$18+D20*$D$18,0)</f>
        <v>10885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74244</v>
      </c>
      <c r="D21" s="148">
        <f ca="1">SUMIF(INDIRECT("'"&amp;D4&amp;"'"&amp;"!A:A"),结果表!B21,INDIRECT("'"&amp;D4&amp;"'"&amp;"!B:B"))</f>
        <v>133696</v>
      </c>
      <c r="E21" s="270"/>
      <c r="F21" s="276" t="s">
        <v>325</v>
      </c>
      <c r="G21" s="278">
        <f ca="1">ROUND(C21*$C$18+D21*$D$18,0)</f>
        <v>115860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0.11064160258136724</v>
      </c>
      <c r="E22" s="280"/>
      <c r="F22" s="281"/>
      <c r="G22" s="282">
        <f ca="1">ROUND(G19/('数据-汇总表'!D3/666.67),0)</f>
        <v>4604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894"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895"/>
      <c r="B25" s="1273" t="s">
        <v>329</v>
      </c>
      <c r="C25" s="286">
        <f>IF(B30=0,0,C30)</f>
        <v>0</v>
      </c>
      <c r="D25" s="287"/>
      <c r="E25" s="307"/>
      <c r="F25" s="307"/>
      <c r="G25" s="307"/>
      <c r="H25" s="307"/>
      <c r="I25" s="307"/>
      <c r="J25" s="1909"/>
      <c r="K25" s="1207" t="str">
        <f ca="1">项目基本情况!B16&amp;"国有建设用地使用权价格："&amp;O38&amp;"万元"</f>
        <v>储备国有建设用地使用权价格：395127万元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大写金额：人民币叁拾玖亿伍仟壹佰贰拾柒万元整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单位面积地价：69067元/平方米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楼面地价：5443元/平方米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22" t="s">
        <v>2958</v>
      </c>
      <c r="B31" s="3922"/>
      <c r="C31" s="3922"/>
      <c r="D31" s="3922"/>
      <c r="E31" s="3922"/>
      <c r="F31" s="3922"/>
      <c r="G31" s="3922"/>
      <c r="H31" s="3922"/>
      <c r="I31" s="3922"/>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395127</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5443</v>
      </c>
      <c r="D33" s="1332" t="s">
        <v>1679</v>
      </c>
      <c r="E33" s="3894"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69067</v>
      </c>
      <c r="D34" s="1334" t="s">
        <v>1679</v>
      </c>
      <c r="E34" s="3938"/>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4604</v>
      </c>
      <c r="D35" s="1337" t="s">
        <v>1681</v>
      </c>
      <c r="E35" s="3939"/>
      <c r="F35" s="297" t="s">
        <v>340</v>
      </c>
      <c r="G35" s="968"/>
      <c r="H35" s="967" t="s">
        <v>341</v>
      </c>
      <c r="I35" s="307"/>
      <c r="J35" s="1909"/>
      <c r="K35" s="3912" t="s">
        <v>348</v>
      </c>
      <c r="L35" s="3912" t="s">
        <v>349</v>
      </c>
      <c r="M35" s="1216" t="s">
        <v>350</v>
      </c>
      <c r="N35" s="3912" t="s">
        <v>351</v>
      </c>
      <c r="O35" s="3912" t="s">
        <v>352</v>
      </c>
      <c r="P35" s="1909"/>
      <c r="V35" s="1909"/>
    </row>
    <row r="36" spans="1:26" ht="16.5" customHeight="1">
      <c r="A36" s="299" t="s">
        <v>342</v>
      </c>
      <c r="B36" s="300" t="s">
        <v>331</v>
      </c>
      <c r="C36" s="301" t="s">
        <v>343</v>
      </c>
      <c r="D36" s="301" t="s">
        <v>344</v>
      </c>
      <c r="E36" s="302" t="s">
        <v>345</v>
      </c>
      <c r="F36" s="307"/>
      <c r="G36" s="307"/>
      <c r="H36" s="307"/>
      <c r="I36" s="307"/>
      <c r="J36" s="1911"/>
      <c r="K36" s="3913"/>
      <c r="L36" s="3913"/>
      <c r="M36" s="1218" t="s">
        <v>353</v>
      </c>
      <c r="N36" s="3913"/>
      <c r="O36" s="3913"/>
      <c r="P36" s="1909"/>
      <c r="V36" s="1909"/>
    </row>
    <row r="37" spans="1:26" ht="16.5" customHeight="1" thickBot="1">
      <c r="A37" s="1212" t="s">
        <v>346</v>
      </c>
      <c r="B37" s="303"/>
      <c r="C37" s="290"/>
      <c r="D37" s="290"/>
      <c r="E37" s="291"/>
      <c r="F37" s="307"/>
      <c r="G37" s="307"/>
      <c r="H37" s="307"/>
      <c r="I37" s="307"/>
      <c r="J37" s="1911"/>
      <c r="K37" s="3914"/>
      <c r="L37" s="3914"/>
      <c r="M37" s="1219"/>
      <c r="N37" s="3914"/>
      <c r="O37" s="3914"/>
      <c r="P37" s="1909"/>
      <c r="V37" s="1909"/>
    </row>
    <row r="38" spans="1:26" ht="16.5" customHeight="1" thickBot="1">
      <c r="A38" s="1212" t="s">
        <v>347</v>
      </c>
      <c r="B38" s="303"/>
      <c r="C38" s="290"/>
      <c r="D38" s="290"/>
      <c r="E38" s="291"/>
      <c r="F38" s="307"/>
      <c r="G38" s="307"/>
      <c r="H38" s="307"/>
      <c r="I38" s="307"/>
      <c r="J38" s="1911"/>
      <c r="K38" s="1220">
        <f>'数据-汇总表'!D3</f>
        <v>57209.51</v>
      </c>
      <c r="L38" s="1221">
        <f>'数据-汇总表'!E3</f>
        <v>726000</v>
      </c>
      <c r="M38" s="1221">
        <f ca="1">C34</f>
        <v>69067</v>
      </c>
      <c r="N38" s="1221">
        <f ca="1">C33</f>
        <v>5443</v>
      </c>
      <c r="O38" s="1222">
        <f ca="1">C32</f>
        <v>395127</v>
      </c>
      <c r="P38" s="1909"/>
      <c r="V38" s="1909"/>
    </row>
    <row r="39" spans="1:26" ht="16.5" customHeight="1" thickBot="1">
      <c r="A39" s="1217"/>
      <c r="B39" s="304"/>
      <c r="C39" s="305"/>
      <c r="D39" s="305"/>
      <c r="E39" s="306"/>
      <c r="F39" s="307"/>
      <c r="G39" s="307"/>
      <c r="H39" s="307"/>
      <c r="I39" s="307"/>
      <c r="J39" s="1911"/>
      <c r="K39" s="3952" t="str">
        <f>MID(A44,3,LEN(A44)-2)</f>
        <v/>
      </c>
      <c r="L39" s="3953"/>
      <c r="M39" s="3953"/>
      <c r="N39" s="3954"/>
      <c r="O39" s="1339" t="str">
        <f>C44</f>
        <v>——</v>
      </c>
      <c r="P39" s="1909"/>
      <c r="V39" s="1909"/>
    </row>
    <row r="40" spans="1:26" ht="19.5" thickBot="1">
      <c r="A40" s="103" t="s">
        <v>862</v>
      </c>
      <c r="B40" s="307"/>
      <c r="C40" s="307"/>
      <c r="D40" s="307"/>
      <c r="E40" s="307"/>
      <c r="F40" s="307"/>
      <c r="G40" s="307"/>
      <c r="H40" s="307"/>
      <c r="I40" s="307"/>
      <c r="J40" s="1911"/>
      <c r="K40" s="3952" t="str">
        <f t="shared" ref="K40:K41" si="0">MID(A45,3,LEN(A45)-2)</f>
        <v/>
      </c>
      <c r="L40" s="3953"/>
      <c r="M40" s="3953"/>
      <c r="N40" s="3954"/>
      <c r="O40" s="1339" t="str">
        <f>C45</f>
        <v>——</v>
      </c>
      <c r="P40" s="1909"/>
      <c r="V40" s="1909"/>
    </row>
    <row r="41" spans="1:26" ht="16.5" thickBot="1">
      <c r="A41" s="308" t="s">
        <v>354</v>
      </c>
      <c r="B41" s="309"/>
      <c r="C41" s="310" t="s">
        <v>355</v>
      </c>
      <c r="D41" s="311" t="s">
        <v>356</v>
      </c>
      <c r="E41" s="311" t="s">
        <v>357</v>
      </c>
      <c r="F41" s="312" t="s">
        <v>358</v>
      </c>
      <c r="G41" s="307"/>
      <c r="H41" s="307"/>
      <c r="I41" s="307"/>
      <c r="J41" s="1911"/>
      <c r="K41" s="3952" t="str">
        <f t="shared" si="0"/>
        <v/>
      </c>
      <c r="L41" s="3953"/>
      <c r="M41" s="3953"/>
      <c r="N41" s="3954"/>
      <c r="O41" s="1339" t="str">
        <f>C46</f>
        <v>——</v>
      </c>
      <c r="P41" s="1909"/>
      <c r="V41" s="1909"/>
    </row>
    <row r="42" spans="1:26" ht="29.25">
      <c r="A42" s="3896" t="s">
        <v>2053</v>
      </c>
      <c r="B42" s="3897"/>
      <c r="C42" s="260">
        <f ca="1">C32</f>
        <v>395127</v>
      </c>
      <c r="D42" s="313">
        <f ca="1">C33</f>
        <v>5443</v>
      </c>
      <c r="E42" s="313">
        <f ca="1">C34</f>
        <v>69067</v>
      </c>
      <c r="F42" s="314">
        <f ca="1">C35</f>
        <v>4604</v>
      </c>
      <c r="G42" s="307"/>
      <c r="H42" s="307"/>
      <c r="I42" s="315"/>
      <c r="J42" s="1911"/>
      <c r="K42" s="1223" t="s">
        <v>359</v>
      </c>
      <c r="L42" s="1928" t="s">
        <v>360</v>
      </c>
      <c r="M42" s="1224" t="s">
        <v>361</v>
      </c>
      <c r="N42" s="1929" t="s">
        <v>362</v>
      </c>
      <c r="O42" s="1930" t="s">
        <v>363</v>
      </c>
      <c r="P42" s="1909"/>
      <c r="V42" s="1909"/>
    </row>
    <row r="43" spans="1:26" ht="30">
      <c r="A43" s="3907" t="s">
        <v>2708</v>
      </c>
      <c r="B43" s="3908"/>
      <c r="C43" s="260">
        <f>IF(H33="正常操作",G33+G34+G35,G34+G35)</f>
        <v>0</v>
      </c>
      <c r="D43" s="313" t="s">
        <v>43</v>
      </c>
      <c r="E43" s="313" t="s">
        <v>44</v>
      </c>
      <c r="F43" s="314" t="s">
        <v>44</v>
      </c>
      <c r="G43" s="2581" t="s">
        <v>941</v>
      </c>
      <c r="H43" s="307"/>
      <c r="I43" s="315"/>
      <c r="J43" s="1911"/>
      <c r="K43" s="1225" t="str">
        <f>C4</f>
        <v>基准地价办公</v>
      </c>
      <c r="L43" s="1226">
        <f ca="1">IF(L42="估价结果/万元",C19,C20)</f>
        <v>424746</v>
      </c>
      <c r="M43" s="1227">
        <f>C18</f>
        <v>0.3</v>
      </c>
      <c r="N43" s="1228">
        <f ca="1">IF(N42="测算结果/万元",G19,G20)</f>
        <v>395127</v>
      </c>
      <c r="O43" s="1229">
        <f ca="1">IF(O42="最终结果/万元",C32,C33)</f>
        <v>395127</v>
      </c>
      <c r="P43" s="1909"/>
      <c r="V43" s="1909"/>
    </row>
    <row r="44" spans="1:26" ht="18.75" thickBot="1">
      <c r="A44" s="3896" t="str">
        <f>IF(OR(项目基本情况!E8="抵押价格",项目基本情况!E8="已注销及未注销"),"3.抵押价格","——")</f>
        <v>——</v>
      </c>
      <c r="B44" s="3897"/>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382433</v>
      </c>
      <c r="M44" s="1232">
        <f>D18</f>
        <v>0.7</v>
      </c>
      <c r="N44" s="1233"/>
      <c r="O44" s="1234"/>
      <c r="P44" s="1909"/>
      <c r="V44" s="1909"/>
    </row>
    <row r="45" spans="1:26" ht="15">
      <c r="A45" s="3902" t="str">
        <f>IF(项目基本情况!E8="已注销及未注销","4.抵押担保权已注销时的抵押价格",IF(项目基本情况!E8="已注销","3.抵押担保权已注销时的抵押价格","——"))</f>
        <v>——</v>
      </c>
      <c r="B45" s="3903"/>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898" t="str">
        <f>IF(项目基本情况!E9="抵押净值",IF(A45="——","4.抵押净值","5.抵押净值"),"——")</f>
        <v>——</v>
      </c>
      <c r="B46" s="3899"/>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46" t="s">
        <v>372</v>
      </c>
      <c r="B63" s="3947"/>
      <c r="C63" s="3948"/>
      <c r="D63" s="337">
        <f ca="1">ROUND(C42*F63,0)</f>
        <v>395127</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04" t="s">
        <v>376</v>
      </c>
      <c r="B64" s="3905"/>
      <c r="C64" s="3905"/>
      <c r="D64" s="3905"/>
      <c r="E64" s="3905"/>
      <c r="F64" s="3905"/>
      <c r="G64" s="3906"/>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00" t="s">
        <v>384</v>
      </c>
      <c r="B66" s="3901"/>
      <c r="C66" s="3901"/>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61" t="s">
        <v>383</v>
      </c>
      <c r="M66" s="3962"/>
      <c r="N66" s="2310"/>
      <c r="O66" s="2311"/>
      <c r="P66" s="2312"/>
      <c r="Q66" s="1909"/>
      <c r="R66" s="1909"/>
      <c r="S66" s="1909"/>
      <c r="T66" s="1909"/>
      <c r="U66" s="1909"/>
      <c r="V66" s="1909"/>
    </row>
    <row r="67" spans="1:22" ht="25.5" customHeight="1">
      <c r="A67" s="348" t="s">
        <v>387</v>
      </c>
      <c r="B67" s="3891" t="s">
        <v>388</v>
      </c>
      <c r="C67" s="3891"/>
      <c r="D67" s="349">
        <v>0</v>
      </c>
      <c r="E67" s="40" t="s">
        <v>389</v>
      </c>
      <c r="F67" s="61" t="s">
        <v>21</v>
      </c>
      <c r="G67" s="3949"/>
      <c r="H67" s="2995" t="s">
        <v>2959</v>
      </c>
      <c r="I67" s="2997"/>
      <c r="J67" s="1916"/>
      <c r="K67" s="1888">
        <v>2</v>
      </c>
      <c r="L67" s="3955" t="s">
        <v>386</v>
      </c>
      <c r="M67" s="3955"/>
      <c r="N67" s="1277">
        <f>'数据-取费表'!B2</f>
        <v>44545</v>
      </c>
      <c r="O67" s="1277"/>
      <c r="P67" s="1277"/>
      <c r="Q67" s="1909"/>
      <c r="R67" s="1909"/>
      <c r="S67" s="1909"/>
      <c r="T67" s="1909"/>
      <c r="U67" s="1909"/>
      <c r="V67" s="1909"/>
    </row>
    <row r="68" spans="1:22" ht="25.5" customHeight="1">
      <c r="A68" s="350"/>
      <c r="B68" s="3891" t="s">
        <v>391</v>
      </c>
      <c r="C68" s="3891"/>
      <c r="D68" s="351"/>
      <c r="E68" s="76"/>
      <c r="F68" s="352"/>
      <c r="G68" s="3950"/>
      <c r="H68" s="2996" t="s">
        <v>2960</v>
      </c>
      <c r="I68" s="2997"/>
      <c r="J68" s="1916"/>
      <c r="K68" s="1888">
        <v>3</v>
      </c>
      <c r="L68" s="3955" t="s">
        <v>390</v>
      </c>
      <c r="M68" s="3955"/>
      <c r="N68" s="1245">
        <f ca="1">C42</f>
        <v>395127</v>
      </c>
      <c r="O68" s="1245"/>
      <c r="P68" s="1245"/>
      <c r="Q68" s="1909"/>
      <c r="R68" s="1909"/>
      <c r="S68" s="1909"/>
      <c r="T68" s="1909"/>
      <c r="U68" s="1909"/>
      <c r="V68" s="1909"/>
    </row>
    <row r="69" spans="1:22" ht="23.45" customHeight="1">
      <c r="A69" s="353"/>
      <c r="B69" s="3891" t="s">
        <v>392</v>
      </c>
      <c r="C69" s="3891"/>
      <c r="D69" s="354"/>
      <c r="E69" s="72"/>
      <c r="F69" s="352"/>
      <c r="G69" s="3951"/>
      <c r="H69" s="2996" t="s">
        <v>2961</v>
      </c>
      <c r="I69" s="2997"/>
      <c r="J69" s="1916"/>
      <c r="K69" s="1246">
        <v>4</v>
      </c>
      <c r="L69" s="3965" t="s">
        <v>2860</v>
      </c>
      <c r="M69" s="3966"/>
      <c r="N69" s="1247" t="str">
        <f>C44</f>
        <v>——</v>
      </c>
      <c r="O69" s="1247"/>
      <c r="P69" s="1247"/>
      <c r="Q69" s="1909"/>
      <c r="R69" s="1909"/>
      <c r="S69" s="1909"/>
      <c r="T69" s="1909"/>
      <c r="U69" s="1909"/>
      <c r="V69" s="1909"/>
    </row>
    <row r="70" spans="1:22" ht="24" customHeight="1">
      <c r="A70" s="355" t="s">
        <v>393</v>
      </c>
      <c r="B70" s="3891" t="s">
        <v>394</v>
      </c>
      <c r="C70" s="3891"/>
      <c r="D70" s="354">
        <f ca="1">ROUND(D63*'数据-取费表'!B41/(1+'数据-取费表'!C42),0)</f>
        <v>20697</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892" t="s">
        <v>2990</v>
      </c>
      <c r="C71" s="3893"/>
      <c r="D71" s="354">
        <f ca="1">ROUND(D63*'数据-取费表'!B41/(1+'数据-取费表'!C42),0)</f>
        <v>20697</v>
      </c>
      <c r="E71" s="17" t="s">
        <v>395</v>
      </c>
      <c r="F71" s="356">
        <f>'数据-取费表'!B41</f>
        <v>5.5000000000000007E-2</v>
      </c>
      <c r="G71" s="357"/>
      <c r="H71" s="307"/>
      <c r="I71" s="1244"/>
      <c r="J71" s="1916"/>
      <c r="K71" s="2762" t="s">
        <v>396</v>
      </c>
      <c r="L71" s="3967" t="s">
        <v>397</v>
      </c>
      <c r="M71" s="3967"/>
      <c r="N71" s="2762" t="s">
        <v>398</v>
      </c>
      <c r="O71" s="2762" t="s">
        <v>399</v>
      </c>
      <c r="P71" s="2762" t="s">
        <v>400</v>
      </c>
      <c r="Q71" s="1909"/>
      <c r="R71" s="1909"/>
      <c r="S71" s="1909"/>
      <c r="T71" s="1909"/>
      <c r="U71" s="1909"/>
      <c r="V71" s="1909"/>
    </row>
    <row r="72" spans="1:22" ht="12" customHeight="1">
      <c r="A72" s="355" t="s">
        <v>403</v>
      </c>
      <c r="B72" s="3892" t="s">
        <v>2991</v>
      </c>
      <c r="C72" s="3893"/>
      <c r="D72" s="354">
        <f ca="1">C86</f>
        <v>20697</v>
      </c>
      <c r="E72" s="72" t="s">
        <v>404</v>
      </c>
      <c r="F72" s="356">
        <f>'数据-取费表'!B41</f>
        <v>5.5000000000000007E-2</v>
      </c>
      <c r="G72" s="357"/>
      <c r="H72" s="1250"/>
      <c r="I72" s="1244"/>
      <c r="J72" s="1916"/>
      <c r="K72" s="1888">
        <v>1</v>
      </c>
      <c r="L72" s="3942" t="s">
        <v>402</v>
      </c>
      <c r="M72" s="3942"/>
      <c r="N72" s="1248" t="b">
        <f>D66</f>
        <v>0</v>
      </c>
      <c r="O72" s="1771" t="str">
        <f>E66</f>
        <v>销售额×税（费）率</v>
      </c>
      <c r="P72" s="1249">
        <f>F66</f>
        <v>5.5000000000000007E-2</v>
      </c>
      <c r="Q72" s="1909"/>
      <c r="R72" s="1909"/>
      <c r="S72" s="1909"/>
      <c r="T72" s="1909"/>
      <c r="U72" s="1909"/>
      <c r="V72" s="1909"/>
    </row>
    <row r="73" spans="1:22" ht="24" customHeight="1">
      <c r="A73" s="3937" t="s">
        <v>406</v>
      </c>
      <c r="B73" s="3901"/>
      <c r="C73" s="3901"/>
      <c r="D73" s="358">
        <f ca="1">IF(H73="个人住宅",0,ROUND(D63*I73,0))</f>
        <v>198</v>
      </c>
      <c r="E73" s="17" t="s">
        <v>407</v>
      </c>
      <c r="F73" s="356" t="str">
        <f>IF(H73="正常",I73,"免征")</f>
        <v>免征</v>
      </c>
      <c r="G73" s="357"/>
      <c r="H73" s="188"/>
      <c r="I73" s="356">
        <f>'数据-取费表'!B49</f>
        <v>5.0000000000000001E-4</v>
      </c>
      <c r="J73" s="1916"/>
      <c r="K73" s="1888">
        <v>2</v>
      </c>
      <c r="L73" s="3942" t="s">
        <v>405</v>
      </c>
      <c r="M73" s="3942"/>
      <c r="N73" s="1248">
        <f t="shared" ref="N73:P74" ca="1" si="1">D73</f>
        <v>198</v>
      </c>
      <c r="O73" s="1771" t="str">
        <f t="shared" si="1"/>
        <v>销售额×税（费）率</v>
      </c>
      <c r="P73" s="1249" t="str">
        <f t="shared" si="1"/>
        <v>免征</v>
      </c>
      <c r="Q73" s="1909"/>
      <c r="R73" s="1909"/>
      <c r="S73" s="1909"/>
      <c r="T73" s="1909"/>
      <c r="U73" s="1909"/>
      <c r="V73" s="1909"/>
    </row>
    <row r="74" spans="1:22" ht="24.75">
      <c r="A74" s="3937" t="s">
        <v>409</v>
      </c>
      <c r="B74" s="3901"/>
      <c r="C74" s="3901"/>
      <c r="D74" s="358">
        <f ca="1">IF(H74="个人住宅",D75,D76)</f>
        <v>223999</v>
      </c>
      <c r="E74" s="17" t="s">
        <v>410</v>
      </c>
      <c r="F74" s="356" t="str">
        <f>IF(H74="正常",F76,"免征")</f>
        <v>免征</v>
      </c>
      <c r="G74" s="969" t="s">
        <v>411</v>
      </c>
      <c r="H74" s="359"/>
      <c r="I74" s="41"/>
      <c r="J74" s="1916"/>
      <c r="K74" s="1888">
        <v>3</v>
      </c>
      <c r="L74" s="3942" t="s">
        <v>408</v>
      </c>
      <c r="M74" s="3942"/>
      <c r="N74" s="1248">
        <f t="shared" ca="1" si="1"/>
        <v>223999</v>
      </c>
      <c r="O74" s="1771" t="str">
        <f t="shared" si="1"/>
        <v>增值额×税（费）率</v>
      </c>
      <c r="P74" s="1251" t="str">
        <f t="shared" si="1"/>
        <v>免征</v>
      </c>
      <c r="Q74" s="1909"/>
      <c r="R74" s="1909"/>
      <c r="S74" s="1909"/>
      <c r="T74" s="1909"/>
      <c r="U74" s="1909"/>
      <c r="V74" s="1909"/>
    </row>
    <row r="75" spans="1:22" ht="12.75">
      <c r="A75" s="355" t="s">
        <v>412</v>
      </c>
      <c r="B75" s="3889" t="s">
        <v>413</v>
      </c>
      <c r="C75" s="3925"/>
      <c r="D75" s="360">
        <v>0</v>
      </c>
      <c r="E75" s="40" t="s">
        <v>414</v>
      </c>
      <c r="F75" s="361"/>
      <c r="G75" s="357"/>
      <c r="H75" s="41"/>
      <c r="I75" s="41"/>
      <c r="J75" s="1916"/>
      <c r="K75" s="2756">
        <f>IF(H77="非个人房产","",4)</f>
        <v>4</v>
      </c>
      <c r="L75" s="3942" t="str">
        <f>IF(H77="非个人房产","——","个人所得税")</f>
        <v>个人所得税</v>
      </c>
      <c r="M75" s="3942"/>
      <c r="N75" s="1252">
        <f>D77</f>
        <v>0</v>
      </c>
      <c r="O75" s="1784" t="str">
        <f>E77</f>
        <v>差额计税</v>
      </c>
      <c r="P75" s="1253">
        <f>F77</f>
        <v>0.01</v>
      </c>
      <c r="Q75" s="1909"/>
      <c r="R75" s="1909"/>
      <c r="S75" s="1909"/>
      <c r="T75" s="1909"/>
      <c r="U75" s="1909"/>
      <c r="V75" s="1909"/>
    </row>
    <row r="76" spans="1:22" ht="24.75">
      <c r="A76" s="355" t="s">
        <v>393</v>
      </c>
      <c r="B76" s="3889" t="s">
        <v>416</v>
      </c>
      <c r="C76" s="3890"/>
      <c r="D76" s="358">
        <f ca="1">IF(H76="转让取得",C99,C115)</f>
        <v>223999</v>
      </c>
      <c r="E76" s="17" t="s">
        <v>417</v>
      </c>
      <c r="F76" s="52" t="s">
        <v>21</v>
      </c>
      <c r="G76" s="357"/>
      <c r="H76" s="359"/>
      <c r="I76" s="41"/>
      <c r="J76" s="1916"/>
      <c r="K76" s="2756" t="str">
        <f>IF(项目基本情况!K6="上海银行",IF(K75="",4,K75+1),"")</f>
        <v/>
      </c>
      <c r="L76" s="3957" t="str">
        <f>IF(项目基本情况!K6="上海银行","其他处置费用","")</f>
        <v/>
      </c>
      <c r="M76" s="3958"/>
      <c r="N76" s="1248" t="str">
        <f>IF(项目基本情况!K6="上海银行",N89,"")</f>
        <v/>
      </c>
      <c r="O76" s="3959" t="str">
        <f>IF(项目基本情况!K6="上海银行","包含处置中涉及的律师、诉讼、拍卖、评估等费用","")</f>
        <v/>
      </c>
      <c r="P76" s="3960"/>
      <c r="Q76" s="1909"/>
      <c r="R76" s="1909"/>
      <c r="S76" s="1909"/>
      <c r="T76" s="1909"/>
      <c r="U76" s="1909"/>
      <c r="V76" s="1909"/>
    </row>
    <row r="77" spans="1:22" ht="24.75" thickBot="1">
      <c r="A77" s="3944" t="s">
        <v>419</v>
      </c>
      <c r="B77" s="3945"/>
      <c r="C77" s="3945"/>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43">
        <f>IF(AND(K75="",K76=""),4,IF(项目基本情况!K6="上海银行",K76+1,K75+1))</f>
        <v>5</v>
      </c>
      <c r="L77" s="3942" t="s">
        <v>2861</v>
      </c>
      <c r="M77" s="2761" t="s">
        <v>415</v>
      </c>
      <c r="N77" s="1254"/>
      <c r="O77" s="1255">
        <f ca="1">SUMIF(N72:N76,"&lt;9e307")</f>
        <v>224197</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43"/>
      <c r="L78" s="3942"/>
      <c r="M78" s="2761" t="s">
        <v>418</v>
      </c>
      <c r="N78" s="1254"/>
      <c r="O78" s="1255" t="str">
        <f ca="1">NUMBERSTRING(INT(O77*10000),2)&amp;"元整"</f>
        <v>贰拾贰亿肆仟壹佰玖拾柒万元整</v>
      </c>
      <c r="P78" s="1256"/>
      <c r="Q78" s="1909"/>
      <c r="R78" s="1909"/>
      <c r="S78" s="1909"/>
      <c r="T78" s="1909"/>
      <c r="U78" s="1909"/>
      <c r="V78" s="1909"/>
    </row>
    <row r="79" spans="1:22" ht="13.5" thickBot="1">
      <c r="A79" s="3909" t="s">
        <v>420</v>
      </c>
      <c r="B79" s="3909"/>
      <c r="C79" s="3909"/>
      <c r="D79" s="3909"/>
      <c r="E79" s="3909"/>
      <c r="F79" s="41"/>
      <c r="G79" s="41"/>
      <c r="H79" s="989"/>
      <c r="I79" s="307"/>
      <c r="J79" s="1916"/>
      <c r="K79" s="3963">
        <f>K77+1</f>
        <v>6</v>
      </c>
      <c r="L79" s="3942" t="s">
        <v>2862</v>
      </c>
      <c r="M79" s="2761" t="s">
        <v>415</v>
      </c>
      <c r="N79" s="1254"/>
      <c r="O79" s="1255" t="e">
        <f ca="1">N69-O77</f>
        <v>#VALUE!</v>
      </c>
      <c r="P79" s="1256"/>
      <c r="Q79" s="1909"/>
      <c r="R79" s="1909"/>
      <c r="S79" s="1909"/>
      <c r="T79" s="1909"/>
      <c r="U79" s="1909"/>
      <c r="V79" s="1909"/>
    </row>
    <row r="80" spans="1:22" ht="12.75">
      <c r="A80" s="3910" t="s">
        <v>421</v>
      </c>
      <c r="B80" s="3911"/>
      <c r="C80" s="980"/>
      <c r="D80" s="980" t="s">
        <v>422</v>
      </c>
      <c r="E80" s="362" t="s">
        <v>423</v>
      </c>
      <c r="F80" s="41"/>
      <c r="G80" s="41"/>
      <c r="H80" s="989"/>
      <c r="I80" s="307"/>
      <c r="J80" s="1909"/>
      <c r="K80" s="3964"/>
      <c r="L80" s="3942"/>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376311</v>
      </c>
      <c r="D81" s="365"/>
      <c r="E81" s="366"/>
      <c r="F81" s="41"/>
      <c r="G81" s="41"/>
      <c r="H81" s="989"/>
      <c r="I81" s="307"/>
      <c r="J81" s="1909"/>
      <c r="K81" s="2756">
        <f>K79+1</f>
        <v>7</v>
      </c>
      <c r="L81" s="3940" t="s">
        <v>2863</v>
      </c>
      <c r="M81" s="3941"/>
      <c r="N81" s="1258"/>
      <c r="O81" s="1259" t="e">
        <f ca="1">ROUND(O79*10000/'数据-汇总表'!E3,0)</f>
        <v>#VALUE!</v>
      </c>
      <c r="P81" s="1260"/>
      <c r="Q81" s="1909"/>
      <c r="R81" s="1909"/>
      <c r="S81" s="1909"/>
      <c r="T81" s="1909"/>
      <c r="U81" s="1909"/>
      <c r="V81" s="1909"/>
    </row>
    <row r="82" spans="1:26" ht="13.5" thickTop="1">
      <c r="A82" s="367" t="s">
        <v>1812</v>
      </c>
      <c r="B82" s="368" t="s">
        <v>425</v>
      </c>
      <c r="C82" s="369">
        <f ca="1">D63</f>
        <v>395127</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56"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56"/>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376311</v>
      </c>
      <c r="D85" s="370" t="s">
        <v>19</v>
      </c>
      <c r="E85" s="371"/>
      <c r="F85" s="41"/>
      <c r="G85" s="41"/>
      <c r="H85" s="989"/>
      <c r="I85" s="307"/>
      <c r="J85" s="1909"/>
      <c r="K85" s="3956"/>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20697</v>
      </c>
      <c r="D86" s="381">
        <f>'数据-取费表'!B41</f>
        <v>5.5000000000000007E-2</v>
      </c>
      <c r="E86" s="382"/>
      <c r="F86" s="41"/>
      <c r="G86" s="41"/>
      <c r="H86" s="989"/>
      <c r="I86" s="307"/>
      <c r="J86" s="1909"/>
      <c r="K86" s="3956"/>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56"/>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35" t="s">
        <v>430</v>
      </c>
      <c r="B88" s="3936"/>
      <c r="C88" s="3936"/>
      <c r="D88" s="3936"/>
      <c r="E88" s="3936"/>
      <c r="F88" s="3936"/>
      <c r="G88" s="3936"/>
      <c r="H88" s="3936"/>
      <c r="I88" s="1267"/>
      <c r="J88" s="1917"/>
      <c r="K88" s="3956"/>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10" t="s">
        <v>421</v>
      </c>
      <c r="B89" s="3911"/>
      <c r="C89" s="980"/>
      <c r="D89" s="980" t="s">
        <v>422</v>
      </c>
      <c r="E89" s="383" t="s">
        <v>431</v>
      </c>
      <c r="F89" s="384"/>
      <c r="G89" s="384"/>
      <c r="H89" s="385"/>
      <c r="I89" s="1268"/>
      <c r="J89" s="1919"/>
      <c r="K89" s="3956"/>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376311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1882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892" t="s">
        <v>439</v>
      </c>
      <c r="F94" s="3891"/>
      <c r="G94" s="3891"/>
      <c r="H94" s="3934"/>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1882</v>
      </c>
      <c r="D96" s="398">
        <f>'数据-取费表'!B43</f>
        <v>5.000000000000001E-3</v>
      </c>
      <c r="E96" s="3926" t="s">
        <v>2410</v>
      </c>
      <c r="F96" s="3927"/>
      <c r="G96" s="3927"/>
      <c r="H96" s="392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374429</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198.95270988310307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223999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35" t="s">
        <v>446</v>
      </c>
      <c r="B101" s="3936"/>
      <c r="C101" s="3936"/>
      <c r="D101" s="3936"/>
      <c r="E101" s="3936"/>
      <c r="F101" s="3936"/>
      <c r="G101" s="3936"/>
      <c r="H101" s="3936"/>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10" t="s">
        <v>421</v>
      </c>
      <c r="B102" s="3911"/>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376311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1882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886" t="s">
        <v>2954</v>
      </c>
      <c r="H108" s="3887"/>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29" t="s">
        <v>454</v>
      </c>
      <c r="F109" s="3927"/>
      <c r="G109" s="3927"/>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29" t="s">
        <v>456</v>
      </c>
      <c r="F110" s="3927"/>
      <c r="G110" s="3927"/>
      <c r="H110" s="3928"/>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1882</v>
      </c>
      <c r="D111" s="398">
        <f>'数据-取费表'!B43</f>
        <v>5.000000000000001E-3</v>
      </c>
      <c r="E111" s="3926" t="s">
        <v>2410</v>
      </c>
      <c r="F111" s="3927"/>
      <c r="G111" s="3927"/>
      <c r="H111" s="392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29" t="s">
        <v>2433</v>
      </c>
      <c r="F112" s="3927"/>
      <c r="G112" s="3927"/>
      <c r="H112" s="392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374429</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198.95270988310307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223999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1" t="str">
        <f>项目基本情况!B1</f>
        <v>北京市储备国有建设用地使用权预评估</v>
      </c>
      <c r="C37" s="3791"/>
      <c r="D37" s="3791"/>
      <c r="E37" s="3791"/>
      <c r="F37" s="3791"/>
      <c r="G37" s="3791"/>
      <c r="H37" s="3791"/>
      <c r="I37" s="3791"/>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0</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0</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0</v>
      </c>
      <c r="D33" s="459">
        <f ca="1">C34</f>
        <v>0</v>
      </c>
      <c r="E33" s="461" t="s">
        <v>487</v>
      </c>
      <c r="F33" s="471">
        <f ca="1">IF(B1="",'数据-取费表'!Q16,INDIRECT("'数据-取费表'!q"&amp;$K$1))</f>
        <v>0</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#DIV/0!</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363000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10890</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14520</v>
      </c>
      <c r="D16" s="443">
        <f ca="1">IF(B1="",'数据-汇总表'!E3,INDIRECT("'数据-取费表'!K"&amp;$K$1)+INDIRECT("'数据-取费表'!S"&amp;$K$1))</f>
        <v>726000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5445</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393855</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7877</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28961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28961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92398</v>
      </c>
      <c r="D24" s="481">
        <f ca="1">C26</f>
        <v>4.5999999999999999E-3</v>
      </c>
      <c r="E24" s="461" t="s">
        <v>499</v>
      </c>
      <c r="F24" s="471">
        <f ca="1">IF(B1="",'数据-取费表'!Q16,INDIRECT("'数据-取费表'!q"&amp;$K$1))</f>
        <v>0.23</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92398</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4.5999999999999999E-3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567590</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77" t="s">
        <v>514</v>
      </c>
      <c r="D6" s="3978"/>
      <c r="E6" s="3977" t="s">
        <v>515</v>
      </c>
      <c r="F6" s="3978"/>
      <c r="G6" s="3977" t="s">
        <v>516</v>
      </c>
      <c r="H6" s="3978"/>
      <c r="I6" s="3977" t="s">
        <v>517</v>
      </c>
      <c r="J6" s="3978"/>
      <c r="K6" s="506" t="s">
        <v>518</v>
      </c>
      <c r="L6" s="2013"/>
      <c r="M6" s="2012"/>
      <c r="N6" s="2012"/>
      <c r="O6" s="2014"/>
      <c r="P6" s="3979" t="s">
        <v>519</v>
      </c>
      <c r="Q6" s="3980"/>
      <c r="R6" s="3985" t="s">
        <v>515</v>
      </c>
      <c r="S6" s="3986"/>
      <c r="T6" s="3985" t="s">
        <v>516</v>
      </c>
      <c r="U6" s="3986"/>
      <c r="V6" s="3972" t="s">
        <v>517</v>
      </c>
      <c r="W6" s="3972"/>
      <c r="X6" s="1500"/>
      <c r="Y6" s="3985" t="s">
        <v>519</v>
      </c>
      <c r="Z6" s="3986"/>
      <c r="AA6" s="3974" t="s">
        <v>515</v>
      </c>
      <c r="AB6" s="3975" t="s">
        <v>516</v>
      </c>
      <c r="AC6" s="3974" t="s">
        <v>517</v>
      </c>
    </row>
    <row r="7" spans="1:30" ht="20.25">
      <c r="A7" s="507"/>
      <c r="B7" s="508"/>
      <c r="C7" s="3993" t="s">
        <v>2892</v>
      </c>
      <c r="D7" s="3994"/>
      <c r="E7" s="3993" t="s">
        <v>2893</v>
      </c>
      <c r="F7" s="3994"/>
      <c r="G7" s="3993" t="s">
        <v>2894</v>
      </c>
      <c r="H7" s="3994"/>
      <c r="I7" s="3993" t="s">
        <v>2895</v>
      </c>
      <c r="J7" s="3994"/>
      <c r="K7" s="506"/>
      <c r="L7" s="2013"/>
      <c r="M7" s="2012"/>
      <c r="N7" s="2012"/>
      <c r="O7" s="2014"/>
      <c r="P7" s="3981"/>
      <c r="Q7" s="3982"/>
      <c r="R7" s="3987"/>
      <c r="S7" s="3988"/>
      <c r="T7" s="3987"/>
      <c r="U7" s="3988"/>
      <c r="V7" s="3972"/>
      <c r="W7" s="3972"/>
      <c r="X7" s="1500"/>
      <c r="Y7" s="3987"/>
      <c r="Z7" s="3988"/>
      <c r="AA7" s="3975"/>
      <c r="AB7" s="3975"/>
      <c r="AC7" s="3975"/>
    </row>
    <row r="8" spans="1:30" ht="21" thickBot="1">
      <c r="A8" s="507"/>
      <c r="B8" s="508"/>
      <c r="C8" s="3995" t="s">
        <v>2896</v>
      </c>
      <c r="D8" s="3996"/>
      <c r="E8" s="3995" t="s">
        <v>2896</v>
      </c>
      <c r="F8" s="3996"/>
      <c r="G8" s="3991" t="s">
        <v>2896</v>
      </c>
      <c r="H8" s="3992"/>
      <c r="I8" s="3991" t="s">
        <v>2896</v>
      </c>
      <c r="J8" s="3992"/>
      <c r="K8" s="506" t="s">
        <v>520</v>
      </c>
      <c r="L8" s="2013"/>
      <c r="M8" s="2012"/>
      <c r="N8" s="2012"/>
      <c r="O8" s="2014"/>
      <c r="P8" s="3983"/>
      <c r="Q8" s="3984"/>
      <c r="R8" s="3987"/>
      <c r="S8" s="3988"/>
      <c r="T8" s="3989"/>
      <c r="U8" s="3990"/>
      <c r="V8" s="3972"/>
      <c r="W8" s="3972"/>
      <c r="X8" s="1500"/>
      <c r="Y8" s="3989"/>
      <c r="Z8" s="3990"/>
      <c r="AA8" s="3976"/>
      <c r="AB8" s="3976"/>
      <c r="AC8" s="3976"/>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4002" t="s">
        <v>522</v>
      </c>
      <c r="Q9" s="4004"/>
      <c r="R9" s="1501" t="s">
        <v>8</v>
      </c>
      <c r="S9" s="1502">
        <f t="shared" ref="S9:S17" si="0">F9</f>
        <v>0</v>
      </c>
      <c r="T9" s="1501" t="s">
        <v>8</v>
      </c>
      <c r="U9" s="1502">
        <f t="shared" ref="U9:U17" si="1">H9</f>
        <v>0</v>
      </c>
      <c r="V9" s="1501" t="s">
        <v>8</v>
      </c>
      <c r="W9" s="1502">
        <f t="shared" ref="W9:W17" si="2">J9</f>
        <v>0</v>
      </c>
      <c r="X9" s="1503"/>
      <c r="Y9" s="4002" t="s">
        <v>522</v>
      </c>
      <c r="Z9" s="4003"/>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4002" t="s">
        <v>525</v>
      </c>
      <c r="Q10" s="4003"/>
      <c r="R10" s="1501" t="s">
        <v>8</v>
      </c>
      <c r="S10" s="1502">
        <f t="shared" si="0"/>
        <v>0</v>
      </c>
      <c r="T10" s="1501" t="s">
        <v>8</v>
      </c>
      <c r="U10" s="1502">
        <f t="shared" si="1"/>
        <v>0</v>
      </c>
      <c r="V10" s="1501" t="s">
        <v>8</v>
      </c>
      <c r="W10" s="1502">
        <f t="shared" si="2"/>
        <v>0</v>
      </c>
      <c r="X10" s="1503"/>
      <c r="Y10" s="4002" t="s">
        <v>525</v>
      </c>
      <c r="Z10" s="4003"/>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71" t="s">
        <v>527</v>
      </c>
      <c r="Q11" s="1132" t="str">
        <f t="shared" ref="Q11:Q17" si="6">B11</f>
        <v>用途</v>
      </c>
      <c r="R11" s="1501" t="s">
        <v>8</v>
      </c>
      <c r="S11" s="1502">
        <f t="shared" si="0"/>
        <v>100</v>
      </c>
      <c r="T11" s="1501" t="s">
        <v>8</v>
      </c>
      <c r="U11" s="1502">
        <f t="shared" si="1"/>
        <v>100</v>
      </c>
      <c r="V11" s="1501" t="s">
        <v>8</v>
      </c>
      <c r="W11" s="1502">
        <f t="shared" si="2"/>
        <v>100</v>
      </c>
      <c r="X11" s="1503"/>
      <c r="Y11" s="3917"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71"/>
      <c r="Q12" s="1132" t="str">
        <f t="shared" si="6"/>
        <v>土地使用年限（年）</v>
      </c>
      <c r="R12" s="1501" t="s">
        <v>8</v>
      </c>
      <c r="S12" s="1502" t="e">
        <f t="shared" si="0"/>
        <v>#DIV/0!</v>
      </c>
      <c r="T12" s="1501" t="s">
        <v>8</v>
      </c>
      <c r="U12" s="1502" t="e">
        <f t="shared" si="1"/>
        <v>#DIV/0!</v>
      </c>
      <c r="V12" s="1501" t="s">
        <v>8</v>
      </c>
      <c r="W12" s="1502" t="e">
        <f t="shared" si="2"/>
        <v>#DIV/0!</v>
      </c>
      <c r="X12" s="1503"/>
      <c r="Y12" s="3917"/>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71"/>
      <c r="Q13" s="1132" t="str">
        <f t="shared" si="6"/>
        <v>容积率</v>
      </c>
      <c r="R13" s="1501" t="s">
        <v>8</v>
      </c>
      <c r="S13" s="1502" t="e">
        <f t="shared" si="0"/>
        <v>#N/A</v>
      </c>
      <c r="T13" s="1501" t="s">
        <v>8</v>
      </c>
      <c r="U13" s="1502" t="e">
        <f t="shared" si="1"/>
        <v>#N/A</v>
      </c>
      <c r="V13" s="1501" t="s">
        <v>8</v>
      </c>
      <c r="W13" s="1502" t="e">
        <f t="shared" si="2"/>
        <v>#N/A</v>
      </c>
      <c r="X13" s="1503"/>
      <c r="Y13" s="3917"/>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71"/>
      <c r="Q14" s="1132" t="str">
        <f t="shared" si="6"/>
        <v>配建</v>
      </c>
      <c r="R14" s="1501" t="s">
        <v>8</v>
      </c>
      <c r="S14" s="1502">
        <f t="shared" si="0"/>
        <v>100</v>
      </c>
      <c r="T14" s="1501" t="s">
        <v>8</v>
      </c>
      <c r="U14" s="1502">
        <f t="shared" si="1"/>
        <v>100</v>
      </c>
      <c r="V14" s="1501" t="s">
        <v>8</v>
      </c>
      <c r="W14" s="1502">
        <f t="shared" si="2"/>
        <v>100</v>
      </c>
      <c r="X14" s="1503"/>
      <c r="Y14" s="3917"/>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71"/>
      <c r="Q15" s="1132">
        <f t="shared" si="6"/>
        <v>111</v>
      </c>
      <c r="R15" s="1501" t="s">
        <v>8</v>
      </c>
      <c r="S15" s="1502">
        <f t="shared" si="0"/>
        <v>100</v>
      </c>
      <c r="T15" s="1501" t="s">
        <v>8</v>
      </c>
      <c r="U15" s="1502">
        <f t="shared" si="1"/>
        <v>100</v>
      </c>
      <c r="V15" s="1501" t="s">
        <v>8</v>
      </c>
      <c r="W15" s="1502">
        <f t="shared" si="2"/>
        <v>100</v>
      </c>
      <c r="X15" s="1503"/>
      <c r="Y15" s="3917"/>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71"/>
      <c r="Q16" s="1132">
        <f t="shared" si="6"/>
        <v>111</v>
      </c>
      <c r="R16" s="1501" t="s">
        <v>8</v>
      </c>
      <c r="S16" s="1502">
        <f t="shared" si="0"/>
        <v>100</v>
      </c>
      <c r="T16" s="1501" t="s">
        <v>8</v>
      </c>
      <c r="U16" s="1502">
        <f t="shared" si="1"/>
        <v>100</v>
      </c>
      <c r="V16" s="1501" t="s">
        <v>8</v>
      </c>
      <c r="W16" s="1502">
        <f t="shared" si="2"/>
        <v>100</v>
      </c>
      <c r="X16" s="1503"/>
      <c r="Y16" s="3917"/>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05" t="s">
        <v>532</v>
      </c>
      <c r="Q17" s="1505" t="str">
        <f t="shared" si="6"/>
        <v>居住社区成熟度</v>
      </c>
      <c r="R17" s="1506" t="s">
        <v>8</v>
      </c>
      <c r="S17" s="1507">
        <f t="shared" si="0"/>
        <v>100</v>
      </c>
      <c r="T17" s="1506" t="s">
        <v>8</v>
      </c>
      <c r="U17" s="1507">
        <f t="shared" si="1"/>
        <v>100</v>
      </c>
      <c r="V17" s="1506" t="s">
        <v>8</v>
      </c>
      <c r="W17" s="1507">
        <f t="shared" si="2"/>
        <v>100</v>
      </c>
      <c r="X17" s="1500"/>
      <c r="Y17" s="400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06"/>
      <c r="Q18" s="1505"/>
      <c r="R18" s="1506"/>
      <c r="S18" s="1507"/>
      <c r="T18" s="1506"/>
      <c r="U18" s="1507"/>
      <c r="V18" s="1506"/>
      <c r="W18" s="1507"/>
      <c r="X18" s="1500"/>
      <c r="Y18" s="400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06"/>
      <c r="Q19" s="1505" t="str">
        <f>B19</f>
        <v>商业繁华度</v>
      </c>
      <c r="R19" s="1506" t="s">
        <v>8</v>
      </c>
      <c r="S19" s="1507">
        <f>F19</f>
        <v>100</v>
      </c>
      <c r="T19" s="1506" t="s">
        <v>8</v>
      </c>
      <c r="U19" s="1507">
        <f>H19</f>
        <v>100</v>
      </c>
      <c r="V19" s="1506" t="s">
        <v>8</v>
      </c>
      <c r="W19" s="1507">
        <f>J19</f>
        <v>100</v>
      </c>
      <c r="X19" s="1500"/>
      <c r="Y19" s="400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06"/>
      <c r="Q20" s="1505"/>
      <c r="R20" s="1506"/>
      <c r="S20" s="1507"/>
      <c r="T20" s="1506"/>
      <c r="U20" s="1507"/>
      <c r="V20" s="1506"/>
      <c r="W20" s="1507"/>
      <c r="X20" s="1500"/>
      <c r="Y20" s="400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06"/>
      <c r="Q21" s="1505" t="str">
        <f>B21</f>
        <v>办公集聚程度</v>
      </c>
      <c r="R21" s="1506" t="s">
        <v>8</v>
      </c>
      <c r="S21" s="1507">
        <f>F21</f>
        <v>100</v>
      </c>
      <c r="T21" s="1506" t="s">
        <v>8</v>
      </c>
      <c r="U21" s="1507">
        <f>H21</f>
        <v>100</v>
      </c>
      <c r="V21" s="1506" t="s">
        <v>8</v>
      </c>
      <c r="W21" s="1507">
        <f>J21</f>
        <v>100</v>
      </c>
      <c r="X21" s="1500"/>
      <c r="Y21" s="400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06"/>
      <c r="Q22" s="1505"/>
      <c r="R22" s="1506"/>
      <c r="S22" s="1507"/>
      <c r="T22" s="1506"/>
      <c r="U22" s="1507"/>
      <c r="V22" s="1506"/>
      <c r="W22" s="1507"/>
      <c r="X22" s="1500"/>
      <c r="Y22" s="400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06"/>
      <c r="Q23" s="1505" t="str">
        <f>B23</f>
        <v>交通便捷度</v>
      </c>
      <c r="R23" s="1506" t="s">
        <v>8</v>
      </c>
      <c r="S23" s="1507">
        <f>F23</f>
        <v>100</v>
      </c>
      <c r="T23" s="1506" t="s">
        <v>8</v>
      </c>
      <c r="U23" s="1507">
        <f>H23</f>
        <v>100</v>
      </c>
      <c r="V23" s="1506" t="s">
        <v>8</v>
      </c>
      <c r="W23" s="1507">
        <f>J23</f>
        <v>100</v>
      </c>
      <c r="X23" s="1500"/>
      <c r="Y23" s="400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06"/>
      <c r="Q24" s="1505"/>
      <c r="R24" s="1506"/>
      <c r="S24" s="1507"/>
      <c r="T24" s="1506"/>
      <c r="U24" s="1507"/>
      <c r="V24" s="1506"/>
      <c r="W24" s="1507"/>
      <c r="X24" s="1500"/>
      <c r="Y24" s="4006"/>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06"/>
      <c r="Q25" s="1505" t="str">
        <f t="shared" ref="Q25:Q39" si="8">B25</f>
        <v>区域土地利用方向</v>
      </c>
      <c r="R25" s="1506" t="s">
        <v>8</v>
      </c>
      <c r="S25" s="1507">
        <f>F25</f>
        <v>100</v>
      </c>
      <c r="T25" s="1506" t="s">
        <v>8</v>
      </c>
      <c r="U25" s="1507">
        <f>H25</f>
        <v>100</v>
      </c>
      <c r="V25" s="1506" t="s">
        <v>8</v>
      </c>
      <c r="W25" s="1507">
        <f>J25</f>
        <v>100</v>
      </c>
      <c r="X25" s="1500"/>
      <c r="Y25" s="400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06"/>
      <c r="Q26" s="1505"/>
      <c r="R26" s="1506"/>
      <c r="S26" s="1507"/>
      <c r="T26" s="1506"/>
      <c r="U26" s="1507"/>
      <c r="V26" s="1506"/>
      <c r="W26" s="1507"/>
      <c r="X26" s="1500"/>
      <c r="Y26" s="400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06"/>
      <c r="Q27" s="1505" t="str">
        <f t="shared" si="8"/>
        <v>自然及人文环境状况</v>
      </c>
      <c r="R27" s="1506" t="s">
        <v>8</v>
      </c>
      <c r="S27" s="1507">
        <f>F27</f>
        <v>100</v>
      </c>
      <c r="T27" s="1506" t="s">
        <v>8</v>
      </c>
      <c r="U27" s="1507">
        <f>H27</f>
        <v>100</v>
      </c>
      <c r="V27" s="1506" t="s">
        <v>8</v>
      </c>
      <c r="W27" s="1507">
        <f>J27</f>
        <v>100</v>
      </c>
      <c r="X27" s="1500"/>
      <c r="Y27" s="400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06"/>
      <c r="Q28" s="1505"/>
      <c r="R28" s="1506"/>
      <c r="S28" s="1507"/>
      <c r="T28" s="1506"/>
      <c r="U28" s="1507"/>
      <c r="V28" s="1506"/>
      <c r="W28" s="1507"/>
      <c r="X28" s="1500"/>
      <c r="Y28" s="400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06"/>
      <c r="Q29" s="1132" t="str">
        <f t="shared" si="8"/>
        <v>公共配套设施</v>
      </c>
      <c r="R29" s="1501" t="s">
        <v>8</v>
      </c>
      <c r="S29" s="1502">
        <f>F29</f>
        <v>100</v>
      </c>
      <c r="T29" s="1501" t="s">
        <v>8</v>
      </c>
      <c r="U29" s="1502">
        <f>H29</f>
        <v>100</v>
      </c>
      <c r="V29" s="1501" t="s">
        <v>8</v>
      </c>
      <c r="W29" s="1502">
        <f>J29</f>
        <v>100</v>
      </c>
      <c r="X29" s="1503"/>
      <c r="Y29" s="400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06"/>
      <c r="Q30" s="1132"/>
      <c r="R30" s="1501"/>
      <c r="S30" s="1502"/>
      <c r="T30" s="1501"/>
      <c r="U30" s="1502"/>
      <c r="V30" s="1501"/>
      <c r="W30" s="1502"/>
      <c r="X30" s="1503"/>
      <c r="Y30" s="400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06"/>
      <c r="Q31" s="2426" t="str">
        <f t="shared" ref="Q31" si="9">B31</f>
        <v>基础设施水平</v>
      </c>
      <c r="R31" s="1501" t="s">
        <v>8</v>
      </c>
      <c r="S31" s="1502">
        <f>F31</f>
        <v>100</v>
      </c>
      <c r="T31" s="1501" t="s">
        <v>8</v>
      </c>
      <c r="U31" s="1502">
        <f>H31</f>
        <v>100</v>
      </c>
      <c r="V31" s="1501" t="s">
        <v>8</v>
      </c>
      <c r="W31" s="1502">
        <f>J31</f>
        <v>100</v>
      </c>
      <c r="X31" s="1503"/>
      <c r="Y31" s="400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06"/>
      <c r="Q32" s="2426"/>
      <c r="R32" s="1501"/>
      <c r="S32" s="1502"/>
      <c r="T32" s="1501"/>
      <c r="U32" s="1502"/>
      <c r="V32" s="1501"/>
      <c r="W32" s="1502"/>
      <c r="X32" s="1503"/>
      <c r="Y32" s="400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0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0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06"/>
      <c r="Q34" s="1505" t="str">
        <f t="shared" si="8"/>
        <v>毗邻道路的类型与等级</v>
      </c>
      <c r="R34" s="1506" t="s">
        <v>8</v>
      </c>
      <c r="S34" s="1507">
        <f t="shared" si="10"/>
        <v>100</v>
      </c>
      <c r="T34" s="1506" t="s">
        <v>8</v>
      </c>
      <c r="U34" s="1507">
        <f t="shared" si="11"/>
        <v>100</v>
      </c>
      <c r="V34" s="1506" t="s">
        <v>8</v>
      </c>
      <c r="W34" s="1507">
        <f t="shared" si="12"/>
        <v>100</v>
      </c>
      <c r="X34" s="1500"/>
      <c r="Y34" s="400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06"/>
      <c r="Q35" s="1505"/>
      <c r="R35" s="1506"/>
      <c r="S35" s="1507"/>
      <c r="T35" s="1506"/>
      <c r="U35" s="1507"/>
      <c r="V35" s="1506"/>
      <c r="W35" s="1507"/>
      <c r="X35" s="1500"/>
      <c r="Y35" s="400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06"/>
      <c r="Q36" s="1505" t="str">
        <f t="shared" si="8"/>
        <v>土地级别</v>
      </c>
      <c r="R36" s="1506" t="s">
        <v>8</v>
      </c>
      <c r="S36" s="1507">
        <f t="shared" si="10"/>
        <v>100</v>
      </c>
      <c r="T36" s="1506" t="s">
        <v>8</v>
      </c>
      <c r="U36" s="1507">
        <f t="shared" si="11"/>
        <v>100</v>
      </c>
      <c r="V36" s="1506" t="s">
        <v>8</v>
      </c>
      <c r="W36" s="1507">
        <f t="shared" si="12"/>
        <v>100</v>
      </c>
      <c r="X36" s="1500"/>
      <c r="Y36" s="400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06"/>
      <c r="Q37" s="1505">
        <f t="shared" si="8"/>
        <v>111</v>
      </c>
      <c r="R37" s="1506" t="s">
        <v>8</v>
      </c>
      <c r="S37" s="1507">
        <f t="shared" si="10"/>
        <v>100</v>
      </c>
      <c r="T37" s="1506" t="s">
        <v>8</v>
      </c>
      <c r="U37" s="1507">
        <f t="shared" si="11"/>
        <v>100</v>
      </c>
      <c r="V37" s="1506" t="s">
        <v>8</v>
      </c>
      <c r="W37" s="1507">
        <f t="shared" si="12"/>
        <v>100</v>
      </c>
      <c r="X37" s="1500"/>
      <c r="Y37" s="400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07" t="s">
        <v>542</v>
      </c>
      <c r="Q38" s="1505">
        <f t="shared" si="8"/>
        <v>111</v>
      </c>
      <c r="R38" s="1506" t="s">
        <v>8</v>
      </c>
      <c r="S38" s="1507">
        <f t="shared" si="10"/>
        <v>100</v>
      </c>
      <c r="T38" s="1506" t="s">
        <v>8</v>
      </c>
      <c r="U38" s="1507">
        <f t="shared" si="11"/>
        <v>100</v>
      </c>
      <c r="V38" s="1506" t="s">
        <v>8</v>
      </c>
      <c r="W38" s="1507">
        <f t="shared" si="12"/>
        <v>100</v>
      </c>
      <c r="X38" s="1500"/>
      <c r="Y38" s="400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08"/>
      <c r="Q39" s="1505">
        <f t="shared" si="8"/>
        <v>111</v>
      </c>
      <c r="R39" s="1510" t="s">
        <v>8</v>
      </c>
      <c r="S39" s="1511">
        <f t="shared" si="10"/>
        <v>100</v>
      </c>
      <c r="T39" s="1510" t="s">
        <v>8</v>
      </c>
      <c r="U39" s="1511">
        <f t="shared" si="11"/>
        <v>100</v>
      </c>
      <c r="V39" s="1510" t="s">
        <v>8</v>
      </c>
      <c r="W39" s="1511">
        <f t="shared" si="12"/>
        <v>100</v>
      </c>
      <c r="X39" s="1512"/>
      <c r="Y39" s="400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08"/>
      <c r="Q40" s="1505" t="str">
        <f>B40</f>
        <v>宗地面积</v>
      </c>
      <c r="R40" s="1506" t="s">
        <v>8</v>
      </c>
      <c r="S40" s="1507" t="e">
        <f t="shared" si="10"/>
        <v>#N/A</v>
      </c>
      <c r="T40" s="1506" t="s">
        <v>8</v>
      </c>
      <c r="U40" s="1507" t="e">
        <f t="shared" si="11"/>
        <v>#N/A</v>
      </c>
      <c r="V40" s="1506" t="s">
        <v>8</v>
      </c>
      <c r="W40" s="1507" t="e">
        <f t="shared" si="12"/>
        <v>#N/A</v>
      </c>
      <c r="X40" s="1500"/>
      <c r="Y40" s="400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08"/>
      <c r="Q41" s="1505" t="str">
        <f t="shared" ref="Q41:Q47" si="14">B41</f>
        <v>宗地形状</v>
      </c>
      <c r="R41" s="1506" t="s">
        <v>8</v>
      </c>
      <c r="S41" s="1507">
        <f t="shared" si="10"/>
        <v>100</v>
      </c>
      <c r="T41" s="1506" t="s">
        <v>8</v>
      </c>
      <c r="U41" s="1507">
        <f t="shared" si="11"/>
        <v>100</v>
      </c>
      <c r="V41" s="1506" t="s">
        <v>8</v>
      </c>
      <c r="W41" s="1507">
        <f t="shared" si="12"/>
        <v>100</v>
      </c>
      <c r="X41" s="1500"/>
      <c r="Y41" s="400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08"/>
      <c r="Q42" s="1505" t="str">
        <f t="shared" si="14"/>
        <v>临街宽度及深度</v>
      </c>
      <c r="R42" s="1506" t="s">
        <v>8</v>
      </c>
      <c r="S42" s="1507">
        <f t="shared" si="10"/>
        <v>100</v>
      </c>
      <c r="T42" s="1506" t="s">
        <v>8</v>
      </c>
      <c r="U42" s="1507">
        <f t="shared" si="11"/>
        <v>100</v>
      </c>
      <c r="V42" s="1506" t="s">
        <v>8</v>
      </c>
      <c r="W42" s="1507">
        <f t="shared" si="12"/>
        <v>100</v>
      </c>
      <c r="X42" s="1500"/>
      <c r="Y42" s="400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08"/>
      <c r="Q43" s="1505" t="str">
        <f t="shared" si="14"/>
        <v>宗地开发程度</v>
      </c>
      <c r="R43" s="1501" t="s">
        <v>8</v>
      </c>
      <c r="S43" s="1502">
        <f t="shared" si="10"/>
        <v>100</v>
      </c>
      <c r="T43" s="1501" t="s">
        <v>8</v>
      </c>
      <c r="U43" s="1502">
        <f t="shared" si="11"/>
        <v>100</v>
      </c>
      <c r="V43" s="1501" t="s">
        <v>8</v>
      </c>
      <c r="W43" s="1502">
        <f t="shared" si="12"/>
        <v>100</v>
      </c>
      <c r="X43" s="1503"/>
      <c r="Y43" s="400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08" t="s">
        <v>542</v>
      </c>
      <c r="Q44" s="1505" t="str">
        <f t="shared" si="14"/>
        <v>工程地质条件</v>
      </c>
      <c r="R44" s="1506" t="s">
        <v>8</v>
      </c>
      <c r="S44" s="1507">
        <f t="shared" si="10"/>
        <v>100</v>
      </c>
      <c r="T44" s="1506" t="s">
        <v>8</v>
      </c>
      <c r="U44" s="1507">
        <f t="shared" si="11"/>
        <v>100</v>
      </c>
      <c r="V44" s="1506" t="s">
        <v>8</v>
      </c>
      <c r="W44" s="1507">
        <f t="shared" si="12"/>
        <v>100</v>
      </c>
      <c r="X44" s="1500"/>
      <c r="Y44" s="400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08"/>
      <c r="Q45" s="1505">
        <f t="shared" si="14"/>
        <v>111</v>
      </c>
      <c r="R45" s="1506" t="s">
        <v>8</v>
      </c>
      <c r="S45" s="1507">
        <f t="shared" si="10"/>
        <v>100</v>
      </c>
      <c r="T45" s="1506" t="s">
        <v>8</v>
      </c>
      <c r="U45" s="1507">
        <f t="shared" si="11"/>
        <v>100</v>
      </c>
      <c r="V45" s="1506" t="s">
        <v>8</v>
      </c>
      <c r="W45" s="1507">
        <f t="shared" si="12"/>
        <v>100</v>
      </c>
      <c r="X45" s="1500"/>
      <c r="Y45" s="400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08"/>
      <c r="Q46" s="1505">
        <f t="shared" si="14"/>
        <v>111</v>
      </c>
      <c r="R46" s="1506" t="s">
        <v>8</v>
      </c>
      <c r="S46" s="1507">
        <f t="shared" si="10"/>
        <v>100</v>
      </c>
      <c r="T46" s="1506" t="s">
        <v>8</v>
      </c>
      <c r="U46" s="1507">
        <f t="shared" si="11"/>
        <v>100</v>
      </c>
      <c r="V46" s="1506" t="s">
        <v>8</v>
      </c>
      <c r="W46" s="1507">
        <f t="shared" si="12"/>
        <v>100</v>
      </c>
      <c r="X46" s="1500"/>
      <c r="Y46" s="400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08"/>
      <c r="Q47" s="1505">
        <f t="shared" si="14"/>
        <v>111</v>
      </c>
      <c r="R47" s="1510" t="s">
        <v>8</v>
      </c>
      <c r="S47" s="1511">
        <f t="shared" si="10"/>
        <v>100</v>
      </c>
      <c r="T47" s="1510" t="s">
        <v>8</v>
      </c>
      <c r="U47" s="1511">
        <f t="shared" si="11"/>
        <v>100</v>
      </c>
      <c r="V47" s="1510" t="s">
        <v>8</v>
      </c>
      <c r="W47" s="1511">
        <f t="shared" si="12"/>
        <v>100</v>
      </c>
      <c r="X47" s="1512"/>
      <c r="Y47" s="400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71" t="str">
        <f>A48</f>
        <v>成交单价</v>
      </c>
      <c r="Q48" s="3971"/>
      <c r="R48" s="3972">
        <f>E48</f>
        <v>0</v>
      </c>
      <c r="S48" s="3972"/>
      <c r="T48" s="3972">
        <f>G48</f>
        <v>0</v>
      </c>
      <c r="U48" s="3972"/>
      <c r="V48" s="3972">
        <f>I48</f>
        <v>0</v>
      </c>
      <c r="W48" s="3972"/>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71" t="str">
        <f>A49</f>
        <v>比较价格（元/平方米）</v>
      </c>
      <c r="Q49" s="3971"/>
      <c r="R49" s="3973" t="e">
        <f>ROUND(PRODUCT(R48,AA9:AA47),0)</f>
        <v>#DIV/0!</v>
      </c>
      <c r="S49" s="3973"/>
      <c r="T49" s="3973" t="e">
        <f>ROUND(PRODUCT(T48,AB9:AB47),0)</f>
        <v>#DIV/0!</v>
      </c>
      <c r="U49" s="3973"/>
      <c r="V49" s="3973" t="e">
        <f>ROUND(PRODUCT(V48,AC9:AC47),0)</f>
        <v>#DIV/0!</v>
      </c>
      <c r="W49" s="3973"/>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68" t="str">
        <f>A50</f>
        <v>估价对象XX用房的比较价格（楼面单价，元/平方米）</v>
      </c>
      <c r="Q50" s="3969"/>
      <c r="R50" s="3970" t="e">
        <f>ROUND(IF(D49="简单平均",AVERAGE(R49:W49),R49*F49+T49*H49+V49*J49),0)</f>
        <v>#DIV/0!</v>
      </c>
      <c r="S50" s="3970"/>
      <c r="T50" s="3970"/>
      <c r="U50" s="3970"/>
      <c r="V50" s="3970"/>
      <c r="W50" s="3970"/>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997" t="s">
        <v>2266</v>
      </c>
      <c r="H57" s="399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726000</v>
      </c>
      <c r="F58" s="626" t="e">
        <f t="shared" ref="F58:F67" si="15">ROUND(B58*E58/10000,0)</f>
        <v>#DIV/0!</v>
      </c>
      <c r="G58" s="3999"/>
      <c r="H58" s="4000"/>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4001"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4001"/>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4001"/>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4001"/>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57209.51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77" t="s">
        <v>514</v>
      </c>
      <c r="D6" s="3978"/>
      <c r="E6" s="4011" t="s">
        <v>515</v>
      </c>
      <c r="F6" s="4012"/>
      <c r="G6" s="3977" t="s">
        <v>516</v>
      </c>
      <c r="H6" s="3978"/>
      <c r="I6" s="3977" t="s">
        <v>517</v>
      </c>
      <c r="J6" s="3978"/>
      <c r="K6" s="506" t="s">
        <v>518</v>
      </c>
      <c r="L6" s="2013"/>
      <c r="M6" s="2014"/>
      <c r="N6" s="2014"/>
      <c r="O6" s="2014"/>
      <c r="P6" s="3979" t="s">
        <v>519</v>
      </c>
      <c r="Q6" s="3980"/>
      <c r="R6" s="3985" t="s">
        <v>515</v>
      </c>
      <c r="S6" s="3986"/>
      <c r="T6" s="3985" t="s">
        <v>516</v>
      </c>
      <c r="U6" s="3986"/>
      <c r="V6" s="3972" t="s">
        <v>517</v>
      </c>
      <c r="W6" s="3972"/>
      <c r="X6" s="1500"/>
      <c r="Y6" s="3985" t="s">
        <v>519</v>
      </c>
      <c r="Z6" s="3986"/>
      <c r="AA6" s="3974" t="s">
        <v>515</v>
      </c>
      <c r="AB6" s="3975" t="s">
        <v>516</v>
      </c>
      <c r="AC6" s="3974" t="s">
        <v>517</v>
      </c>
    </row>
    <row r="7" spans="1:29" ht="15">
      <c r="A7" s="507"/>
      <c r="B7" s="508"/>
      <c r="C7" s="3993" t="s">
        <v>2892</v>
      </c>
      <c r="D7" s="3994"/>
      <c r="E7" s="4013" t="s">
        <v>2893</v>
      </c>
      <c r="F7" s="4014"/>
      <c r="G7" s="3993" t="s">
        <v>2894</v>
      </c>
      <c r="H7" s="3994"/>
      <c r="I7" s="3993" t="s">
        <v>2895</v>
      </c>
      <c r="J7" s="3994"/>
      <c r="K7" s="506"/>
      <c r="L7" s="2013"/>
      <c r="M7" s="2014"/>
      <c r="N7" s="2014"/>
      <c r="O7" s="2014"/>
      <c r="P7" s="3981"/>
      <c r="Q7" s="3982"/>
      <c r="R7" s="3987"/>
      <c r="S7" s="3988"/>
      <c r="T7" s="3987"/>
      <c r="U7" s="3988"/>
      <c r="V7" s="3972"/>
      <c r="W7" s="3972"/>
      <c r="X7" s="1500"/>
      <c r="Y7" s="3987"/>
      <c r="Z7" s="3988"/>
      <c r="AA7" s="3975"/>
      <c r="AB7" s="3975"/>
      <c r="AC7" s="3975"/>
    </row>
    <row r="8" spans="1:29" ht="15.75" thickBot="1">
      <c r="A8" s="509"/>
      <c r="B8" s="510"/>
      <c r="C8" s="3991" t="s">
        <v>2896</v>
      </c>
      <c r="D8" s="3992"/>
      <c r="E8" s="4009" t="s">
        <v>2896</v>
      </c>
      <c r="F8" s="4010"/>
      <c r="G8" s="3991" t="s">
        <v>2896</v>
      </c>
      <c r="H8" s="3992"/>
      <c r="I8" s="3991" t="s">
        <v>2896</v>
      </c>
      <c r="J8" s="3992"/>
      <c r="K8" s="506" t="s">
        <v>520</v>
      </c>
      <c r="L8" s="2013"/>
      <c r="M8" s="2014"/>
      <c r="N8" s="2014"/>
      <c r="O8" s="2014"/>
      <c r="P8" s="3983"/>
      <c r="Q8" s="3984"/>
      <c r="R8" s="3987"/>
      <c r="S8" s="3988"/>
      <c r="T8" s="3989"/>
      <c r="U8" s="3990"/>
      <c r="V8" s="3972"/>
      <c r="W8" s="3972"/>
      <c r="X8" s="1500"/>
      <c r="Y8" s="3989"/>
      <c r="Z8" s="3990"/>
      <c r="AA8" s="3976"/>
      <c r="AB8" s="3976"/>
      <c r="AC8" s="3976"/>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4002" t="s">
        <v>522</v>
      </c>
      <c r="Q9" s="4004"/>
      <c r="R9" s="1501" t="s">
        <v>8</v>
      </c>
      <c r="S9" s="1502">
        <f t="shared" ref="S9:S17" si="0">F9</f>
        <v>0</v>
      </c>
      <c r="T9" s="1501" t="s">
        <v>8</v>
      </c>
      <c r="U9" s="1502">
        <f t="shared" ref="U9:U17" si="1">H9</f>
        <v>0</v>
      </c>
      <c r="V9" s="1501" t="s">
        <v>8</v>
      </c>
      <c r="W9" s="1502">
        <f t="shared" ref="W9:W17" si="2">J9</f>
        <v>0</v>
      </c>
      <c r="X9" s="1503"/>
      <c r="Y9" s="4002" t="s">
        <v>522</v>
      </c>
      <c r="Z9" s="4003"/>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4002" t="s">
        <v>525</v>
      </c>
      <c r="Q10" s="4003"/>
      <c r="R10" s="1501" t="s">
        <v>8</v>
      </c>
      <c r="S10" s="1502">
        <f t="shared" si="0"/>
        <v>0</v>
      </c>
      <c r="T10" s="1501" t="s">
        <v>8</v>
      </c>
      <c r="U10" s="1502">
        <f t="shared" si="1"/>
        <v>0</v>
      </c>
      <c r="V10" s="1501" t="s">
        <v>8</v>
      </c>
      <c r="W10" s="1502">
        <f t="shared" si="2"/>
        <v>0</v>
      </c>
      <c r="X10" s="1503"/>
      <c r="Y10" s="4002" t="s">
        <v>525</v>
      </c>
      <c r="Z10" s="4003"/>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71" t="s">
        <v>527</v>
      </c>
      <c r="Q11" s="1132" t="str">
        <f t="shared" ref="Q11:Q17" si="6">B11</f>
        <v>用途</v>
      </c>
      <c r="R11" s="1501" t="s">
        <v>8</v>
      </c>
      <c r="S11" s="1502">
        <f t="shared" si="0"/>
        <v>100</v>
      </c>
      <c r="T11" s="1501" t="s">
        <v>8</v>
      </c>
      <c r="U11" s="1502">
        <f t="shared" si="1"/>
        <v>100</v>
      </c>
      <c r="V11" s="1501" t="s">
        <v>8</v>
      </c>
      <c r="W11" s="1502">
        <f t="shared" si="2"/>
        <v>100</v>
      </c>
      <c r="X11" s="1503"/>
      <c r="Y11" s="3917"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71"/>
      <c r="Q12" s="1132" t="str">
        <f t="shared" si="6"/>
        <v>土地使用年限（年）</v>
      </c>
      <c r="R12" s="1501" t="s">
        <v>8</v>
      </c>
      <c r="S12" s="1502" t="e">
        <f t="shared" si="0"/>
        <v>#DIV/0!</v>
      </c>
      <c r="T12" s="1501" t="s">
        <v>8</v>
      </c>
      <c r="U12" s="1502" t="e">
        <f t="shared" si="1"/>
        <v>#DIV/0!</v>
      </c>
      <c r="V12" s="1501" t="s">
        <v>8</v>
      </c>
      <c r="W12" s="1502" t="e">
        <f t="shared" si="2"/>
        <v>#DIV/0!</v>
      </c>
      <c r="X12" s="1503"/>
      <c r="Y12" s="3917"/>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71"/>
      <c r="Q13" s="1132" t="str">
        <f t="shared" si="6"/>
        <v>容积率</v>
      </c>
      <c r="R13" s="1501" t="s">
        <v>8</v>
      </c>
      <c r="S13" s="1502" t="e">
        <f t="shared" si="0"/>
        <v>#N/A</v>
      </c>
      <c r="T13" s="1501" t="s">
        <v>8</v>
      </c>
      <c r="U13" s="1502" t="e">
        <f t="shared" si="1"/>
        <v>#N/A</v>
      </c>
      <c r="V13" s="1501" t="s">
        <v>8</v>
      </c>
      <c r="W13" s="1502" t="e">
        <f t="shared" si="2"/>
        <v>#N/A</v>
      </c>
      <c r="X13" s="1503"/>
      <c r="Y13" s="3917"/>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71"/>
      <c r="Q15" s="1132">
        <f t="shared" si="6"/>
        <v>111</v>
      </c>
      <c r="R15" s="1501" t="s">
        <v>8</v>
      </c>
      <c r="S15" s="1502">
        <f t="shared" si="0"/>
        <v>100</v>
      </c>
      <c r="T15" s="1501" t="s">
        <v>8</v>
      </c>
      <c r="U15" s="1502">
        <f t="shared" si="1"/>
        <v>100</v>
      </c>
      <c r="V15" s="1501" t="s">
        <v>8</v>
      </c>
      <c r="W15" s="1502">
        <f t="shared" si="2"/>
        <v>100</v>
      </c>
      <c r="X15" s="1503"/>
      <c r="Y15" s="3917"/>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71"/>
      <c r="Q16" s="1132">
        <f t="shared" si="6"/>
        <v>111</v>
      </c>
      <c r="R16" s="1501" t="s">
        <v>8</v>
      </c>
      <c r="S16" s="1502">
        <f t="shared" si="0"/>
        <v>100</v>
      </c>
      <c r="T16" s="1501" t="s">
        <v>8</v>
      </c>
      <c r="U16" s="1502">
        <f t="shared" si="1"/>
        <v>100</v>
      </c>
      <c r="V16" s="1501" t="s">
        <v>8</v>
      </c>
      <c r="W16" s="1502">
        <f t="shared" si="2"/>
        <v>100</v>
      </c>
      <c r="X16" s="1503"/>
      <c r="Y16" s="3917"/>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05" t="s">
        <v>532</v>
      </c>
      <c r="Q17" s="1505" t="str">
        <f t="shared" si="6"/>
        <v>产业集聚程度</v>
      </c>
      <c r="R17" s="1506" t="s">
        <v>8</v>
      </c>
      <c r="S17" s="1507">
        <f t="shared" si="0"/>
        <v>100</v>
      </c>
      <c r="T17" s="1506" t="s">
        <v>8</v>
      </c>
      <c r="U17" s="1507">
        <f t="shared" si="1"/>
        <v>100</v>
      </c>
      <c r="V17" s="1506" t="s">
        <v>8</v>
      </c>
      <c r="W17" s="1507">
        <f t="shared" si="2"/>
        <v>100</v>
      </c>
      <c r="X17" s="1500"/>
      <c r="Y17" s="400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06"/>
      <c r="Q18" s="1505"/>
      <c r="R18" s="1506"/>
      <c r="S18" s="1507"/>
      <c r="T18" s="1506"/>
      <c r="U18" s="1507"/>
      <c r="V18" s="1506"/>
      <c r="W18" s="1507"/>
      <c r="X18" s="1500"/>
      <c r="Y18" s="400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06"/>
      <c r="Q19" s="1505" t="str">
        <f>B19</f>
        <v>交通便捷度</v>
      </c>
      <c r="R19" s="1506" t="s">
        <v>8</v>
      </c>
      <c r="S19" s="1507">
        <f>F19</f>
        <v>100</v>
      </c>
      <c r="T19" s="1506" t="s">
        <v>8</v>
      </c>
      <c r="U19" s="1507">
        <f>H19</f>
        <v>100</v>
      </c>
      <c r="V19" s="1506" t="s">
        <v>8</v>
      </c>
      <c r="W19" s="1507">
        <f>J19</f>
        <v>100</v>
      </c>
      <c r="X19" s="1500"/>
      <c r="Y19" s="400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06"/>
      <c r="Q20" s="1505"/>
      <c r="R20" s="1506"/>
      <c r="S20" s="1507"/>
      <c r="T20" s="1506"/>
      <c r="U20" s="1507"/>
      <c r="V20" s="1506"/>
      <c r="W20" s="1507"/>
      <c r="X20" s="1500"/>
      <c r="Y20" s="4006"/>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06"/>
      <c r="Q21" s="1505" t="str">
        <f t="shared" ref="Q21:Q35" si="8">B21</f>
        <v>区域土地利用方向</v>
      </c>
      <c r="R21" s="1506" t="s">
        <v>8</v>
      </c>
      <c r="S21" s="1507">
        <f>F21</f>
        <v>100</v>
      </c>
      <c r="T21" s="1506" t="s">
        <v>8</v>
      </c>
      <c r="U21" s="1507">
        <f>H21</f>
        <v>100</v>
      </c>
      <c r="V21" s="1506" t="s">
        <v>8</v>
      </c>
      <c r="W21" s="1507">
        <f>J21</f>
        <v>100</v>
      </c>
      <c r="X21" s="1500"/>
      <c r="Y21" s="400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06"/>
      <c r="Q22" s="1505"/>
      <c r="R22" s="1506"/>
      <c r="S22" s="1507"/>
      <c r="T22" s="1506"/>
      <c r="U22" s="1507"/>
      <c r="V22" s="1506"/>
      <c r="W22" s="1507"/>
      <c r="X22" s="1500"/>
      <c r="Y22" s="400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06"/>
      <c r="Q23" s="1505" t="str">
        <f t="shared" si="8"/>
        <v>环境状况</v>
      </c>
      <c r="R23" s="1506" t="s">
        <v>8</v>
      </c>
      <c r="S23" s="1507">
        <f>F23</f>
        <v>100</v>
      </c>
      <c r="T23" s="1506" t="s">
        <v>8</v>
      </c>
      <c r="U23" s="1507">
        <f>H23</f>
        <v>100</v>
      </c>
      <c r="V23" s="1506" t="s">
        <v>8</v>
      </c>
      <c r="W23" s="1507">
        <f>J23</f>
        <v>100</v>
      </c>
      <c r="X23" s="1500"/>
      <c r="Y23" s="400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06"/>
      <c r="Q24" s="1505"/>
      <c r="R24" s="1506"/>
      <c r="S24" s="1507"/>
      <c r="T24" s="1506"/>
      <c r="U24" s="1507"/>
      <c r="V24" s="1506"/>
      <c r="W24" s="1507"/>
      <c r="X24" s="1500"/>
      <c r="Y24" s="400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06"/>
      <c r="Q25" s="1132" t="str">
        <f t="shared" si="8"/>
        <v>公共配套设施</v>
      </c>
      <c r="R25" s="1501" t="s">
        <v>8</v>
      </c>
      <c r="S25" s="1502">
        <f>F25</f>
        <v>100</v>
      </c>
      <c r="T25" s="1501" t="s">
        <v>8</v>
      </c>
      <c r="U25" s="1502">
        <f>H25</f>
        <v>100</v>
      </c>
      <c r="V25" s="1501" t="s">
        <v>8</v>
      </c>
      <c r="W25" s="1502">
        <f>J25</f>
        <v>100</v>
      </c>
      <c r="X25" s="1503"/>
      <c r="Y25" s="400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06"/>
      <c r="Q26" s="1132"/>
      <c r="R26" s="1501"/>
      <c r="S26" s="1502"/>
      <c r="T26" s="1501"/>
      <c r="U26" s="1502"/>
      <c r="V26" s="1501"/>
      <c r="W26" s="1502"/>
      <c r="X26" s="1503"/>
      <c r="Y26" s="400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06"/>
      <c r="Q27" s="2426" t="str">
        <f t="shared" ref="Q27" si="9">B27</f>
        <v>基础设施水平</v>
      </c>
      <c r="R27" s="1501" t="s">
        <v>8</v>
      </c>
      <c r="S27" s="1502">
        <f>F27</f>
        <v>100</v>
      </c>
      <c r="T27" s="1501" t="s">
        <v>8</v>
      </c>
      <c r="U27" s="1502">
        <f>H27</f>
        <v>100</v>
      </c>
      <c r="V27" s="1501" t="s">
        <v>8</v>
      </c>
      <c r="W27" s="1502">
        <f>J27</f>
        <v>100</v>
      </c>
      <c r="X27" s="1503"/>
      <c r="Y27" s="400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06"/>
      <c r="Q28" s="2426"/>
      <c r="R28" s="1501"/>
      <c r="S28" s="1502"/>
      <c r="T28" s="1501"/>
      <c r="U28" s="1502"/>
      <c r="V28" s="1501"/>
      <c r="W28" s="1502"/>
      <c r="X28" s="1503"/>
      <c r="Y28" s="400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0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0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06"/>
      <c r="Q30" s="1505" t="str">
        <f t="shared" si="8"/>
        <v>毗邻道路的类型与等级</v>
      </c>
      <c r="R30" s="1506" t="s">
        <v>8</v>
      </c>
      <c r="S30" s="1507">
        <f t="shared" si="10"/>
        <v>100</v>
      </c>
      <c r="T30" s="1506" t="s">
        <v>8</v>
      </c>
      <c r="U30" s="1507">
        <f t="shared" si="11"/>
        <v>100</v>
      </c>
      <c r="V30" s="1506" t="s">
        <v>8</v>
      </c>
      <c r="W30" s="1507">
        <f t="shared" si="12"/>
        <v>100</v>
      </c>
      <c r="X30" s="1500"/>
      <c r="Y30" s="400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06"/>
      <c r="Q31" s="1505"/>
      <c r="R31" s="1506"/>
      <c r="S31" s="1507"/>
      <c r="T31" s="1506"/>
      <c r="U31" s="1507"/>
      <c r="V31" s="1506"/>
      <c r="W31" s="1507"/>
      <c r="X31" s="1500"/>
      <c r="Y31" s="400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06"/>
      <c r="Q32" s="1505" t="str">
        <f t="shared" si="8"/>
        <v>土地级别</v>
      </c>
      <c r="R32" s="1506" t="s">
        <v>8</v>
      </c>
      <c r="S32" s="1507">
        <f t="shared" si="10"/>
        <v>100</v>
      </c>
      <c r="T32" s="1506" t="s">
        <v>8</v>
      </c>
      <c r="U32" s="1507">
        <f t="shared" si="11"/>
        <v>100</v>
      </c>
      <c r="V32" s="1506" t="s">
        <v>8</v>
      </c>
      <c r="W32" s="1507">
        <f t="shared" si="12"/>
        <v>100</v>
      </c>
      <c r="X32" s="1500"/>
      <c r="Y32" s="400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06"/>
      <c r="Q33" s="1505">
        <f t="shared" si="8"/>
        <v>111</v>
      </c>
      <c r="R33" s="1506" t="s">
        <v>8</v>
      </c>
      <c r="S33" s="1507">
        <f t="shared" si="10"/>
        <v>100</v>
      </c>
      <c r="T33" s="1506" t="s">
        <v>8</v>
      </c>
      <c r="U33" s="1507">
        <f t="shared" si="11"/>
        <v>100</v>
      </c>
      <c r="V33" s="1506" t="s">
        <v>8</v>
      </c>
      <c r="W33" s="1507">
        <f t="shared" si="12"/>
        <v>100</v>
      </c>
      <c r="X33" s="1500"/>
      <c r="Y33" s="400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07" t="s">
        <v>542</v>
      </c>
      <c r="Q34" s="1505">
        <f t="shared" si="8"/>
        <v>111</v>
      </c>
      <c r="R34" s="1506" t="s">
        <v>8</v>
      </c>
      <c r="S34" s="1507">
        <f t="shared" si="10"/>
        <v>100</v>
      </c>
      <c r="T34" s="1506" t="s">
        <v>8</v>
      </c>
      <c r="U34" s="1507">
        <f t="shared" si="11"/>
        <v>100</v>
      </c>
      <c r="V34" s="1506" t="s">
        <v>8</v>
      </c>
      <c r="W34" s="1507">
        <f t="shared" si="12"/>
        <v>100</v>
      </c>
      <c r="X34" s="1500"/>
      <c r="Y34" s="400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08"/>
      <c r="Q35" s="1505">
        <f t="shared" si="8"/>
        <v>111</v>
      </c>
      <c r="R35" s="1510" t="s">
        <v>8</v>
      </c>
      <c r="S35" s="1511">
        <f t="shared" si="10"/>
        <v>100</v>
      </c>
      <c r="T35" s="1510" t="s">
        <v>8</v>
      </c>
      <c r="U35" s="1511">
        <f t="shared" si="11"/>
        <v>100</v>
      </c>
      <c r="V35" s="1510" t="s">
        <v>8</v>
      </c>
      <c r="W35" s="1511">
        <f t="shared" si="12"/>
        <v>100</v>
      </c>
      <c r="X35" s="1512"/>
      <c r="Y35" s="400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08"/>
      <c r="Q36" s="1505" t="str">
        <f>B36</f>
        <v>宗地面积</v>
      </c>
      <c r="R36" s="1506" t="s">
        <v>8</v>
      </c>
      <c r="S36" s="1507" t="e">
        <f t="shared" si="10"/>
        <v>#N/A</v>
      </c>
      <c r="T36" s="1506" t="s">
        <v>8</v>
      </c>
      <c r="U36" s="1507" t="e">
        <f t="shared" si="11"/>
        <v>#N/A</v>
      </c>
      <c r="V36" s="1506" t="s">
        <v>8</v>
      </c>
      <c r="W36" s="1507" t="e">
        <f t="shared" si="12"/>
        <v>#N/A</v>
      </c>
      <c r="X36" s="1500"/>
      <c r="Y36" s="400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08"/>
      <c r="Q37" s="1505" t="str">
        <f t="shared" ref="Q37:Q42" si="14">B37</f>
        <v>宗地形状</v>
      </c>
      <c r="R37" s="1506" t="s">
        <v>8</v>
      </c>
      <c r="S37" s="1507">
        <f t="shared" si="10"/>
        <v>100</v>
      </c>
      <c r="T37" s="1506" t="s">
        <v>8</v>
      </c>
      <c r="U37" s="1507">
        <f t="shared" si="11"/>
        <v>100</v>
      </c>
      <c r="V37" s="1506" t="s">
        <v>8</v>
      </c>
      <c r="W37" s="1507">
        <f t="shared" si="12"/>
        <v>100</v>
      </c>
      <c r="X37" s="1500"/>
      <c r="Y37" s="400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08"/>
      <c r="Q38" s="1505" t="str">
        <f t="shared" si="14"/>
        <v>宗地开发程度</v>
      </c>
      <c r="R38" s="1501" t="s">
        <v>8</v>
      </c>
      <c r="S38" s="1502">
        <f t="shared" si="10"/>
        <v>100</v>
      </c>
      <c r="T38" s="1501" t="s">
        <v>8</v>
      </c>
      <c r="U38" s="1502">
        <f t="shared" si="11"/>
        <v>100</v>
      </c>
      <c r="V38" s="1501" t="s">
        <v>8</v>
      </c>
      <c r="W38" s="1502">
        <f t="shared" si="12"/>
        <v>100</v>
      </c>
      <c r="X38" s="1503"/>
      <c r="Y38" s="400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08" t="s">
        <v>593</v>
      </c>
      <c r="Q39" s="1505" t="str">
        <f t="shared" si="14"/>
        <v>工程地质条件</v>
      </c>
      <c r="R39" s="1506" t="s">
        <v>8</v>
      </c>
      <c r="S39" s="1507">
        <f t="shared" si="10"/>
        <v>100</v>
      </c>
      <c r="T39" s="1506" t="s">
        <v>8</v>
      </c>
      <c r="U39" s="1507">
        <f t="shared" si="11"/>
        <v>100</v>
      </c>
      <c r="V39" s="1506" t="s">
        <v>8</v>
      </c>
      <c r="W39" s="1507">
        <f t="shared" si="12"/>
        <v>100</v>
      </c>
      <c r="X39" s="1500"/>
      <c r="Y39" s="400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08"/>
      <c r="Q40" s="1505">
        <f t="shared" si="14"/>
        <v>111</v>
      </c>
      <c r="R40" s="1506" t="s">
        <v>8</v>
      </c>
      <c r="S40" s="1507">
        <f t="shared" si="10"/>
        <v>100</v>
      </c>
      <c r="T40" s="1506" t="s">
        <v>8</v>
      </c>
      <c r="U40" s="1507">
        <f t="shared" si="11"/>
        <v>100</v>
      </c>
      <c r="V40" s="1506" t="s">
        <v>8</v>
      </c>
      <c r="W40" s="1507">
        <f t="shared" si="12"/>
        <v>100</v>
      </c>
      <c r="X40" s="1500"/>
      <c r="Y40" s="400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08"/>
      <c r="Q41" s="1505">
        <f t="shared" si="14"/>
        <v>111</v>
      </c>
      <c r="R41" s="1506" t="s">
        <v>8</v>
      </c>
      <c r="S41" s="1507">
        <f t="shared" si="10"/>
        <v>100</v>
      </c>
      <c r="T41" s="1506" t="s">
        <v>8</v>
      </c>
      <c r="U41" s="1507">
        <f t="shared" si="11"/>
        <v>100</v>
      </c>
      <c r="V41" s="1506" t="s">
        <v>8</v>
      </c>
      <c r="W41" s="1507">
        <f t="shared" si="12"/>
        <v>100</v>
      </c>
      <c r="X41" s="1500"/>
      <c r="Y41" s="400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08"/>
      <c r="Q42" s="1505">
        <f t="shared" si="14"/>
        <v>111</v>
      </c>
      <c r="R42" s="1510" t="s">
        <v>8</v>
      </c>
      <c r="S42" s="1511">
        <f t="shared" si="10"/>
        <v>100</v>
      </c>
      <c r="T42" s="1510" t="s">
        <v>8</v>
      </c>
      <c r="U42" s="1511">
        <f t="shared" si="11"/>
        <v>100</v>
      </c>
      <c r="V42" s="1510" t="s">
        <v>8</v>
      </c>
      <c r="W42" s="1511">
        <f t="shared" si="12"/>
        <v>100</v>
      </c>
      <c r="X42" s="1512"/>
      <c r="Y42" s="400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71" t="str">
        <f>A43</f>
        <v>成交单价</v>
      </c>
      <c r="Q43" s="3971"/>
      <c r="R43" s="3972">
        <f>E43</f>
        <v>0</v>
      </c>
      <c r="S43" s="3972"/>
      <c r="T43" s="3972">
        <f>G43</f>
        <v>0</v>
      </c>
      <c r="U43" s="3972"/>
      <c r="V43" s="3972">
        <f>I43</f>
        <v>0</v>
      </c>
      <c r="W43" s="3972"/>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71" t="str">
        <f>A44</f>
        <v>比较价格（元/平方米）</v>
      </c>
      <c r="Q44" s="3971"/>
      <c r="R44" s="3973" t="e">
        <f>ROUND(PRODUCT(R43,AA9:AA42),0)</f>
        <v>#DIV/0!</v>
      </c>
      <c r="S44" s="3973"/>
      <c r="T44" s="3973" t="e">
        <f>ROUND(PRODUCT(T43,AB9:AB42),0)</f>
        <v>#DIV/0!</v>
      </c>
      <c r="U44" s="3973"/>
      <c r="V44" s="3973" t="e">
        <f>ROUND(PRODUCT(V43,AC9:AC42),0)</f>
        <v>#DIV/0!</v>
      </c>
      <c r="W44" s="3973"/>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68" t="str">
        <f>A45</f>
        <v>估价对象XX用房的比较价格（楼面单价，元/平方米）</v>
      </c>
      <c r="Q45" s="3969"/>
      <c r="R45" s="4020" t="e">
        <f>ROUND(IF(D44="简单平均",AVERAGE(R44:W44),R44*F44+T44*H44+V44*J44),0)</f>
        <v>#DIV/0!</v>
      </c>
      <c r="S45" s="4020"/>
      <c r="T45" s="4020"/>
      <c r="U45" s="4020"/>
      <c r="V45" s="4020"/>
      <c r="W45" s="4020"/>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15" t="s">
        <v>2269</v>
      </c>
      <c r="H52" s="4016"/>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726000</v>
      </c>
      <c r="F53" s="1862" t="e">
        <f t="shared" ref="F53:F62" si="15">ROUND(B53*E53/10000,0)</f>
        <v>#DIV/0!</v>
      </c>
      <c r="G53" s="4017"/>
      <c r="H53" s="4018"/>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19"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19"/>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19"/>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19"/>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57209.51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33419</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23989</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19353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15528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13223</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11628</v>
      </c>
      <c r="U7" s="2641"/>
      <c r="V7" s="2652">
        <f t="shared" ca="1" si="1"/>
        <v>0</v>
      </c>
      <c r="W7" s="2650" t="s">
        <v>2742</v>
      </c>
      <c r="X7" s="2642" t="str">
        <f>G2</f>
        <v>六级</v>
      </c>
      <c r="Y7" s="2642" t="s">
        <v>2743</v>
      </c>
      <c r="Z7" s="2643">
        <f>G3</f>
        <v>6.35</v>
      </c>
      <c r="AA7" s="2071"/>
      <c r="AB7" s="2071"/>
      <c r="AC7" s="2072"/>
      <c r="AD7" s="2644"/>
      <c r="AE7" s="2644"/>
      <c r="AF7" s="2644"/>
      <c r="AG7" s="2644"/>
      <c r="AH7" s="2644"/>
      <c r="AI7" s="2644"/>
      <c r="AJ7" s="2645"/>
    </row>
    <row r="8" spans="1:39" ht="15">
      <c r="A8" s="4036"/>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1037">
        <f>ROUND(IF(F17="与级别开发程度一致",0,(G17-E17)/C17),0)</f>
        <v>0</v>
      </c>
      <c r="D16" s="4029" t="s">
        <v>943</v>
      </c>
      <c r="E16" s="4030"/>
      <c r="F16" s="4029" t="s">
        <v>940</v>
      </c>
      <c r="G16" s="403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0.8276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0.8276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0.82820000000000005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0.82689999999999997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14847</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3712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12558</v>
      </c>
      <c r="D33" s="1475"/>
      <c r="E33" s="1033">
        <f ca="1">ROUND(C33*D33/10000,0)</f>
        <v>0</v>
      </c>
      <c r="F33" s="1033">
        <f>SUMIF(修正!A45:A56,G2,修正!B45:B56)</f>
        <v>0.7</v>
      </c>
      <c r="G33" s="1033">
        <f t="shared" ref="G33" ca="1" si="6">ROUND(IF(E2="工业",C33*$M$39,C33*$M$38),0)</f>
        <v>3140</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7176</v>
      </c>
      <c r="D34" s="1475"/>
      <c r="E34" s="1033">
        <f t="shared" ref="E34:E39" ca="1" si="7">ROUND(C34*D34/10000,0)</f>
        <v>0</v>
      </c>
      <c r="F34" s="1033">
        <f>SUMIF(修正!A45:A56,G2,修正!C45:C56)</f>
        <v>0.4</v>
      </c>
      <c r="G34" s="1033">
        <f ca="1">ROUND(IF(E2="工业",C34*$M$39,C34*$M$38),0)</f>
        <v>1794</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5023</v>
      </c>
      <c r="D35" s="1475"/>
      <c r="E35" s="1033">
        <f t="shared" ca="1" si="7"/>
        <v>0</v>
      </c>
      <c r="F35" s="1033">
        <f>SUMIF(修正!A45:A56,G2,修正!D45:D56)</f>
        <v>0.28000000000000003</v>
      </c>
      <c r="G35" s="1033">
        <f ca="1">ROUND(IF(E2="工业",C35*$M$39,C35*$M$38),0)</f>
        <v>1256</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4485</v>
      </c>
      <c r="D36" s="1475"/>
      <c r="E36" s="1033">
        <f t="shared" ca="1" si="7"/>
        <v>0</v>
      </c>
      <c r="F36" s="1033">
        <f>SUMIF(修正!A45:A56,G2,修正!E45:E56)</f>
        <v>0.25</v>
      </c>
      <c r="G36" s="1033">
        <f ca="1">ROUND(IF(E2="工业",C36*$M$39,C36*$M$38),0)</f>
        <v>1121</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4485</v>
      </c>
      <c r="D37" s="1475"/>
      <c r="E37" s="1033">
        <f t="shared" ca="1" si="7"/>
        <v>0</v>
      </c>
      <c r="F37" s="1044">
        <f>SUMIF(修正!A45:A56,G2,修正!F45:F56)</f>
        <v>0.25</v>
      </c>
      <c r="G37" s="1033">
        <f ca="1">ROUND(IF(E2="工业",C37*$M$39,C37*$M$38),0)</f>
        <v>1121</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2303"/>
      <c r="L90" s="2303"/>
      <c r="M90" s="2303"/>
      <c r="N90" s="2303"/>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895</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2301"/>
      <c r="L110" s="2301"/>
      <c r="M110" s="2301"/>
      <c r="N110" s="2301"/>
    </row>
    <row r="112" spans="1:14" ht="12.75" thickBot="1"/>
    <row r="113" spans="1:13" ht="25.5" thickBot="1">
      <c r="A113" s="1001" t="s">
        <v>885</v>
      </c>
      <c r="B113" s="2304">
        <f>G3</f>
        <v>6.35</v>
      </c>
      <c r="C113" s="1002" t="s">
        <v>886</v>
      </c>
      <c r="D113" s="1003">
        <f>SUMPRODUCT((A115:A118=F113)*(B114:M114=H113)*B115:M118)</f>
        <v>0.82399999999999995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1" priority="5" stopIfTrue="1" operator="notEqual">
      <formula>"——"</formula>
    </cfRule>
  </conditionalFormatting>
  <conditionalFormatting sqref="F58">
    <cfRule type="cellIs" dxfId="190" priority="4" stopIfTrue="1" operator="notEqual">
      <formula>"——"</formula>
    </cfRule>
  </conditionalFormatting>
  <conditionalFormatting sqref="F69">
    <cfRule type="cellIs" dxfId="189" priority="3" stopIfTrue="1" operator="notEqual">
      <formula>"——"</formula>
    </cfRule>
  </conditionalFormatting>
  <conditionalFormatting sqref="F80">
    <cfRule type="cellIs" dxfId="188" priority="2" stopIfTrue="1" operator="notEqual">
      <formula>"——"</formula>
    </cfRule>
  </conditionalFormatting>
  <conditionalFormatting sqref="H58:H66 H47:H55 H69:H77 H80:H87">
    <cfRule type="cellIs" dxfId="18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41" t="s">
        <v>996</v>
      </c>
      <c r="B18" s="1135" t="s">
        <v>1435</v>
      </c>
      <c r="C18" s="1112" t="s">
        <v>1436</v>
      </c>
      <c r="D18" s="1113"/>
      <c r="E18" s="1135">
        <v>1</v>
      </c>
      <c r="F18" s="1114" t="s">
        <v>1437</v>
      </c>
      <c r="G18" s="1115"/>
      <c r="H18" s="1086"/>
      <c r="I18" s="1086"/>
    </row>
    <row r="19" spans="1:9" s="1528" customFormat="1" ht="19.5" customHeight="1">
      <c r="A19" s="4041"/>
      <c r="B19" s="4041" t="s">
        <v>1438</v>
      </c>
      <c r="C19" s="1112" t="s">
        <v>1439</v>
      </c>
      <c r="D19" s="1113"/>
      <c r="E19" s="1135">
        <v>0.9</v>
      </c>
      <c r="F19" s="1114" t="s">
        <v>1440</v>
      </c>
      <c r="G19" s="1115"/>
      <c r="H19" s="1086"/>
      <c r="I19" s="1086"/>
    </row>
    <row r="20" spans="1:9" s="1528" customFormat="1" ht="19.5" customHeight="1">
      <c r="A20" s="4041"/>
      <c r="B20" s="4041"/>
      <c r="C20" s="1112" t="s">
        <v>1441</v>
      </c>
      <c r="D20" s="1113"/>
      <c r="E20" s="1135">
        <v>1.1000000000000001</v>
      </c>
      <c r="F20" s="1114" t="s">
        <v>1442</v>
      </c>
      <c r="G20" s="1115"/>
      <c r="H20" s="1086"/>
      <c r="I20" s="1086"/>
    </row>
    <row r="21" spans="1:9" s="1528" customFormat="1" ht="19.5" customHeight="1">
      <c r="A21" s="4041"/>
      <c r="B21" s="4041"/>
      <c r="C21" s="1112" t="s">
        <v>1443</v>
      </c>
      <c r="D21" s="1113"/>
      <c r="E21" s="1135">
        <v>0.8</v>
      </c>
      <c r="F21" s="1114" t="s">
        <v>1444</v>
      </c>
      <c r="G21" s="1115"/>
      <c r="H21" s="1086"/>
      <c r="I21" s="1086"/>
    </row>
    <row r="22" spans="1:9" s="1528" customFormat="1" ht="19.5" customHeight="1">
      <c r="A22" s="4041"/>
      <c r="B22" s="4041"/>
      <c r="C22" s="1112" t="s">
        <v>1445</v>
      </c>
      <c r="D22" s="1113"/>
      <c r="E22" s="1135">
        <v>0.5</v>
      </c>
      <c r="F22" s="1114"/>
      <c r="G22" s="1115"/>
      <c r="H22" s="1086"/>
      <c r="I22" s="1086"/>
    </row>
    <row r="23" spans="1:9" s="1528" customFormat="1" ht="19.5" customHeight="1">
      <c r="A23" s="4041" t="s">
        <v>1018</v>
      </c>
      <c r="B23" s="1135" t="s">
        <v>1435</v>
      </c>
      <c r="C23" s="1112" t="s">
        <v>1446</v>
      </c>
      <c r="D23" s="1113"/>
      <c r="E23" s="1135">
        <v>1</v>
      </c>
      <c r="F23" s="1114" t="s">
        <v>1447</v>
      </c>
      <c r="G23" s="1115"/>
      <c r="H23" s="1086"/>
      <c r="I23" s="1086"/>
    </row>
    <row r="24" spans="1:9" s="1528" customFormat="1" ht="19.5" customHeight="1">
      <c r="A24" s="4041"/>
      <c r="B24" s="4041" t="s">
        <v>1438</v>
      </c>
      <c r="C24" s="1112" t="s">
        <v>1448</v>
      </c>
      <c r="D24" s="1113"/>
      <c r="E24" s="1135">
        <v>0.5</v>
      </c>
      <c r="F24" s="1114"/>
      <c r="G24" s="1115"/>
      <c r="H24" s="1086"/>
      <c r="I24" s="1086"/>
    </row>
    <row r="25" spans="1:9" s="1528" customFormat="1" ht="19.5" customHeight="1">
      <c r="A25" s="4041"/>
      <c r="B25" s="4041"/>
      <c r="C25" s="1112" t="s">
        <v>1449</v>
      </c>
      <c r="D25" s="1113"/>
      <c r="E25" s="1135">
        <v>1.1000000000000001</v>
      </c>
      <c r="F25" s="1114"/>
      <c r="G25" s="1115"/>
      <c r="H25" s="1086"/>
      <c r="I25" s="1086"/>
    </row>
    <row r="26" spans="1:9" s="1528" customFormat="1" ht="19.5" customHeight="1">
      <c r="A26" s="4041"/>
      <c r="B26" s="4041"/>
      <c r="C26" s="1112" t="s">
        <v>1450</v>
      </c>
      <c r="D26" s="1113"/>
      <c r="E26" s="1135">
        <v>1.1000000000000001</v>
      </c>
      <c r="F26" s="1114"/>
      <c r="G26" s="1115"/>
      <c r="H26" s="1086"/>
      <c r="I26" s="1086"/>
    </row>
    <row r="27" spans="1:9" s="1528" customFormat="1" ht="19.5" customHeight="1">
      <c r="A27" s="4041"/>
      <c r="B27" s="4041"/>
      <c r="C27" s="1112" t="s">
        <v>1451</v>
      </c>
      <c r="D27" s="1113"/>
      <c r="E27" s="1135">
        <v>0.9</v>
      </c>
      <c r="F27" s="1114" t="s">
        <v>1452</v>
      </c>
      <c r="G27" s="1115"/>
      <c r="H27" s="1086"/>
      <c r="I27" s="1086"/>
    </row>
    <row r="28" spans="1:9" s="1528" customFormat="1" ht="19.5" customHeight="1">
      <c r="A28" s="4041"/>
      <c r="B28" s="4041"/>
      <c r="C28" s="1112" t="s">
        <v>1453</v>
      </c>
      <c r="D28" s="1113"/>
      <c r="E28" s="1135">
        <v>0.9</v>
      </c>
      <c r="F28" s="1114" t="s">
        <v>1454</v>
      </c>
      <c r="G28" s="1115"/>
      <c r="H28" s="1086"/>
      <c r="I28" s="1086"/>
    </row>
    <row r="29" spans="1:9" s="1528" customFormat="1" ht="19.5" customHeight="1">
      <c r="A29" s="4041"/>
      <c r="B29" s="4041"/>
      <c r="C29" s="1112" t="s">
        <v>1455</v>
      </c>
      <c r="D29" s="1113"/>
      <c r="E29" s="1135">
        <v>0.9</v>
      </c>
      <c r="F29" s="1114" t="s">
        <v>1456</v>
      </c>
      <c r="G29" s="1115"/>
      <c r="H29" s="1086"/>
      <c r="I29" s="1086"/>
    </row>
    <row r="30" spans="1:9" s="1528" customFormat="1" ht="19.5" customHeight="1">
      <c r="A30" s="4041"/>
      <c r="B30" s="4041"/>
      <c r="C30" s="1112" t="s">
        <v>1457</v>
      </c>
      <c r="D30" s="1113"/>
      <c r="E30" s="1135">
        <v>0.9</v>
      </c>
      <c r="F30" s="1114" t="s">
        <v>1458</v>
      </c>
      <c r="G30" s="1115"/>
      <c r="H30" s="1086"/>
      <c r="I30" s="1086"/>
    </row>
    <row r="31" spans="1:9" s="1528" customFormat="1" ht="19.5" customHeight="1">
      <c r="A31" s="4041"/>
      <c r="B31" s="4041"/>
      <c r="C31" s="1112" t="s">
        <v>1459</v>
      </c>
      <c r="D31" s="1113"/>
      <c r="E31" s="1135">
        <v>0.8</v>
      </c>
      <c r="F31" s="1114" t="s">
        <v>1460</v>
      </c>
      <c r="G31" s="1115"/>
      <c r="H31" s="1086"/>
      <c r="I31" s="1086"/>
    </row>
    <row r="32" spans="1:9" s="1528" customFormat="1" ht="19.5" customHeight="1">
      <c r="A32" s="4041"/>
      <c r="B32" s="4041"/>
      <c r="C32" s="1112" t="s">
        <v>1461</v>
      </c>
      <c r="D32" s="1113"/>
      <c r="E32" s="1135">
        <v>0.8</v>
      </c>
      <c r="F32" s="1114" t="s">
        <v>1462</v>
      </c>
      <c r="G32" s="1115"/>
      <c r="H32" s="1086"/>
      <c r="I32" s="1086"/>
    </row>
    <row r="33" spans="1:9" s="1528" customFormat="1" ht="19.5" customHeight="1">
      <c r="A33" s="4041" t="s">
        <v>1463</v>
      </c>
      <c r="B33" s="1135" t="s">
        <v>1435</v>
      </c>
      <c r="C33" s="1112" t="s">
        <v>1464</v>
      </c>
      <c r="D33" s="1113"/>
      <c r="E33" s="1135">
        <v>1</v>
      </c>
      <c r="F33" s="1114" t="s">
        <v>1465</v>
      </c>
      <c r="G33" s="1115"/>
      <c r="H33" s="1086"/>
      <c r="I33" s="1086"/>
    </row>
    <row r="34" spans="1:9" s="1528" customFormat="1" ht="19.5" customHeight="1">
      <c r="A34" s="4041"/>
      <c r="B34" s="1135" t="s">
        <v>1438</v>
      </c>
      <c r="C34" s="1112" t="s">
        <v>1466</v>
      </c>
      <c r="D34" s="1113"/>
      <c r="E34" s="1135">
        <v>1.5</v>
      </c>
      <c r="F34" s="1114" t="s">
        <v>1467</v>
      </c>
      <c r="G34" s="1115"/>
      <c r="H34" s="1086"/>
      <c r="I34" s="1086"/>
    </row>
    <row r="35" spans="1:9" s="1528" customFormat="1" ht="19.5" customHeight="1">
      <c r="A35" s="4041" t="s">
        <v>1421</v>
      </c>
      <c r="B35" s="1135" t="s">
        <v>1435</v>
      </c>
      <c r="C35" s="1112" t="s">
        <v>1468</v>
      </c>
      <c r="D35" s="1113"/>
      <c r="E35" s="1135">
        <v>1</v>
      </c>
      <c r="F35" s="1114" t="s">
        <v>1469</v>
      </c>
      <c r="G35" s="1115"/>
      <c r="H35" s="1086"/>
      <c r="I35" s="1086"/>
    </row>
    <row r="36" spans="1:9" s="1528" customFormat="1" ht="19.5" customHeight="1">
      <c r="A36" s="4041"/>
      <c r="B36" s="4041" t="s">
        <v>1438</v>
      </c>
      <c r="C36" s="1112" t="s">
        <v>1470</v>
      </c>
      <c r="D36" s="1113"/>
      <c r="E36" s="1135">
        <v>1</v>
      </c>
      <c r="F36" s="1114" t="s">
        <v>1471</v>
      </c>
      <c r="G36" s="1115"/>
      <c r="H36" s="1086"/>
      <c r="I36" s="1086"/>
    </row>
    <row r="37" spans="1:9" s="1528" customFormat="1" ht="19.5" customHeight="1">
      <c r="A37" s="4041"/>
      <c r="B37" s="4041"/>
      <c r="C37" s="1112" t="s">
        <v>1472</v>
      </c>
      <c r="D37" s="1113"/>
      <c r="E37" s="1135">
        <v>1.5</v>
      </c>
      <c r="F37" s="1114" t="s">
        <v>1473</v>
      </c>
      <c r="G37" s="1115"/>
      <c r="H37" s="1086"/>
      <c r="I37" s="1086"/>
    </row>
    <row r="38" spans="1:9" s="1528" customFormat="1" ht="19.5" customHeight="1">
      <c r="A38" s="4041"/>
      <c r="B38" s="4041"/>
      <c r="C38" s="1112" t="s">
        <v>1474</v>
      </c>
      <c r="D38" s="1113"/>
      <c r="E38" s="1135">
        <v>1</v>
      </c>
      <c r="F38" s="1114" t="s">
        <v>1475</v>
      </c>
      <c r="G38" s="1115"/>
      <c r="H38" s="1086"/>
      <c r="I38" s="1086"/>
    </row>
    <row r="39" spans="1:9" s="1528" customFormat="1" ht="19.5" customHeight="1">
      <c r="A39" s="4041"/>
      <c r="B39" s="4041"/>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41" t="s">
        <v>1490</v>
      </c>
      <c r="C61" s="1049" t="s">
        <v>1491</v>
      </c>
      <c r="D61" s="1049" t="s">
        <v>1492</v>
      </c>
      <c r="E61" s="1120">
        <v>0.5</v>
      </c>
      <c r="F61" s="1135">
        <v>80</v>
      </c>
      <c r="H61" s="1086">
        <f>SUMIF(C59:C119,基准地价住宅!C8,E59:E119)</f>
        <v>0</v>
      </c>
    </row>
    <row r="62" spans="1:8" s="1086" customFormat="1" ht="24">
      <c r="A62" s="1135">
        <v>2</v>
      </c>
      <c r="B62" s="4041"/>
      <c r="C62" s="1049" t="s">
        <v>1493</v>
      </c>
      <c r="D62" s="1049" t="s">
        <v>1494</v>
      </c>
      <c r="E62" s="1120">
        <v>0.5</v>
      </c>
      <c r="F62" s="1135">
        <v>80</v>
      </c>
    </row>
    <row r="63" spans="1:8" s="1086" customFormat="1" ht="36">
      <c r="A63" s="1135">
        <v>3</v>
      </c>
      <c r="B63" s="4041"/>
      <c r="C63" s="1049" t="s">
        <v>1495</v>
      </c>
      <c r="D63" s="1049" t="s">
        <v>1496</v>
      </c>
      <c r="E63" s="1120">
        <v>0.5</v>
      </c>
      <c r="F63" s="1135">
        <v>80</v>
      </c>
    </row>
    <row r="64" spans="1:8" s="1086" customFormat="1" ht="36">
      <c r="A64" s="1135">
        <v>4</v>
      </c>
      <c r="B64" s="4041"/>
      <c r="C64" s="1049" t="s">
        <v>1497</v>
      </c>
      <c r="D64" s="1049" t="s">
        <v>1498</v>
      </c>
      <c r="E64" s="1120">
        <v>0.4</v>
      </c>
      <c r="F64" s="1135">
        <v>60</v>
      </c>
    </row>
    <row r="65" spans="1:6" s="1086" customFormat="1" ht="36">
      <c r="A65" s="1135">
        <v>5</v>
      </c>
      <c r="B65" s="4041"/>
      <c r="C65" s="1049" t="s">
        <v>1499</v>
      </c>
      <c r="D65" s="1049" t="s">
        <v>1500</v>
      </c>
      <c r="E65" s="1120">
        <v>0.2</v>
      </c>
      <c r="F65" s="1135">
        <v>30</v>
      </c>
    </row>
    <row r="66" spans="1:6" s="1086" customFormat="1" ht="36">
      <c r="A66" s="1135">
        <v>6</v>
      </c>
      <c r="B66" s="4041"/>
      <c r="C66" s="1049" t="s">
        <v>1501</v>
      </c>
      <c r="D66" s="1049" t="s">
        <v>1502</v>
      </c>
      <c r="E66" s="1120">
        <v>0.3</v>
      </c>
      <c r="F66" s="1135">
        <v>50</v>
      </c>
    </row>
    <row r="67" spans="1:6" s="1086" customFormat="1" ht="36">
      <c r="A67" s="1135">
        <v>7</v>
      </c>
      <c r="B67" s="4041"/>
      <c r="C67" s="1049" t="s">
        <v>1503</v>
      </c>
      <c r="D67" s="1049" t="s">
        <v>1504</v>
      </c>
      <c r="E67" s="1120">
        <v>0.2</v>
      </c>
      <c r="F67" s="1135">
        <v>30</v>
      </c>
    </row>
    <row r="68" spans="1:6" s="1086" customFormat="1" ht="36">
      <c r="A68" s="1135">
        <v>8</v>
      </c>
      <c r="B68" s="4041"/>
      <c r="C68" s="1049" t="s">
        <v>1505</v>
      </c>
      <c r="D68" s="1049" t="s">
        <v>1506</v>
      </c>
      <c r="E68" s="1120">
        <v>0.2</v>
      </c>
      <c r="F68" s="1135">
        <v>30</v>
      </c>
    </row>
    <row r="69" spans="1:6" s="1086" customFormat="1" ht="36">
      <c r="A69" s="1135">
        <v>9</v>
      </c>
      <c r="B69" s="4041"/>
      <c r="C69" s="1049" t="s">
        <v>1507</v>
      </c>
      <c r="D69" s="1049" t="s">
        <v>1508</v>
      </c>
      <c r="E69" s="1120">
        <v>0.2</v>
      </c>
      <c r="F69" s="1135">
        <v>30</v>
      </c>
    </row>
    <row r="70" spans="1:6" s="1086" customFormat="1" ht="48">
      <c r="A70" s="1135">
        <v>10</v>
      </c>
      <c r="B70" s="4041"/>
      <c r="C70" s="1049" t="s">
        <v>1509</v>
      </c>
      <c r="D70" s="1049" t="s">
        <v>1510</v>
      </c>
      <c r="E70" s="1120">
        <v>0.2</v>
      </c>
      <c r="F70" s="1135">
        <v>30</v>
      </c>
    </row>
    <row r="71" spans="1:6" s="1086" customFormat="1" ht="48">
      <c r="A71" s="1135">
        <v>11</v>
      </c>
      <c r="B71" s="4041"/>
      <c r="C71" s="1049" t="s">
        <v>1511</v>
      </c>
      <c r="D71" s="1049" t="s">
        <v>1512</v>
      </c>
      <c r="E71" s="1120">
        <v>0.2</v>
      </c>
      <c r="F71" s="1135">
        <v>30</v>
      </c>
    </row>
    <row r="72" spans="1:6" s="1086" customFormat="1" ht="36">
      <c r="A72" s="1135">
        <v>12</v>
      </c>
      <c r="B72" s="4041"/>
      <c r="C72" s="1049" t="s">
        <v>1513</v>
      </c>
      <c r="D72" s="1049" t="s">
        <v>1514</v>
      </c>
      <c r="E72" s="1120">
        <v>0.5</v>
      </c>
      <c r="F72" s="1135">
        <v>80</v>
      </c>
    </row>
    <row r="73" spans="1:6" s="1086" customFormat="1" ht="24">
      <c r="A73" s="1135">
        <v>13</v>
      </c>
      <c r="B73" s="4041"/>
      <c r="C73" s="1049" t="s">
        <v>1515</v>
      </c>
      <c r="D73" s="1049" t="s">
        <v>1516</v>
      </c>
      <c r="E73" s="1120">
        <v>0.4</v>
      </c>
      <c r="F73" s="1135">
        <v>60</v>
      </c>
    </row>
    <row r="74" spans="1:6" s="1086" customFormat="1" ht="24">
      <c r="A74" s="1135">
        <v>14</v>
      </c>
      <c r="B74" s="4041"/>
      <c r="C74" s="1049" t="s">
        <v>1517</v>
      </c>
      <c r="D74" s="1049" t="s">
        <v>1518</v>
      </c>
      <c r="E74" s="1120">
        <v>0.2</v>
      </c>
      <c r="F74" s="1135">
        <v>30</v>
      </c>
    </row>
    <row r="75" spans="1:6" s="1086" customFormat="1" ht="24">
      <c r="A75" s="1135">
        <v>15</v>
      </c>
      <c r="B75" s="4041"/>
      <c r="C75" s="1049" t="s">
        <v>1519</v>
      </c>
      <c r="D75" s="1049" t="s">
        <v>1520</v>
      </c>
      <c r="E75" s="1120">
        <v>0.2</v>
      </c>
      <c r="F75" s="1135">
        <v>30</v>
      </c>
    </row>
    <row r="76" spans="1:6" s="1086" customFormat="1" ht="24">
      <c r="A76" s="1135">
        <v>16</v>
      </c>
      <c r="B76" s="4041" t="s">
        <v>1521</v>
      </c>
      <c r="C76" s="1049" t="s">
        <v>1522</v>
      </c>
      <c r="D76" s="1049" t="s">
        <v>1523</v>
      </c>
      <c r="E76" s="1120">
        <v>0.5</v>
      </c>
      <c r="F76" s="1135">
        <v>80</v>
      </c>
    </row>
    <row r="77" spans="1:6" s="1086" customFormat="1" ht="24">
      <c r="A77" s="1135">
        <v>17</v>
      </c>
      <c r="B77" s="4041"/>
      <c r="C77" s="1049" t="s">
        <v>1524</v>
      </c>
      <c r="D77" s="1049" t="s">
        <v>1525</v>
      </c>
      <c r="E77" s="1120">
        <v>0.5</v>
      </c>
      <c r="F77" s="1135">
        <v>80</v>
      </c>
    </row>
    <row r="78" spans="1:6" s="1086" customFormat="1" ht="24">
      <c r="A78" s="1135">
        <v>18</v>
      </c>
      <c r="B78" s="4041"/>
      <c r="C78" s="1049" t="s">
        <v>1526</v>
      </c>
      <c r="D78" s="1049" t="s">
        <v>1527</v>
      </c>
      <c r="E78" s="1120">
        <v>0.2</v>
      </c>
      <c r="F78" s="1135">
        <v>30</v>
      </c>
    </row>
    <row r="79" spans="1:6" s="1086" customFormat="1" ht="24">
      <c r="A79" s="1135">
        <v>19</v>
      </c>
      <c r="B79" s="4041"/>
      <c r="C79" s="1049" t="s">
        <v>1528</v>
      </c>
      <c r="D79" s="1049" t="s">
        <v>1529</v>
      </c>
      <c r="E79" s="1120">
        <v>0.5</v>
      </c>
      <c r="F79" s="1135">
        <v>80</v>
      </c>
    </row>
    <row r="80" spans="1:6" s="1086" customFormat="1" ht="36">
      <c r="A80" s="1135">
        <v>20</v>
      </c>
      <c r="B80" s="4041"/>
      <c r="C80" s="1049" t="s">
        <v>1530</v>
      </c>
      <c r="D80" s="1049" t="s">
        <v>1531</v>
      </c>
      <c r="E80" s="1120">
        <v>0.2</v>
      </c>
      <c r="F80" s="1135">
        <v>30</v>
      </c>
    </row>
    <row r="81" spans="1:6" s="1086" customFormat="1" ht="36">
      <c r="A81" s="1135">
        <v>21</v>
      </c>
      <c r="B81" s="4041"/>
      <c r="C81" s="1049" t="s">
        <v>1532</v>
      </c>
      <c r="D81" s="1049" t="s">
        <v>1533</v>
      </c>
      <c r="E81" s="1120">
        <v>0.2</v>
      </c>
      <c r="F81" s="1135">
        <v>30</v>
      </c>
    </row>
    <row r="82" spans="1:6" s="1086" customFormat="1" ht="48">
      <c r="A82" s="1135">
        <v>22</v>
      </c>
      <c r="B82" s="4041"/>
      <c r="C82" s="1049" t="s">
        <v>1534</v>
      </c>
      <c r="D82" s="1049" t="s">
        <v>1535</v>
      </c>
      <c r="E82" s="1120">
        <v>0.2</v>
      </c>
      <c r="F82" s="1135">
        <v>30</v>
      </c>
    </row>
    <row r="83" spans="1:6" s="1086" customFormat="1" ht="48">
      <c r="A83" s="1135">
        <v>23</v>
      </c>
      <c r="B83" s="4041"/>
      <c r="C83" s="1049" t="s">
        <v>1536</v>
      </c>
      <c r="D83" s="1049" t="s">
        <v>1537</v>
      </c>
      <c r="E83" s="1120">
        <v>0.2</v>
      </c>
      <c r="F83" s="1135">
        <v>30</v>
      </c>
    </row>
    <row r="84" spans="1:6" s="1086" customFormat="1" ht="36">
      <c r="A84" s="1135">
        <v>24</v>
      </c>
      <c r="B84" s="4041"/>
      <c r="C84" s="1049" t="s">
        <v>1538</v>
      </c>
      <c r="D84" s="1049" t="s">
        <v>1539</v>
      </c>
      <c r="E84" s="1120">
        <v>0.2</v>
      </c>
      <c r="F84" s="1135">
        <v>30</v>
      </c>
    </row>
    <row r="85" spans="1:6" s="1086" customFormat="1" ht="36">
      <c r="A85" s="1135">
        <v>25</v>
      </c>
      <c r="B85" s="4041"/>
      <c r="C85" s="1049" t="s">
        <v>1540</v>
      </c>
      <c r="D85" s="1049" t="s">
        <v>1541</v>
      </c>
      <c r="E85" s="1120">
        <v>0.5</v>
      </c>
      <c r="F85" s="1135">
        <v>80</v>
      </c>
    </row>
    <row r="86" spans="1:6" s="1086" customFormat="1" ht="36">
      <c r="A86" s="1135">
        <v>26</v>
      </c>
      <c r="B86" s="4041"/>
      <c r="C86" s="1049" t="s">
        <v>1542</v>
      </c>
      <c r="D86" s="1049" t="s">
        <v>1543</v>
      </c>
      <c r="E86" s="1120">
        <v>0.2</v>
      </c>
      <c r="F86" s="1135">
        <v>30</v>
      </c>
    </row>
    <row r="87" spans="1:6" s="1086" customFormat="1" ht="36">
      <c r="A87" s="1135">
        <v>27</v>
      </c>
      <c r="B87" s="4041"/>
      <c r="C87" s="1049" t="s">
        <v>1544</v>
      </c>
      <c r="D87" s="1049" t="s">
        <v>1545</v>
      </c>
      <c r="E87" s="1120">
        <v>0.2</v>
      </c>
      <c r="F87" s="1135">
        <v>30</v>
      </c>
    </row>
    <row r="88" spans="1:6" s="1086" customFormat="1" ht="36">
      <c r="A88" s="1135">
        <v>28</v>
      </c>
      <c r="B88" s="4041"/>
      <c r="C88" s="1049" t="s">
        <v>1546</v>
      </c>
      <c r="D88" s="1049" t="s">
        <v>1547</v>
      </c>
      <c r="E88" s="1120">
        <v>0.2</v>
      </c>
      <c r="F88" s="1135">
        <v>30</v>
      </c>
    </row>
    <row r="89" spans="1:6" s="1086" customFormat="1" ht="24">
      <c r="A89" s="1135">
        <v>29</v>
      </c>
      <c r="B89" s="4041"/>
      <c r="C89" s="1049" t="s">
        <v>1548</v>
      </c>
      <c r="D89" s="1049" t="s">
        <v>1549</v>
      </c>
      <c r="E89" s="1120">
        <v>0.2</v>
      </c>
      <c r="F89" s="1135">
        <v>30</v>
      </c>
    </row>
    <row r="90" spans="1:6" s="1086" customFormat="1" ht="24">
      <c r="A90" s="1135">
        <v>30</v>
      </c>
      <c r="B90" s="4041"/>
      <c r="C90" s="1049" t="s">
        <v>1550</v>
      </c>
      <c r="D90" s="1049" t="s">
        <v>1551</v>
      </c>
      <c r="E90" s="1120">
        <v>0.2</v>
      </c>
      <c r="F90" s="1135">
        <v>30</v>
      </c>
    </row>
    <row r="91" spans="1:6" s="1086" customFormat="1" ht="36">
      <c r="A91" s="1135">
        <v>31</v>
      </c>
      <c r="B91" s="4041"/>
      <c r="C91" s="1049" t="s">
        <v>1552</v>
      </c>
      <c r="D91" s="1049" t="s">
        <v>1553</v>
      </c>
      <c r="E91" s="1120">
        <v>0.2</v>
      </c>
      <c r="F91" s="1135">
        <v>30</v>
      </c>
    </row>
    <row r="92" spans="1:6" s="1086" customFormat="1" ht="24">
      <c r="A92" s="1135">
        <v>32</v>
      </c>
      <c r="B92" s="4041" t="s">
        <v>1554</v>
      </c>
      <c r="C92" s="1135" t="s">
        <v>1555</v>
      </c>
      <c r="D92" s="1049" t="s">
        <v>1556</v>
      </c>
      <c r="E92" s="1120">
        <v>0.2</v>
      </c>
      <c r="F92" s="1135">
        <v>30</v>
      </c>
    </row>
    <row r="93" spans="1:6" s="1086" customFormat="1" ht="36">
      <c r="A93" s="1135">
        <v>33</v>
      </c>
      <c r="B93" s="4041"/>
      <c r="C93" s="1135" t="s">
        <v>1557</v>
      </c>
      <c r="D93" s="1049" t="s">
        <v>1558</v>
      </c>
      <c r="E93" s="1120">
        <v>0.2</v>
      </c>
      <c r="F93" s="1135">
        <v>30</v>
      </c>
    </row>
    <row r="94" spans="1:6" s="1086" customFormat="1" ht="48">
      <c r="A94" s="1135">
        <v>34</v>
      </c>
      <c r="B94" s="4041"/>
      <c r="C94" s="1135" t="s">
        <v>1559</v>
      </c>
      <c r="D94" s="1049" t="s">
        <v>1560</v>
      </c>
      <c r="E94" s="1120">
        <v>0.2</v>
      </c>
      <c r="F94" s="1135">
        <v>30</v>
      </c>
    </row>
    <row r="95" spans="1:6" s="1086" customFormat="1" ht="36">
      <c r="A95" s="1135">
        <v>35</v>
      </c>
      <c r="B95" s="4041"/>
      <c r="C95" s="1135" t="s">
        <v>1561</v>
      </c>
      <c r="D95" s="1049" t="s">
        <v>1562</v>
      </c>
      <c r="E95" s="1120">
        <v>0.2</v>
      </c>
      <c r="F95" s="1135">
        <v>30</v>
      </c>
    </row>
    <row r="96" spans="1:6" s="1086" customFormat="1" ht="48">
      <c r="A96" s="1135">
        <v>36</v>
      </c>
      <c r="B96" s="4041"/>
      <c r="C96" s="1049" t="s">
        <v>1563</v>
      </c>
      <c r="D96" s="1049" t="s">
        <v>1564</v>
      </c>
      <c r="E96" s="1120">
        <v>0.2</v>
      </c>
      <c r="F96" s="1135">
        <v>30</v>
      </c>
    </row>
    <row r="97" spans="1:6" s="1086" customFormat="1" ht="36">
      <c r="A97" s="1135">
        <v>37</v>
      </c>
      <c r="B97" s="4041"/>
      <c r="C97" s="1135" t="s">
        <v>1565</v>
      </c>
      <c r="D97" s="1049" t="s">
        <v>1566</v>
      </c>
      <c r="E97" s="1120">
        <v>0.2</v>
      </c>
      <c r="F97" s="1135">
        <v>30</v>
      </c>
    </row>
    <row r="98" spans="1:6" s="1086" customFormat="1" ht="36">
      <c r="A98" s="1135">
        <v>38</v>
      </c>
      <c r="B98" s="4041"/>
      <c r="C98" s="1135" t="s">
        <v>1567</v>
      </c>
      <c r="D98" s="1049" t="s">
        <v>1568</v>
      </c>
      <c r="E98" s="1120">
        <v>0.2</v>
      </c>
      <c r="F98" s="1135">
        <v>30</v>
      </c>
    </row>
    <row r="99" spans="1:6" s="1086" customFormat="1" ht="36">
      <c r="A99" s="1135">
        <v>39</v>
      </c>
      <c r="B99" s="4041" t="s">
        <v>1569</v>
      </c>
      <c r="C99" s="1135" t="s">
        <v>1570</v>
      </c>
      <c r="D99" s="1049" t="s">
        <v>1571</v>
      </c>
      <c r="E99" s="1120">
        <v>0.3</v>
      </c>
      <c r="F99" s="1135">
        <v>50</v>
      </c>
    </row>
    <row r="100" spans="1:6" s="1086" customFormat="1" ht="24">
      <c r="A100" s="1135">
        <v>40</v>
      </c>
      <c r="B100" s="4041"/>
      <c r="C100" s="1135" t="s">
        <v>1572</v>
      </c>
      <c r="D100" s="1049" t="s">
        <v>1573</v>
      </c>
      <c r="E100" s="1120">
        <v>0.2</v>
      </c>
      <c r="F100" s="1135">
        <v>30</v>
      </c>
    </row>
    <row r="101" spans="1:6" s="1086" customFormat="1" ht="36">
      <c r="A101" s="1135">
        <v>41</v>
      </c>
      <c r="B101" s="4041"/>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41" t="s">
        <v>1584</v>
      </c>
      <c r="C105" s="1135" t="s">
        <v>1585</v>
      </c>
      <c r="D105" s="1049" t="s">
        <v>1586</v>
      </c>
      <c r="E105" s="1120">
        <v>0.2</v>
      </c>
      <c r="F105" s="1135">
        <v>30</v>
      </c>
    </row>
    <row r="106" spans="1:6" s="1086" customFormat="1" ht="36">
      <c r="A106" s="1135">
        <v>46</v>
      </c>
      <c r="B106" s="4041"/>
      <c r="C106" s="1135" t="s">
        <v>1587</v>
      </c>
      <c r="D106" s="1049" t="s">
        <v>1588</v>
      </c>
      <c r="E106" s="1120">
        <v>0.2</v>
      </c>
      <c r="F106" s="1135">
        <v>30</v>
      </c>
    </row>
    <row r="107" spans="1:6" s="1086" customFormat="1" ht="36">
      <c r="A107" s="1135">
        <v>47</v>
      </c>
      <c r="B107" s="4041" t="s">
        <v>1589</v>
      </c>
      <c r="C107" s="1135" t="s">
        <v>1590</v>
      </c>
      <c r="D107" s="1049" t="s">
        <v>1591</v>
      </c>
      <c r="E107" s="1120">
        <v>0.3</v>
      </c>
      <c r="F107" s="1135">
        <v>50</v>
      </c>
    </row>
    <row r="108" spans="1:6" s="1086" customFormat="1" ht="36">
      <c r="A108" s="1135">
        <v>48</v>
      </c>
      <c r="B108" s="4041"/>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41" t="s">
        <v>1600</v>
      </c>
      <c r="C111" s="1135" t="s">
        <v>1601</v>
      </c>
      <c r="D111" s="1049" t="s">
        <v>1602</v>
      </c>
      <c r="E111" s="1120">
        <v>0.2</v>
      </c>
      <c r="F111" s="1135">
        <v>30</v>
      </c>
    </row>
    <row r="112" spans="1:6" s="1086" customFormat="1" ht="24">
      <c r="A112" s="1135">
        <v>52</v>
      </c>
      <c r="B112" s="4041"/>
      <c r="C112" s="1135" t="s">
        <v>1603</v>
      </c>
      <c r="D112" s="1049" t="s">
        <v>1604</v>
      </c>
      <c r="E112" s="1120">
        <v>0.2</v>
      </c>
      <c r="F112" s="1135">
        <v>30</v>
      </c>
    </row>
    <row r="113" spans="1:14" s="1086" customFormat="1" ht="24">
      <c r="A113" s="1135">
        <v>53</v>
      </c>
      <c r="B113" s="4041"/>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41" t="s">
        <v>1613</v>
      </c>
      <c r="C116" s="1135" t="s">
        <v>1614</v>
      </c>
      <c r="D116" s="1049" t="s">
        <v>1615</v>
      </c>
      <c r="E116" s="1120">
        <v>0.2</v>
      </c>
      <c r="F116" s="1135">
        <v>30</v>
      </c>
    </row>
    <row r="117" spans="1:14" ht="36">
      <c r="A117" s="1135">
        <v>57</v>
      </c>
      <c r="B117" s="4041"/>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40" t="s">
        <v>1622</v>
      </c>
      <c r="B121" s="4040"/>
      <c r="C121" s="4040"/>
      <c r="D121" s="4040"/>
      <c r="E121" s="4040"/>
      <c r="F121" s="4040"/>
      <c r="G121" s="4040"/>
      <c r="H121" s="4040"/>
      <c r="I121" s="4040"/>
      <c r="J121" s="404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2" t="s">
        <v>1028</v>
      </c>
      <c r="B1" s="4042"/>
      <c r="C1" s="4042"/>
      <c r="D1" s="4042"/>
      <c r="E1" s="4042"/>
      <c r="F1" s="404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3" t="s">
        <v>1041</v>
      </c>
      <c r="B2" s="4043"/>
      <c r="C2" s="4043"/>
      <c r="D2" s="4043"/>
      <c r="E2" s="4043"/>
      <c r="F2" s="404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4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0.78549999999999998</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46" t="s">
        <v>2065</v>
      </c>
      <c r="B1" s="4046"/>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3065</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25.5">
      <c r="A8" s="4036"/>
      <c r="B8" s="1361" t="s">
        <v>923</v>
      </c>
      <c r="C8" s="1467" t="s">
        <v>3066</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3370">
        <f>ROUND(IF(F17="与级别开发程度一致",0,(G17-E17)/C17),0)</f>
        <v>-6</v>
      </c>
      <c r="D16" s="4029" t="s">
        <v>943</v>
      </c>
      <c r="E16" s="4030"/>
      <c r="F16" s="4029" t="s">
        <v>940</v>
      </c>
      <c r="G16" s="4030"/>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0.78159999999999996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0.78159999999999996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11734</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2934</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3076</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3075</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3076</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3076</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3076</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3076</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3076</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3082</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3082</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3269"/>
      <c r="L90" s="3269"/>
      <c r="M90" s="3269"/>
      <c r="N90" s="3269"/>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3268"/>
      <c r="L110" s="3268"/>
      <c r="M110" s="3268"/>
      <c r="N110" s="3268"/>
    </row>
    <row r="112" spans="1:14" ht="12.75" thickBot="1"/>
    <row r="113" spans="1:13" ht="25.5" thickBot="1">
      <c r="A113" s="1001" t="s">
        <v>885</v>
      </c>
      <c r="B113" s="2304">
        <f>G3</f>
        <v>6.35</v>
      </c>
      <c r="C113" s="1002" t="s">
        <v>886</v>
      </c>
      <c r="D113" s="1003">
        <f>SUMPRODUCT((A115:A118=F113)*(B114:M114=H113)*B115:M118)</f>
        <v>0.76390000000000002</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86" priority="5" stopIfTrue="1" operator="notEqual">
      <formula>"——"</formula>
    </cfRule>
  </conditionalFormatting>
  <conditionalFormatting sqref="F58">
    <cfRule type="cellIs" dxfId="185" priority="4" stopIfTrue="1" operator="notEqual">
      <formula>"——"</formula>
    </cfRule>
  </conditionalFormatting>
  <conditionalFormatting sqref="F69">
    <cfRule type="cellIs" dxfId="184" priority="3" stopIfTrue="1" operator="notEqual">
      <formula>"——"</formula>
    </cfRule>
  </conditionalFormatting>
  <conditionalFormatting sqref="F80">
    <cfRule type="cellIs" dxfId="183" priority="2" stopIfTrue="1" operator="notEqual">
      <formula>"——"</formula>
    </cfRule>
  </conditionalFormatting>
  <conditionalFormatting sqref="H58:H66 H47:H55 H69:H77 H80:H87">
    <cfRule type="cellIs" dxfId="18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L26" sqref="L2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363000</v>
      </c>
      <c r="E1" s="1353" t="s">
        <v>2409</v>
      </c>
      <c r="F1" s="2305">
        <f>'数据-汇总表'!D3</f>
        <v>57209.51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424746</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11701</v>
      </c>
      <c r="C3" s="1354" t="s">
        <v>916</v>
      </c>
      <c r="D3" s="1355" t="s">
        <v>917</v>
      </c>
      <c r="E3" s="1359" t="s">
        <v>3067</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74244</v>
      </c>
      <c r="C4" s="1806" t="s">
        <v>2240</v>
      </c>
      <c r="D4" s="1806">
        <f ca="1">ROUND(B2/(F1/666.67),0)</f>
        <v>4950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35"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15">
      <c r="A8" s="4036"/>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2" t="s">
        <v>2760</v>
      </c>
      <c r="X8" s="402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36"/>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36"/>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36"/>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1"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35"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3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1"/>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37"/>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3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35" t="s">
        <v>1826</v>
      </c>
      <c r="B16" s="1374" t="s">
        <v>939</v>
      </c>
      <c r="C16" s="1037">
        <f>ROUND(IF(F17="与级别开发程度一致",0,(G17-E17)/C17),0)</f>
        <v>-6</v>
      </c>
      <c r="D16" s="4029" t="s">
        <v>943</v>
      </c>
      <c r="E16" s="4030"/>
      <c r="F16" s="4029" t="s">
        <v>940</v>
      </c>
      <c r="G16" s="4030"/>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3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0.78449999999999998</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0.78449999999999998</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0.78549999999999998</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0.78339999999999999</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424746</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11701</v>
      </c>
      <c r="D29" s="1442">
        <f>'数据-基础表'!K13</f>
        <v>363000</v>
      </c>
      <c r="E29" s="1761">
        <f ca="1">ROUND(C29*D29/10000,0)</f>
        <v>424746</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2925</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1"/>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3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2"/>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2"/>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3"/>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3076</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3075</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3076</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3076</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3076</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3076</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3076</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3082</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3082</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0" t="s">
        <v>1622</v>
      </c>
      <c r="B90" s="4040"/>
      <c r="C90" s="4040"/>
      <c r="D90" s="4040"/>
      <c r="E90" s="4040"/>
      <c r="F90" s="4040"/>
      <c r="G90" s="4040"/>
      <c r="H90" s="4040"/>
      <c r="I90" s="4040"/>
      <c r="J90" s="4040"/>
      <c r="K90" s="3269"/>
      <c r="L90" s="3269"/>
      <c r="M90" s="3269"/>
      <c r="N90" s="3269"/>
    </row>
    <row r="91" spans="1:40">
      <c r="A91" s="4041" t="s">
        <v>1432</v>
      </c>
      <c r="B91" s="4041" t="s">
        <v>1623</v>
      </c>
      <c r="C91" s="1121" t="s">
        <v>1624</v>
      </c>
      <c r="D91" s="1122"/>
      <c r="E91" s="1122"/>
      <c r="F91" s="1122"/>
      <c r="G91" s="1122"/>
      <c r="H91" s="1122"/>
      <c r="I91" s="1122"/>
      <c r="J91" s="1123"/>
      <c r="K91" s="1115"/>
      <c r="L91" s="1115"/>
      <c r="M91" s="1115"/>
      <c r="N91" s="1115"/>
    </row>
    <row r="92" spans="1:40">
      <c r="A92" s="4041"/>
      <c r="B92" s="4041"/>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2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2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2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2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2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2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2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4"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25"/>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25"/>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25"/>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25"/>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25"/>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25"/>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25"/>
      <c r="B108" s="402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26"/>
      <c r="B109" s="4028"/>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34" t="s">
        <v>1628</v>
      </c>
      <c r="B110" s="4034"/>
      <c r="C110" s="4034"/>
      <c r="D110" s="4034"/>
      <c r="E110" s="4034"/>
      <c r="F110" s="4034"/>
      <c r="G110" s="4034"/>
      <c r="H110" s="4034"/>
      <c r="I110" s="4034"/>
      <c r="J110" s="4034"/>
      <c r="K110" s="3268"/>
      <c r="L110" s="3268"/>
      <c r="M110" s="3268"/>
      <c r="N110" s="3268"/>
    </row>
    <row r="112" spans="1:14" ht="12.75" thickBot="1"/>
    <row r="113" spans="1:13" ht="25.5" thickBot="1">
      <c r="A113" s="1001" t="s">
        <v>885</v>
      </c>
      <c r="B113" s="2304">
        <f>G3</f>
        <v>6.35</v>
      </c>
      <c r="C113" s="1002" t="s">
        <v>886</v>
      </c>
      <c r="D113" s="1003">
        <f>SUMPRODUCT((A115:A118=F113)*(B114:M114=H113)*B115:M118)</f>
        <v>0.7742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81" priority="5" stopIfTrue="1" operator="notEqual">
      <formula>"——"</formula>
    </cfRule>
  </conditionalFormatting>
  <conditionalFormatting sqref="F58">
    <cfRule type="cellIs" dxfId="180" priority="4" stopIfTrue="1" operator="notEqual">
      <formula>"——"</formula>
    </cfRule>
  </conditionalFormatting>
  <conditionalFormatting sqref="F69">
    <cfRule type="cellIs" dxfId="179" priority="3" stopIfTrue="1" operator="notEqual">
      <formula>"——"</formula>
    </cfRule>
  </conditionalFormatting>
  <conditionalFormatting sqref="F80">
    <cfRule type="cellIs" dxfId="178" priority="2" stopIfTrue="1" operator="notEqual">
      <formula>"——"</formula>
    </cfRule>
  </conditionalFormatting>
  <conditionalFormatting sqref="H58:H66 H47:H55 H69:H77 H80:H87">
    <cfRule type="cellIs" dxfId="17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G1" zoomScale="80" zoomScaleNormal="80" workbookViewId="0">
      <selection activeCell="J11" sqref="J11"/>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4" t="s">
        <v>2554</v>
      </c>
      <c r="C1" s="4054"/>
      <c r="D1" s="4054"/>
      <c r="E1" s="4054"/>
      <c r="F1" s="4054"/>
      <c r="G1" s="4053" t="s">
        <v>2555</v>
      </c>
      <c r="H1" s="4053"/>
      <c r="I1" s="4053"/>
      <c r="J1" s="4053"/>
      <c r="K1" s="4053"/>
      <c r="L1" s="4053"/>
      <c r="N1" s="4053" t="s">
        <v>2556</v>
      </c>
      <c r="O1" s="4053"/>
      <c r="P1" s="4053"/>
      <c r="Q1" s="4053"/>
      <c r="S1" s="4053" t="s">
        <v>2557</v>
      </c>
      <c r="T1" s="4053"/>
      <c r="U1" s="4053"/>
      <c r="V1" s="4053"/>
      <c r="X1" s="4052" t="s">
        <v>2617</v>
      </c>
      <c r="Y1" s="4053"/>
      <c r="Z1" s="4053"/>
      <c r="AA1" s="4053"/>
      <c r="AB1" s="4053"/>
      <c r="AD1" s="4052" t="s">
        <v>2621</v>
      </c>
      <c r="AE1" s="4053"/>
      <c r="AF1" s="4053"/>
      <c r="AG1" s="4053"/>
      <c r="AH1" s="4053"/>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0" customFormat="1">
      <c r="A5" s="3755" t="s">
        <v>3231</v>
      </c>
      <c r="B5" s="3756">
        <f t="shared" ref="B5:C7" si="2">B6*(1+N5)</f>
        <v>504.87072809615569</v>
      </c>
      <c r="C5" s="3756">
        <f t="shared" si="2"/>
        <v>351.71182348101968</v>
      </c>
      <c r="D5" s="3756">
        <f t="shared" ref="D5:D7" si="3">C5</f>
        <v>351.71182348101968</v>
      </c>
      <c r="E5" s="3756">
        <f t="shared" ref="E5:F7" si="4">E6*(1+P5)</f>
        <v>728.75350858360832</v>
      </c>
      <c r="F5" s="3756">
        <f t="shared" si="4"/>
        <v>334.04593931673656</v>
      </c>
      <c r="G5" s="3757">
        <v>2021</v>
      </c>
      <c r="H5" s="3758">
        <v>4</v>
      </c>
      <c r="I5" s="3759">
        <v>0</v>
      </c>
      <c r="J5" s="3759">
        <v>0</v>
      </c>
      <c r="K5" s="3759">
        <v>0</v>
      </c>
      <c r="L5" s="3759">
        <v>0</v>
      </c>
      <c r="N5" s="3761">
        <f t="shared" ref="N5:Q7" si="5">I5/100</f>
        <v>0</v>
      </c>
      <c r="O5" s="3761">
        <f t="shared" si="5"/>
        <v>0</v>
      </c>
      <c r="P5" s="3761">
        <f t="shared" si="5"/>
        <v>0</v>
      </c>
      <c r="Q5" s="3761">
        <f t="shared" si="5"/>
        <v>0</v>
      </c>
      <c r="S5" s="3762"/>
      <c r="W5" s="2886" t="s">
        <v>2929</v>
      </c>
      <c r="X5" s="3763">
        <f>ROUND(SUMPRODUCT(PRODUCT(1+N5:N$36)),4)</f>
        <v>1.6903999999999999</v>
      </c>
      <c r="Y5" s="3763">
        <f>ROUND(SUMPRODUCT(PRODUCT(1+O5:O$36)),4)</f>
        <v>1.3963000000000001</v>
      </c>
      <c r="Z5" s="3763">
        <f t="shared" ref="Z5:Z7" si="6">Y5</f>
        <v>1.3963000000000001</v>
      </c>
      <c r="AA5" s="3763">
        <f>ROUND(SUMPRODUCT(PRODUCT(1+P5:P$36)),4)</f>
        <v>1.7797000000000001</v>
      </c>
      <c r="AB5" s="3763">
        <f>ROUND(SUMPRODUCT(PRODUCT(1+Q5:Q$36)),4)</f>
        <v>1.4726999999999999</v>
      </c>
      <c r="AD5" s="3764">
        <f>ROUND(AVERAGE(I5:I$36)/100,4)</f>
        <v>1.66E-2</v>
      </c>
      <c r="AE5" s="3764">
        <f>ROUND(AVERAGE(J5:J$36)/100,4)</f>
        <v>1.0500000000000001E-2</v>
      </c>
      <c r="AF5" s="3764">
        <f t="shared" ref="AF5:AF7" si="7">AE5</f>
        <v>1.0500000000000001E-2</v>
      </c>
      <c r="AG5" s="3764">
        <f>ROUND(AVERAGE(K5:K$36)/100,4)</f>
        <v>1.83E-2</v>
      </c>
      <c r="AH5" s="3764">
        <f>ROUND(AVERAGE(L5:L$36)/100,4)</f>
        <v>1.2200000000000001E-2</v>
      </c>
    </row>
    <row r="6" spans="1:34" s="3775" customFormat="1">
      <c r="A6" s="3765" t="s">
        <v>3232</v>
      </c>
      <c r="B6" s="3766">
        <f t="shared" si="2"/>
        <v>504.87072809615569</v>
      </c>
      <c r="C6" s="3766">
        <f t="shared" si="2"/>
        <v>351.71182348101968</v>
      </c>
      <c r="D6" s="3766">
        <f t="shared" si="3"/>
        <v>351.71182348101968</v>
      </c>
      <c r="E6" s="3766">
        <f t="shared" si="4"/>
        <v>728.75350858360832</v>
      </c>
      <c r="F6" s="3766">
        <f t="shared" si="4"/>
        <v>334.04593931673656</v>
      </c>
      <c r="G6" s="3757">
        <v>2021</v>
      </c>
      <c r="H6" s="3767">
        <v>3</v>
      </c>
      <c r="I6" s="3767">
        <v>0.47</v>
      </c>
      <c r="J6" s="3767">
        <v>0.41</v>
      </c>
      <c r="K6" s="3767">
        <v>0.48</v>
      </c>
      <c r="L6" s="3768">
        <v>0.48</v>
      </c>
      <c r="M6" s="3769"/>
      <c r="N6" s="3770">
        <f t="shared" si="5"/>
        <v>4.6999999999999993E-3</v>
      </c>
      <c r="O6" s="3771">
        <f t="shared" si="5"/>
        <v>4.0999999999999995E-3</v>
      </c>
      <c r="P6" s="3771">
        <f t="shared" si="5"/>
        <v>4.7999999999999996E-3</v>
      </c>
      <c r="Q6" s="3771">
        <f t="shared" si="5"/>
        <v>4.7999999999999996E-3</v>
      </c>
      <c r="R6" s="3772"/>
      <c r="S6" s="3773"/>
      <c r="T6" s="3774"/>
      <c r="U6" s="3774"/>
      <c r="V6" s="3774"/>
      <c r="W6" s="3769"/>
      <c r="X6" s="3769">
        <f>ROUND(SUMPRODUCT(PRODUCT(1+N6:N$36)),4)</f>
        <v>1.6903999999999999</v>
      </c>
      <c r="Y6" s="3769">
        <f>ROUND(SUMPRODUCT(PRODUCT(1+O6:O$36)),4)</f>
        <v>1.3963000000000001</v>
      </c>
      <c r="Z6" s="3769">
        <f t="shared" si="6"/>
        <v>1.3963000000000001</v>
      </c>
      <c r="AA6" s="3769">
        <f>ROUND(SUMPRODUCT(PRODUCT(1+P6:P$36)),4)</f>
        <v>1.7797000000000001</v>
      </c>
      <c r="AB6" s="3769">
        <f>ROUND(SUMPRODUCT(PRODUCT(1+Q6:Q$36)),4)</f>
        <v>1.4726999999999999</v>
      </c>
      <c r="AC6" s="3769"/>
      <c r="AD6" s="3771">
        <f>ROUND(AVERAGE(I6:I$36)/100,4)</f>
        <v>1.72E-2</v>
      </c>
      <c r="AE6" s="3771">
        <f>ROUND(AVERAGE(J6:J$36)/100,4)</f>
        <v>1.09E-2</v>
      </c>
      <c r="AF6" s="3771">
        <f t="shared" si="7"/>
        <v>1.09E-2</v>
      </c>
      <c r="AG6" s="3771">
        <f>ROUND(AVERAGE(K6:K$36)/100,4)</f>
        <v>1.89E-2</v>
      </c>
      <c r="AH6" s="3771">
        <f>ROUND(AVERAGE(L6:L$36)/100,4)</f>
        <v>1.26E-2</v>
      </c>
    </row>
    <row r="7" spans="1:34" s="3775" customFormat="1">
      <c r="A7" s="3765" t="s">
        <v>2995</v>
      </c>
      <c r="B7" s="3766">
        <f t="shared" si="2"/>
        <v>502.50893609650217</v>
      </c>
      <c r="C7" s="3766">
        <f t="shared" si="2"/>
        <v>350.27569313914915</v>
      </c>
      <c r="D7" s="3766">
        <f t="shared" si="3"/>
        <v>350.27569313914915</v>
      </c>
      <c r="E7" s="3766">
        <f t="shared" si="4"/>
        <v>725.27220201394141</v>
      </c>
      <c r="F7" s="3766">
        <f t="shared" si="4"/>
        <v>332.45017846012797</v>
      </c>
      <c r="G7" s="3757">
        <v>2021</v>
      </c>
      <c r="H7" s="3767">
        <v>2</v>
      </c>
      <c r="I7" s="3767">
        <v>0.92</v>
      </c>
      <c r="J7" s="3767">
        <v>0.72</v>
      </c>
      <c r="K7" s="3767">
        <v>0.95</v>
      </c>
      <c r="L7" s="3768">
        <v>1.01</v>
      </c>
      <c r="M7" s="3769"/>
      <c r="N7" s="3770">
        <f t="shared" si="5"/>
        <v>9.1999999999999998E-3</v>
      </c>
      <c r="O7" s="3771">
        <f t="shared" si="5"/>
        <v>7.1999999999999998E-3</v>
      </c>
      <c r="P7" s="3771">
        <f t="shared" si="5"/>
        <v>9.4999999999999998E-3</v>
      </c>
      <c r="Q7" s="3771">
        <f t="shared" si="5"/>
        <v>1.01E-2</v>
      </c>
      <c r="R7" s="3772"/>
      <c r="S7" s="3773"/>
      <c r="T7" s="3774"/>
      <c r="U7" s="3774"/>
      <c r="V7" s="3774"/>
      <c r="W7" s="3769"/>
      <c r="X7" s="3769">
        <f>ROUND(SUMPRODUCT(PRODUCT(1+N7:N$36)),4)</f>
        <v>1.6825000000000001</v>
      </c>
      <c r="Y7" s="3769">
        <f>ROUND(SUMPRODUCT(PRODUCT(1+O7:O$36)),4)</f>
        <v>1.3906000000000001</v>
      </c>
      <c r="Z7" s="3769">
        <f t="shared" si="6"/>
        <v>1.3906000000000001</v>
      </c>
      <c r="AA7" s="3769">
        <f>ROUND(SUMPRODUCT(PRODUCT(1+P7:P$36)),4)</f>
        <v>1.7712000000000001</v>
      </c>
      <c r="AB7" s="3769">
        <f>ROUND(SUMPRODUCT(PRODUCT(1+Q7:Q$36)),4)</f>
        <v>1.4657</v>
      </c>
      <c r="AC7" s="3769"/>
      <c r="AD7" s="3771">
        <f>ROUND(AVERAGE(I7:I$36)/100,4)</f>
        <v>1.7600000000000001E-2</v>
      </c>
      <c r="AE7" s="3771">
        <f>ROUND(AVERAGE(J7:J$36)/100,4)</f>
        <v>1.11E-2</v>
      </c>
      <c r="AF7" s="3771">
        <f t="shared" si="7"/>
        <v>1.11E-2</v>
      </c>
      <c r="AG7" s="3771">
        <f>ROUND(AVERAGE(K7:K$36)/100,4)</f>
        <v>1.9400000000000001E-2</v>
      </c>
      <c r="AH7" s="3771">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48">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48"/>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48"/>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49"/>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47">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48"/>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48"/>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49"/>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47">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48"/>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48"/>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1"/>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0">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48"/>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48"/>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1"/>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0">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48"/>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48"/>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1"/>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55">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56"/>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56"/>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57"/>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0">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48"/>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48"/>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1"/>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0">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48">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48">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1">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0">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48">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48">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1">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0">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48">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48">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1">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0">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48">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48">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1">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0">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48">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48">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1">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0">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48">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48">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1">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0">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48">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48">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1">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0">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48">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48">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1">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0">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48">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48">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1">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0">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48">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48">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1">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59" t="s">
        <v>2442</v>
      </c>
      <c r="C8" s="1738">
        <f ca="1">ROUND(F8*F10*F9*(1-F11)/10000,0)</f>
        <v>0</v>
      </c>
      <c r="D8" s="1735" t="s">
        <v>2513</v>
      </c>
      <c r="E8" s="60" t="s">
        <v>629</v>
      </c>
      <c r="F8" s="773">
        <f ca="1">INDIRECT("'数据-取费表'!u"&amp;$G$1)</f>
        <v>0</v>
      </c>
      <c r="G8" s="1525"/>
      <c r="H8" s="2355" t="s">
        <v>1812</v>
      </c>
      <c r="I8" s="4059" t="s">
        <v>2442</v>
      </c>
      <c r="J8" s="771">
        <f ca="1">ROUND(M8*M10*M9*(1-M11)/10000,0)</f>
        <v>0</v>
      </c>
      <c r="K8" s="337" t="s">
        <v>2513</v>
      </c>
      <c r="L8" s="772" t="s">
        <v>1726</v>
      </c>
      <c r="M8" s="773">
        <f ca="1">INDIRECT("'数据-取费表'!z"&amp;$G$1)</f>
        <v>0</v>
      </c>
    </row>
    <row r="9" spans="1:25" ht="18" customHeight="1">
      <c r="A9" s="2351"/>
      <c r="B9" s="4060"/>
      <c r="C9" s="1739"/>
      <c r="D9" s="1736"/>
      <c r="E9" s="60" t="s">
        <v>630</v>
      </c>
      <c r="F9" s="773">
        <f ca="1">IF(INDIRECT("'数据-取费表'!ah"&amp;$G$1)="",INDIRECT("'数据-取费表'!k"&amp;$G$1),INDIRECT("'数据-取费表'!ah"&amp;$G$1))</f>
        <v>0</v>
      </c>
      <c r="G9" s="1525"/>
      <c r="H9" s="2340"/>
      <c r="I9" s="4060"/>
      <c r="J9" s="776"/>
      <c r="K9" s="777"/>
      <c r="L9" s="772" t="s">
        <v>1727</v>
      </c>
      <c r="M9" s="773">
        <f ca="1">F9</f>
        <v>0</v>
      </c>
    </row>
    <row r="10" spans="1:25" ht="18" customHeight="1">
      <c r="A10" s="2344"/>
      <c r="B10" s="4061"/>
      <c r="C10" s="1739"/>
      <c r="D10" s="1736"/>
      <c r="E10" s="60" t="s">
        <v>631</v>
      </c>
      <c r="F10" s="773">
        <f ca="1">INDIRECT("'数据-取费表'!ai"&amp;$G$1)</f>
        <v>0</v>
      </c>
      <c r="G10" s="1525"/>
      <c r="H10" s="2340"/>
      <c r="I10" s="4061"/>
      <c r="J10" s="776"/>
      <c r="K10" s="777"/>
      <c r="L10" s="772" t="s">
        <v>1728</v>
      </c>
      <c r="M10" s="773">
        <f ca="1">INDIRECT("'数据-取费表'!ai"&amp;$G$1)</f>
        <v>0</v>
      </c>
    </row>
    <row r="11" spans="1:25" ht="18" customHeight="1">
      <c r="A11" s="774"/>
      <c r="B11" s="4062"/>
      <c r="C11" s="1739"/>
      <c r="D11" s="1736"/>
      <c r="E11" s="60" t="s">
        <v>632</v>
      </c>
      <c r="F11" s="782">
        <f ca="1">INDIRECT("'数据-取费表'!w"&amp;$G$1)</f>
        <v>0</v>
      </c>
      <c r="G11" s="1525"/>
      <c r="H11" s="2356"/>
      <c r="I11" s="4061"/>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58"/>
      <c r="J36" s="1960"/>
      <c r="K36" s="1961"/>
      <c r="L36" s="1960"/>
      <c r="M36" s="1960"/>
    </row>
    <row r="37" spans="1:18" ht="18" customHeight="1">
      <c r="A37" s="802"/>
      <c r="B37" s="781"/>
      <c r="C37" s="68"/>
      <c r="D37" s="803"/>
      <c r="E37" s="772" t="s">
        <v>666</v>
      </c>
      <c r="F37" s="773">
        <f ca="1">INDIRECT("'数据-取费表'!r"&amp;$G$1)</f>
        <v>0</v>
      </c>
      <c r="G37" s="1943"/>
      <c r="H37" s="1946"/>
      <c r="I37" s="4058"/>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3"/>
      <c r="L54" s="4064"/>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6" priority="6">
      <formula>$F$12="自定义"</formula>
    </cfRule>
  </conditionalFormatting>
  <conditionalFormatting sqref="J13">
    <cfRule type="expression" dxfId="175" priority="5">
      <formula>$M$10="自定义"</formula>
    </cfRule>
  </conditionalFormatting>
  <conditionalFormatting sqref="K56">
    <cfRule type="expression" dxfId="174" priority="3">
      <formula>$L$48&gt;$J$51</formula>
    </cfRule>
  </conditionalFormatting>
  <conditionalFormatting sqref="I56">
    <cfRule type="expression" dxfId="173" priority="4">
      <formula>$J$51&gt;$L$48</formula>
    </cfRule>
  </conditionalFormatting>
  <conditionalFormatting sqref="I61">
    <cfRule type="expression" dxfId="172" priority="2">
      <formula>$J$51&gt;$L$48</formula>
    </cfRule>
  </conditionalFormatting>
  <conditionalFormatting sqref="K61">
    <cfRule type="expression" dxfId="1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65" t="s">
        <v>2450</v>
      </c>
      <c r="B1" s="4066"/>
      <c r="C1" s="4067"/>
      <c r="D1" s="4068">
        <f>SUM(I10,I15,I20,I21,I23)</f>
        <v>0</v>
      </c>
      <c r="E1" s="4068"/>
      <c r="F1" s="4068"/>
      <c r="G1" s="4068"/>
      <c r="H1" s="4068"/>
      <c r="I1" s="4069"/>
    </row>
    <row r="2" spans="1:9">
      <c r="A2" s="4070" t="s">
        <v>2451</v>
      </c>
      <c r="B2" s="4071" t="s">
        <v>2452</v>
      </c>
      <c r="C2" s="4071"/>
      <c r="D2" s="2358" t="s">
        <v>2453</v>
      </c>
      <c r="E2" s="2358" t="s">
        <v>2454</v>
      </c>
      <c r="F2" s="2358" t="s">
        <v>2455</v>
      </c>
      <c r="G2" s="2358" t="s">
        <v>2456</v>
      </c>
      <c r="H2" s="2358" t="s">
        <v>2457</v>
      </c>
      <c r="I2" s="2359" t="s">
        <v>2458</v>
      </c>
    </row>
    <row r="3" spans="1:9">
      <c r="A3" s="4070"/>
      <c r="B3" s="4071" t="s">
        <v>2459</v>
      </c>
      <c r="C3" s="4071"/>
      <c r="D3" s="2360"/>
      <c r="E3" s="2358"/>
      <c r="F3" s="2361"/>
      <c r="G3" s="2361"/>
      <c r="H3" s="2362"/>
      <c r="I3" s="2363">
        <f>ROUND(D3*E3*F3*G3*H3/10000,0)</f>
        <v>0</v>
      </c>
    </row>
    <row r="4" spans="1:9">
      <c r="A4" s="4070"/>
      <c r="B4" s="4071" t="s">
        <v>2460</v>
      </c>
      <c r="C4" s="4071"/>
      <c r="D4" s="2360"/>
      <c r="E4" s="2358"/>
      <c r="F4" s="2361"/>
      <c r="G4" s="2361"/>
      <c r="H4" s="2362"/>
      <c r="I4" s="2363">
        <f t="shared" ref="I4:I9" si="0">ROUND(D4*E4*F4*G4*H4/10000,0)</f>
        <v>0</v>
      </c>
    </row>
    <row r="5" spans="1:9">
      <c r="A5" s="4070"/>
      <c r="B5" s="4071" t="s">
        <v>2461</v>
      </c>
      <c r="C5" s="4071"/>
      <c r="D5" s="2360"/>
      <c r="E5" s="2358"/>
      <c r="F5" s="2361"/>
      <c r="G5" s="2361"/>
      <c r="H5" s="2362"/>
      <c r="I5" s="2363">
        <f t="shared" si="0"/>
        <v>0</v>
      </c>
    </row>
    <row r="6" spans="1:9">
      <c r="A6" s="4070"/>
      <c r="B6" s="4071" t="s">
        <v>2462</v>
      </c>
      <c r="C6" s="4071"/>
      <c r="D6" s="2360"/>
      <c r="E6" s="2358"/>
      <c r="F6" s="2361"/>
      <c r="G6" s="2361"/>
      <c r="H6" s="2362"/>
      <c r="I6" s="2363">
        <f t="shared" si="0"/>
        <v>0</v>
      </c>
    </row>
    <row r="7" spans="1:9">
      <c r="A7" s="4070"/>
      <c r="B7" s="4071" t="s">
        <v>2463</v>
      </c>
      <c r="C7" s="4071"/>
      <c r="D7" s="2360"/>
      <c r="E7" s="2358"/>
      <c r="F7" s="2361"/>
      <c r="G7" s="2361"/>
      <c r="H7" s="2362"/>
      <c r="I7" s="2363">
        <f t="shared" si="0"/>
        <v>0</v>
      </c>
    </row>
    <row r="8" spans="1:9">
      <c r="A8" s="4070"/>
      <c r="B8" s="4071" t="s">
        <v>2464</v>
      </c>
      <c r="C8" s="4071"/>
      <c r="D8" s="2360"/>
      <c r="E8" s="2358"/>
      <c r="F8" s="2361"/>
      <c r="G8" s="2361"/>
      <c r="H8" s="2362"/>
      <c r="I8" s="2363">
        <f t="shared" si="0"/>
        <v>0</v>
      </c>
    </row>
    <row r="9" spans="1:9">
      <c r="A9" s="4070"/>
      <c r="B9" s="4071" t="s">
        <v>2465</v>
      </c>
      <c r="C9" s="4071"/>
      <c r="D9" s="2360"/>
      <c r="E9" s="2358"/>
      <c r="F9" s="2361"/>
      <c r="G9" s="2361"/>
      <c r="H9" s="2362"/>
      <c r="I9" s="2363">
        <f t="shared" si="0"/>
        <v>0</v>
      </c>
    </row>
    <row r="10" spans="1:9">
      <c r="A10" s="4070"/>
      <c r="B10" s="4072" t="s">
        <v>2466</v>
      </c>
      <c r="C10" s="4072"/>
      <c r="D10" s="2364">
        <v>527</v>
      </c>
      <c r="E10" s="2364" t="e">
        <f>ROUND(D1*10000/D10/H9,0)</f>
        <v>#DIV/0!</v>
      </c>
      <c r="F10" s="2365"/>
      <c r="G10" s="2365"/>
      <c r="H10" s="2366"/>
      <c r="I10" s="2367">
        <f>SUM(I3:I9)</f>
        <v>0</v>
      </c>
    </row>
    <row r="11" spans="1:9" ht="14.25">
      <c r="A11" s="4070" t="s">
        <v>2467</v>
      </c>
      <c r="B11" s="4071" t="s">
        <v>2468</v>
      </c>
      <c r="C11" s="4071"/>
      <c r="D11" s="2360" t="s">
        <v>2469</v>
      </c>
      <c r="E11" s="2360" t="s">
        <v>2470</v>
      </c>
      <c r="F11" s="2361" t="s">
        <v>2471</v>
      </c>
      <c r="G11" s="2361" t="s">
        <v>2472</v>
      </c>
      <c r="H11" s="2368" t="s">
        <v>2473</v>
      </c>
      <c r="I11" s="2359" t="s">
        <v>2474</v>
      </c>
    </row>
    <row r="12" spans="1:9">
      <c r="A12" s="4070"/>
      <c r="B12" s="4071" t="s">
        <v>2475</v>
      </c>
      <c r="C12" s="4071"/>
      <c r="D12" s="2360"/>
      <c r="E12" s="2360"/>
      <c r="F12" s="2361"/>
      <c r="G12" s="2362"/>
      <c r="H12" s="2369"/>
      <c r="I12" s="2359">
        <f>ROUND(D12*E12*F12*G12/10000,0)</f>
        <v>0</v>
      </c>
    </row>
    <row r="13" spans="1:9">
      <c r="A13" s="4070"/>
      <c r="B13" s="4071" t="s">
        <v>2476</v>
      </c>
      <c r="C13" s="4071"/>
      <c r="D13" s="2360"/>
      <c r="E13" s="2360"/>
      <c r="F13" s="2361"/>
      <c r="G13" s="2362"/>
      <c r="H13" s="2369"/>
      <c r="I13" s="2359">
        <f>ROUND(D13*E13*F13*G13/10000,0)</f>
        <v>0</v>
      </c>
    </row>
    <row r="14" spans="1:9">
      <c r="A14" s="4070"/>
      <c r="B14" s="4071" t="s">
        <v>2477</v>
      </c>
      <c r="C14" s="4071"/>
      <c r="D14" s="2360"/>
      <c r="E14" s="2360"/>
      <c r="F14" s="2361"/>
      <c r="G14" s="2362"/>
      <c r="H14" s="2369"/>
      <c r="I14" s="2359">
        <f>ROUND(D14*E14*F14*G14/10000,0)</f>
        <v>0</v>
      </c>
    </row>
    <row r="15" spans="1:9">
      <c r="A15" s="4070"/>
      <c r="B15" s="4072" t="s">
        <v>2466</v>
      </c>
      <c r="C15" s="4072"/>
      <c r="D15" s="2364"/>
      <c r="E15" s="2364">
        <f>SUM(E12:E14)</f>
        <v>0</v>
      </c>
      <c r="F15" s="2365"/>
      <c r="G15" s="2362"/>
      <c r="H15" s="2369"/>
      <c r="I15" s="2370">
        <f>SUM(I12:I14)</f>
        <v>0</v>
      </c>
    </row>
    <row r="16" spans="1:9" ht="24">
      <c r="A16" s="4070" t="s">
        <v>2478</v>
      </c>
      <c r="B16" s="4071" t="s">
        <v>2479</v>
      </c>
      <c r="C16" s="4071"/>
      <c r="D16" s="2360" t="s">
        <v>2480</v>
      </c>
      <c r="E16" s="2371" t="s">
        <v>2481</v>
      </c>
      <c r="F16" s="2361" t="s">
        <v>2482</v>
      </c>
      <c r="G16" s="2362" t="s">
        <v>2472</v>
      </c>
      <c r="H16" s="2368" t="s">
        <v>2473</v>
      </c>
      <c r="I16" s="2359" t="s">
        <v>2474</v>
      </c>
    </row>
    <row r="17" spans="1:9" ht="14.25">
      <c r="A17" s="4070"/>
      <c r="B17" s="4071" t="s">
        <v>2483</v>
      </c>
      <c r="C17" s="4071"/>
      <c r="D17" s="2360"/>
      <c r="E17" s="2360"/>
      <c r="F17" s="2361"/>
      <c r="G17" s="2362"/>
      <c r="H17" s="2372"/>
      <c r="I17" s="2373">
        <f>ROUND(D17*E17*F17*G17/10000,0)</f>
        <v>0</v>
      </c>
    </row>
    <row r="18" spans="1:9" ht="14.25">
      <c r="A18" s="4070"/>
      <c r="B18" s="4071" t="s">
        <v>2484</v>
      </c>
      <c r="C18" s="4071"/>
      <c r="D18" s="2360"/>
      <c r="E18" s="2360"/>
      <c r="F18" s="2361"/>
      <c r="G18" s="2362"/>
      <c r="H18" s="2372"/>
      <c r="I18" s="2373">
        <f>ROUND(D18*E18*F18*G18/10000,0)</f>
        <v>0</v>
      </c>
    </row>
    <row r="19" spans="1:9" ht="14.25">
      <c r="A19" s="4070"/>
      <c r="B19" s="4071" t="s">
        <v>2485</v>
      </c>
      <c r="C19" s="4071"/>
      <c r="D19" s="2360"/>
      <c r="E19" s="2360"/>
      <c r="F19" s="2361"/>
      <c r="G19" s="2362"/>
      <c r="H19" s="2372"/>
      <c r="I19" s="2373">
        <f>ROUND(D19*E19*F19*G19/10000,0)</f>
        <v>0</v>
      </c>
    </row>
    <row r="20" spans="1:9">
      <c r="A20" s="4070"/>
      <c r="B20" s="4072" t="s">
        <v>2466</v>
      </c>
      <c r="C20" s="4072"/>
      <c r="D20" s="2364">
        <f>SUM(D17:D19)</f>
        <v>0</v>
      </c>
      <c r="E20" s="2364"/>
      <c r="F20" s="2365"/>
      <c r="G20" s="2362"/>
      <c r="H20" s="2369"/>
      <c r="I20" s="2370">
        <f>SUM(I17:I19)</f>
        <v>0</v>
      </c>
    </row>
    <row r="21" spans="1:9">
      <c r="A21" s="4070" t="s">
        <v>2486</v>
      </c>
      <c r="B21" s="4074"/>
      <c r="C21" s="4074"/>
      <c r="D21" s="4074"/>
      <c r="E21" s="4074"/>
      <c r="F21" s="4074"/>
      <c r="G21" s="4074"/>
      <c r="H21" s="2374">
        <v>0.1</v>
      </c>
      <c r="I21" s="2367">
        <f>ROUND(I10*H21,0)</f>
        <v>0</v>
      </c>
    </row>
    <row r="22" spans="1:9" ht="14.25">
      <c r="A22" s="4075" t="s">
        <v>2487</v>
      </c>
      <c r="B22" s="4076"/>
      <c r="C22" s="4077"/>
      <c r="D22" s="2375" t="s">
        <v>2488</v>
      </c>
      <c r="E22" s="2375" t="s">
        <v>2489</v>
      </c>
      <c r="F22" s="2376" t="s">
        <v>2490</v>
      </c>
      <c r="G22" s="2376" t="s">
        <v>2491</v>
      </c>
      <c r="H22" s="2368" t="s">
        <v>2492</v>
      </c>
      <c r="I22" s="2359" t="s">
        <v>2493</v>
      </c>
    </row>
    <row r="23" spans="1:9" ht="14.25" thickBot="1">
      <c r="A23" s="4078"/>
      <c r="B23" s="4079"/>
      <c r="C23" s="4080"/>
      <c r="D23" s="2377"/>
      <c r="E23" s="2377"/>
      <c r="F23" s="2377"/>
      <c r="G23" s="2378"/>
      <c r="H23" s="2379"/>
      <c r="I23" s="2380">
        <f>ROUND(E23*D23*F23*(1-G23)/10000,0)</f>
        <v>0</v>
      </c>
    </row>
    <row r="26" spans="1:9">
      <c r="A26" s="2381" t="s">
        <v>2494</v>
      </c>
      <c r="B26" s="2381"/>
      <c r="C26" s="2381"/>
      <c r="D26" s="2381"/>
      <c r="E26" s="4081">
        <f>C27-C30-C31-C32</f>
        <v>0</v>
      </c>
      <c r="F26" s="4081"/>
      <c r="G26" s="4081"/>
      <c r="H26" s="2754" t="s">
        <v>2820</v>
      </c>
    </row>
    <row r="27" spans="1:9">
      <c r="A27" s="2382">
        <v>1</v>
      </c>
      <c r="B27" s="2383" t="s">
        <v>2495</v>
      </c>
      <c r="C27" s="2383"/>
      <c r="D27" s="2383"/>
      <c r="E27" s="4082"/>
      <c r="F27" s="4082"/>
      <c r="G27" s="4082"/>
    </row>
    <row r="28" spans="1:9">
      <c r="A28" s="2384" t="s">
        <v>2496</v>
      </c>
      <c r="B28" s="2383" t="s">
        <v>2497</v>
      </c>
      <c r="C28" s="2383"/>
      <c r="D28" s="2383"/>
      <c r="E28" s="4082"/>
      <c r="F28" s="4082"/>
      <c r="G28" s="4082"/>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3"/>
      <c r="F32" s="4073"/>
      <c r="G32" s="4073"/>
    </row>
    <row r="33" spans="1:7" hidden="1">
      <c r="A33" s="4083" t="s">
        <v>2505</v>
      </c>
      <c r="B33" s="4084"/>
      <c r="C33" s="4084"/>
      <c r="D33" s="4085"/>
      <c r="E33" s="4081"/>
      <c r="F33" s="4081"/>
      <c r="G33" s="4081"/>
    </row>
    <row r="34" spans="1:7" hidden="1">
      <c r="A34" s="2386">
        <v>1</v>
      </c>
      <c r="B34" s="2383" t="s">
        <v>2506</v>
      </c>
      <c r="C34" s="2383"/>
      <c r="D34" s="2383"/>
      <c r="E34" s="4082"/>
      <c r="F34" s="4082"/>
      <c r="G34" s="4082"/>
    </row>
    <row r="35" spans="1:7" hidden="1">
      <c r="A35" s="2386">
        <v>2</v>
      </c>
      <c r="B35" s="2383" t="s">
        <v>2507</v>
      </c>
      <c r="C35" s="2383"/>
      <c r="D35" s="2383"/>
      <c r="E35" s="4082"/>
      <c r="F35" s="4082"/>
      <c r="G35" s="4082"/>
    </row>
    <row r="36" spans="1:7" hidden="1">
      <c r="A36" s="2386">
        <v>3</v>
      </c>
      <c r="B36" s="2383" t="s">
        <v>2508</v>
      </c>
      <c r="C36" s="2383"/>
      <c r="D36" s="2383"/>
      <c r="E36" s="4082"/>
      <c r="F36" s="4082"/>
      <c r="G36" s="4082"/>
    </row>
    <row r="37" spans="1:7" hidden="1">
      <c r="A37" s="2386">
        <v>4</v>
      </c>
      <c r="B37" s="2383" t="s">
        <v>2509</v>
      </c>
      <c r="C37" s="2383"/>
      <c r="D37" s="2383"/>
      <c r="E37" s="4082"/>
      <c r="F37" s="4082"/>
      <c r="G37" s="4082"/>
    </row>
    <row r="38" spans="1:7" hidden="1">
      <c r="A38" s="4083" t="s">
        <v>2510</v>
      </c>
      <c r="B38" s="4084"/>
      <c r="C38" s="4084"/>
      <c r="D38" s="4085"/>
      <c r="E38" s="4081"/>
      <c r="F38" s="4081"/>
      <c r="G38" s="40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58">
        <f>'数据-汇总表'!E5</f>
        <v>0</v>
      </c>
      <c r="E12" s="3258">
        <f>'数据-取费表'!B27</f>
        <v>170</v>
      </c>
      <c r="F12" s="744"/>
      <c r="G12" s="747"/>
    </row>
    <row r="13" spans="1:25" s="2062" customFormat="1" ht="13.5" customHeight="1">
      <c r="A13" s="2327" t="s">
        <v>2427</v>
      </c>
      <c r="B13" s="745" t="s">
        <v>604</v>
      </c>
      <c r="C13" s="746">
        <f>ROUND(D13*E13/10000,0)</f>
        <v>14520</v>
      </c>
      <c r="D13" s="3258">
        <f>'数据-汇总表'!E6</f>
        <v>726000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77" t="s">
        <v>514</v>
      </c>
      <c r="D4" s="3978"/>
      <c r="E4" s="4011" t="s">
        <v>515</v>
      </c>
      <c r="F4" s="4012"/>
      <c r="G4" s="3977" t="s">
        <v>516</v>
      </c>
      <c r="H4" s="3978"/>
      <c r="I4" s="3977" t="s">
        <v>517</v>
      </c>
      <c r="J4" s="3978"/>
      <c r="K4" s="840"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4" t="s">
        <v>516</v>
      </c>
      <c r="AC4" s="3974" t="s">
        <v>517</v>
      </c>
    </row>
    <row r="5" spans="1:29" ht="15">
      <c r="A5" s="507"/>
      <c r="B5" s="508"/>
      <c r="C5" s="3993" t="s">
        <v>2892</v>
      </c>
      <c r="D5" s="3994"/>
      <c r="E5" s="4090" t="s">
        <v>3069</v>
      </c>
      <c r="F5" s="4014"/>
      <c r="G5" s="4089" t="s">
        <v>3068</v>
      </c>
      <c r="H5" s="3994"/>
      <c r="I5" s="4089" t="s">
        <v>3070</v>
      </c>
      <c r="J5" s="3994"/>
      <c r="K5" s="841"/>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841"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4002" t="s">
        <v>522</v>
      </c>
      <c r="Q7" s="4004"/>
      <c r="R7" s="1501" t="s">
        <v>13</v>
      </c>
      <c r="S7" s="1502">
        <f t="shared" ref="S7:S15" si="0">F7</f>
        <v>0</v>
      </c>
      <c r="T7" s="1501" t="s">
        <v>13</v>
      </c>
      <c r="U7" s="1502">
        <f t="shared" ref="U7:U15" si="1">H7</f>
        <v>0</v>
      </c>
      <c r="V7" s="1501" t="s">
        <v>13</v>
      </c>
      <c r="W7" s="1502">
        <f t="shared" ref="W7:W15"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5"/>
      <c r="M8" s="2016"/>
      <c r="N8" s="2016"/>
      <c r="O8" s="2016"/>
      <c r="P8" s="4002" t="s">
        <v>525</v>
      </c>
      <c r="Q8" s="4003"/>
      <c r="R8" s="1501" t="s">
        <v>13</v>
      </c>
      <c r="S8" s="1502">
        <f t="shared" si="0"/>
        <v>100</v>
      </c>
      <c r="T8" s="1501" t="s">
        <v>13</v>
      </c>
      <c r="U8" s="1502">
        <f t="shared" si="1"/>
        <v>100</v>
      </c>
      <c r="V8" s="1501" t="s">
        <v>13</v>
      </c>
      <c r="W8" s="1502">
        <f t="shared" si="2"/>
        <v>100</v>
      </c>
      <c r="X8" s="1503"/>
      <c r="Y8" s="4002" t="s">
        <v>525</v>
      </c>
      <c r="Z8" s="4003"/>
      <c r="AA8" s="1504">
        <f t="shared" ref="AA8:AA46" si="3">D8/F8</f>
        <v>1</v>
      </c>
      <c r="AB8" s="1504">
        <f t="shared" ref="AB8:AB46" si="4">D8/H8</f>
        <v>1</v>
      </c>
      <c r="AC8" s="1504">
        <f t="shared" ref="AC8:AC46" si="5">D8/J8</f>
        <v>1</v>
      </c>
    </row>
    <row r="9" spans="1:29" s="1201" customFormat="1" ht="15">
      <c r="A9" s="2629"/>
      <c r="B9" s="2636" t="s">
        <v>2734</v>
      </c>
      <c r="C9" s="3325"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971"/>
      <c r="Q11" s="1132" t="str">
        <f t="shared" si="6"/>
        <v>容积率</v>
      </c>
      <c r="R11" s="1501" t="s">
        <v>11</v>
      </c>
      <c r="S11" s="1502" t="e">
        <f t="shared" si="0"/>
        <v>#N/A</v>
      </c>
      <c r="T11" s="1501" t="s">
        <v>11</v>
      </c>
      <c r="U11" s="1502" t="e">
        <f t="shared" si="1"/>
        <v>#N/A</v>
      </c>
      <c r="V11" s="1501" t="s">
        <v>11</v>
      </c>
      <c r="W11" s="1502" t="e">
        <f t="shared" si="2"/>
        <v>#N/A</v>
      </c>
      <c r="X11" s="1503"/>
      <c r="Y11" s="391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71"/>
      <c r="Q12" s="1132">
        <f t="shared" si="6"/>
        <v>111</v>
      </c>
      <c r="R12" s="1501" t="s">
        <v>11</v>
      </c>
      <c r="S12" s="1502">
        <f t="shared" si="0"/>
        <v>100</v>
      </c>
      <c r="T12" s="1501" t="s">
        <v>11</v>
      </c>
      <c r="U12" s="1502">
        <f t="shared" si="1"/>
        <v>100</v>
      </c>
      <c r="V12" s="1501" t="s">
        <v>11</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71"/>
      <c r="Q13" s="1132">
        <f t="shared" si="6"/>
        <v>111</v>
      </c>
      <c r="R13" s="1501" t="s">
        <v>11</v>
      </c>
      <c r="S13" s="1502">
        <f t="shared" si="0"/>
        <v>100</v>
      </c>
      <c r="T13" s="1501" t="s">
        <v>11</v>
      </c>
      <c r="U13" s="1502">
        <f t="shared" si="1"/>
        <v>100</v>
      </c>
      <c r="V13" s="1501" t="s">
        <v>11</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71"/>
      <c r="Q14" s="1132">
        <f t="shared" si="6"/>
        <v>111</v>
      </c>
      <c r="R14" s="1501" t="s">
        <v>11</v>
      </c>
      <c r="S14" s="1502">
        <f t="shared" si="0"/>
        <v>100</v>
      </c>
      <c r="T14" s="1501" t="s">
        <v>11</v>
      </c>
      <c r="U14" s="1502">
        <f t="shared" si="1"/>
        <v>100</v>
      </c>
      <c r="V14" s="1501" t="s">
        <v>11</v>
      </c>
      <c r="W14" s="1502">
        <f t="shared" si="2"/>
        <v>100</v>
      </c>
      <c r="X14" s="1503"/>
      <c r="Y14" s="3917"/>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05" t="s">
        <v>532</v>
      </c>
      <c r="Q15" s="1505" t="str">
        <f t="shared" si="6"/>
        <v>居住社区成熟度</v>
      </c>
      <c r="R15" s="1506" t="s">
        <v>11</v>
      </c>
      <c r="S15" s="1507">
        <f t="shared" si="0"/>
        <v>100</v>
      </c>
      <c r="T15" s="1506" t="s">
        <v>11</v>
      </c>
      <c r="U15" s="1507">
        <f t="shared" si="1"/>
        <v>100</v>
      </c>
      <c r="V15" s="1506" t="s">
        <v>11</v>
      </c>
      <c r="W15" s="1507">
        <f t="shared" si="2"/>
        <v>100</v>
      </c>
      <c r="X15" s="1500"/>
      <c r="Y15" s="400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06"/>
      <c r="Q16" s="1505"/>
      <c r="R16" s="1506"/>
      <c r="S16" s="1507"/>
      <c r="T16" s="1506"/>
      <c r="U16" s="1507"/>
      <c r="V16" s="1506"/>
      <c r="W16" s="1507"/>
      <c r="X16" s="1500"/>
      <c r="Y16" s="400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06"/>
      <c r="Q17" s="1505" t="str">
        <f>B17</f>
        <v>交通便捷度</v>
      </c>
      <c r="R17" s="1506" t="s">
        <v>11</v>
      </c>
      <c r="S17" s="1507">
        <f>F17</f>
        <v>100</v>
      </c>
      <c r="T17" s="1506" t="s">
        <v>11</v>
      </c>
      <c r="U17" s="1507">
        <f>H17</f>
        <v>100</v>
      </c>
      <c r="V17" s="1506" t="s">
        <v>11</v>
      </c>
      <c r="W17" s="1507">
        <f>J17</f>
        <v>100</v>
      </c>
      <c r="X17" s="1500"/>
      <c r="Y17" s="400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06"/>
      <c r="Q18" s="1505"/>
      <c r="R18" s="1506"/>
      <c r="S18" s="1507"/>
      <c r="T18" s="1506"/>
      <c r="U18" s="1507"/>
      <c r="V18" s="1506"/>
      <c r="W18" s="1507"/>
      <c r="X18" s="1500"/>
      <c r="Y18" s="400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06"/>
      <c r="Q19" s="1505" t="str">
        <f>B19</f>
        <v>公共配套设施</v>
      </c>
      <c r="R19" s="1506" t="s">
        <v>11</v>
      </c>
      <c r="S19" s="1507">
        <f>F19</f>
        <v>100</v>
      </c>
      <c r="T19" s="1506" t="s">
        <v>11</v>
      </c>
      <c r="U19" s="1507">
        <f>H19</f>
        <v>100</v>
      </c>
      <c r="V19" s="1506" t="s">
        <v>11</v>
      </c>
      <c r="W19" s="1507">
        <f>J19</f>
        <v>100</v>
      </c>
      <c r="X19" s="1500"/>
      <c r="Y19" s="400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06"/>
      <c r="Q20" s="1505"/>
      <c r="R20" s="1506"/>
      <c r="S20" s="1507"/>
      <c r="T20" s="1506"/>
      <c r="U20" s="1507"/>
      <c r="V20" s="1506"/>
      <c r="W20" s="1507"/>
      <c r="X20" s="1500"/>
      <c r="Y20" s="400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06"/>
      <c r="Q21" s="2427" t="str">
        <f>B21</f>
        <v>基础设施水平</v>
      </c>
      <c r="R21" s="1506" t="s">
        <v>11</v>
      </c>
      <c r="S21" s="1507">
        <f>F21</f>
        <v>100</v>
      </c>
      <c r="T21" s="1506" t="s">
        <v>11</v>
      </c>
      <c r="U21" s="1507">
        <f>H21</f>
        <v>100</v>
      </c>
      <c r="V21" s="1506" t="s">
        <v>11</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06"/>
      <c r="Q22" s="2427"/>
      <c r="R22" s="1506"/>
      <c r="S22" s="1507"/>
      <c r="T22" s="1506"/>
      <c r="U22" s="1507"/>
      <c r="V22" s="1506"/>
      <c r="W22" s="1507"/>
      <c r="X22" s="2429"/>
      <c r="Y22" s="400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06"/>
      <c r="Q23" s="1505" t="str">
        <f>B23</f>
        <v>自然及人文环境</v>
      </c>
      <c r="R23" s="1506" t="s">
        <v>11</v>
      </c>
      <c r="S23" s="1507">
        <f>F23</f>
        <v>100</v>
      </c>
      <c r="T23" s="1506" t="s">
        <v>11</v>
      </c>
      <c r="U23" s="1507">
        <f>H23</f>
        <v>100</v>
      </c>
      <c r="V23" s="1506" t="s">
        <v>11</v>
      </c>
      <c r="W23" s="1507">
        <f>J23</f>
        <v>100</v>
      </c>
      <c r="X23" s="1500"/>
      <c r="Y23" s="400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06"/>
      <c r="Q25" s="1505" t="str">
        <f t="shared" ref="Q25:Q46" si="11">B25</f>
        <v>楼层-1</v>
      </c>
      <c r="R25" s="1506" t="s">
        <v>11</v>
      </c>
      <c r="S25" s="1507">
        <f>F25</f>
        <v>100</v>
      </c>
      <c r="T25" s="1506" t="s">
        <v>11</v>
      </c>
      <c r="U25" s="1507">
        <f>H25</f>
        <v>100</v>
      </c>
      <c r="V25" s="1506" t="s">
        <v>11</v>
      </c>
      <c r="W25" s="1507">
        <f>J25</f>
        <v>100</v>
      </c>
      <c r="X25" s="1500"/>
      <c r="Y25" s="400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06"/>
      <c r="Q26" s="1505" t="str">
        <f t="shared" si="11"/>
        <v>朝向</v>
      </c>
      <c r="R26" s="1506" t="s">
        <v>11</v>
      </c>
      <c r="S26" s="1507">
        <f>F26</f>
        <v>100</v>
      </c>
      <c r="T26" s="1506" t="s">
        <v>11</v>
      </c>
      <c r="U26" s="1507">
        <f>H26</f>
        <v>100</v>
      </c>
      <c r="V26" s="1506" t="s">
        <v>11</v>
      </c>
      <c r="W26" s="1507">
        <f>J26</f>
        <v>100</v>
      </c>
      <c r="X26" s="1500"/>
      <c r="Y26" s="400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06"/>
      <c r="Q27" s="1132" t="str">
        <f t="shared" si="11"/>
        <v>道路级别</v>
      </c>
      <c r="R27" s="1501" t="s">
        <v>11</v>
      </c>
      <c r="S27" s="1502">
        <f>F27</f>
        <v>100</v>
      </c>
      <c r="T27" s="1501" t="s">
        <v>11</v>
      </c>
      <c r="U27" s="1502">
        <f>H27</f>
        <v>100</v>
      </c>
      <c r="V27" s="1501" t="s">
        <v>11</v>
      </c>
      <c r="W27" s="1502">
        <f>J27</f>
        <v>100</v>
      </c>
      <c r="X27" s="1503"/>
      <c r="Y27" s="400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06"/>
      <c r="Q28" s="1505">
        <f t="shared" si="11"/>
        <v>111</v>
      </c>
      <c r="R28" s="1506" t="s">
        <v>11</v>
      </c>
      <c r="S28" s="1507">
        <f t="shared" ref="S28:S46" si="12">F28</f>
        <v>100</v>
      </c>
      <c r="T28" s="1506" t="s">
        <v>11</v>
      </c>
      <c r="U28" s="1507">
        <f t="shared" ref="U28:U46" si="13">H28</f>
        <v>100</v>
      </c>
      <c r="V28" s="1506" t="s">
        <v>11</v>
      </c>
      <c r="W28" s="1507">
        <f t="shared" ref="W28:W46" si="14">J28</f>
        <v>100</v>
      </c>
      <c r="X28" s="1500"/>
      <c r="Y28" s="400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06"/>
      <c r="Q29" s="1505">
        <f t="shared" si="11"/>
        <v>111</v>
      </c>
      <c r="R29" s="1506" t="s">
        <v>11</v>
      </c>
      <c r="S29" s="1507">
        <f t="shared" si="12"/>
        <v>100</v>
      </c>
      <c r="T29" s="1506" t="s">
        <v>11</v>
      </c>
      <c r="U29" s="1507">
        <f t="shared" si="13"/>
        <v>100</v>
      </c>
      <c r="V29" s="1506" t="s">
        <v>11</v>
      </c>
      <c r="W29" s="1507">
        <f t="shared" si="14"/>
        <v>100</v>
      </c>
      <c r="X29" s="1500"/>
      <c r="Y29" s="400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06"/>
      <c r="Q30" s="1505">
        <f t="shared" si="11"/>
        <v>111</v>
      </c>
      <c r="R30" s="1506" t="s">
        <v>11</v>
      </c>
      <c r="S30" s="1507">
        <f t="shared" si="12"/>
        <v>100</v>
      </c>
      <c r="T30" s="1506" t="s">
        <v>11</v>
      </c>
      <c r="U30" s="1507">
        <f t="shared" si="13"/>
        <v>100</v>
      </c>
      <c r="V30" s="1506" t="s">
        <v>11</v>
      </c>
      <c r="W30" s="1507">
        <f t="shared" si="14"/>
        <v>100</v>
      </c>
      <c r="X30" s="1500"/>
      <c r="Y30" s="400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06"/>
      <c r="Q31" s="1505">
        <f t="shared" si="11"/>
        <v>111</v>
      </c>
      <c r="R31" s="1506" t="s">
        <v>11</v>
      </c>
      <c r="S31" s="1507">
        <f t="shared" si="12"/>
        <v>100</v>
      </c>
      <c r="T31" s="1506" t="s">
        <v>11</v>
      </c>
      <c r="U31" s="1507">
        <f t="shared" si="13"/>
        <v>100</v>
      </c>
      <c r="V31" s="1506" t="s">
        <v>11</v>
      </c>
      <c r="W31" s="1507">
        <f t="shared" si="14"/>
        <v>100</v>
      </c>
      <c r="X31" s="1500"/>
      <c r="Y31" s="400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07" t="s">
        <v>542</v>
      </c>
      <c r="Q32" s="1505" t="str">
        <f t="shared" si="11"/>
        <v>建筑类型</v>
      </c>
      <c r="R32" s="1506" t="s">
        <v>11</v>
      </c>
      <c r="S32" s="1507">
        <f t="shared" si="12"/>
        <v>100</v>
      </c>
      <c r="T32" s="1506" t="s">
        <v>11</v>
      </c>
      <c r="U32" s="1507">
        <f t="shared" si="13"/>
        <v>100</v>
      </c>
      <c r="V32" s="1506" t="s">
        <v>11</v>
      </c>
      <c r="W32" s="1507">
        <f t="shared" si="14"/>
        <v>100</v>
      </c>
      <c r="X32" s="1500"/>
      <c r="Y32" s="400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4008"/>
      <c r="Q33" s="1534" t="str">
        <f t="shared" si="11"/>
        <v>项目建筑规模</v>
      </c>
      <c r="R33" s="1510" t="s">
        <v>11</v>
      </c>
      <c r="S33" s="1511" t="e">
        <f t="shared" si="12"/>
        <v>#N/A</v>
      </c>
      <c r="T33" s="1510" t="s">
        <v>11</v>
      </c>
      <c r="U33" s="1511" t="e">
        <f t="shared" si="13"/>
        <v>#N/A</v>
      </c>
      <c r="V33" s="1510" t="s">
        <v>11</v>
      </c>
      <c r="W33" s="1511" t="e">
        <f t="shared" si="14"/>
        <v>#N/A</v>
      </c>
      <c r="X33" s="1512"/>
      <c r="Y33" s="400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08"/>
      <c r="Q34" s="1505" t="str">
        <f t="shared" si="11"/>
        <v>建筑结构</v>
      </c>
      <c r="R34" s="1506" t="s">
        <v>11</v>
      </c>
      <c r="S34" s="1507">
        <f t="shared" si="12"/>
        <v>100</v>
      </c>
      <c r="T34" s="1506" t="s">
        <v>11</v>
      </c>
      <c r="U34" s="1507">
        <f t="shared" si="13"/>
        <v>100</v>
      </c>
      <c r="V34" s="1506" t="s">
        <v>11</v>
      </c>
      <c r="W34" s="1507">
        <f t="shared" si="14"/>
        <v>100</v>
      </c>
      <c r="X34" s="1500"/>
      <c r="Y34" s="400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08"/>
      <c r="Q35" s="1505" t="str">
        <f t="shared" si="11"/>
        <v>建筑品质</v>
      </c>
      <c r="R35" s="1506" t="s">
        <v>11</v>
      </c>
      <c r="S35" s="1507">
        <f t="shared" si="12"/>
        <v>100</v>
      </c>
      <c r="T35" s="1506" t="s">
        <v>11</v>
      </c>
      <c r="U35" s="1507">
        <f t="shared" si="13"/>
        <v>100</v>
      </c>
      <c r="V35" s="1506" t="s">
        <v>11</v>
      </c>
      <c r="W35" s="1507">
        <f t="shared" si="14"/>
        <v>100</v>
      </c>
      <c r="X35" s="1500"/>
      <c r="Y35" s="400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08"/>
      <c r="Q36" s="1505" t="str">
        <f t="shared" si="11"/>
        <v>公共部分装修</v>
      </c>
      <c r="R36" s="1506" t="s">
        <v>11</v>
      </c>
      <c r="S36" s="1507">
        <f t="shared" si="12"/>
        <v>100</v>
      </c>
      <c r="T36" s="1506" t="s">
        <v>11</v>
      </c>
      <c r="U36" s="1507">
        <f t="shared" si="13"/>
        <v>100</v>
      </c>
      <c r="V36" s="1506" t="s">
        <v>11</v>
      </c>
      <c r="W36" s="1507">
        <f t="shared" si="14"/>
        <v>100</v>
      </c>
      <c r="X36" s="1500"/>
      <c r="Y36" s="400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4008"/>
      <c r="Q37" s="1132" t="str">
        <f t="shared" si="11"/>
        <v>成新度</v>
      </c>
      <c r="R37" s="1501" t="s">
        <v>11</v>
      </c>
      <c r="S37" s="1502" t="e">
        <f t="shared" si="12"/>
        <v>#N/A</v>
      </c>
      <c r="T37" s="1501" t="s">
        <v>11</v>
      </c>
      <c r="U37" s="1502" t="e">
        <f t="shared" si="13"/>
        <v>#N/A</v>
      </c>
      <c r="V37" s="1501" t="s">
        <v>11</v>
      </c>
      <c r="W37" s="1502" t="e">
        <f t="shared" si="14"/>
        <v>#N/A</v>
      </c>
      <c r="X37" s="1503"/>
      <c r="Y37" s="400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08" t="s">
        <v>542</v>
      </c>
      <c r="Q38" s="1505" t="str">
        <f t="shared" si="11"/>
        <v>物业管理</v>
      </c>
      <c r="R38" s="1506" t="s">
        <v>11</v>
      </c>
      <c r="S38" s="1507">
        <f t="shared" si="12"/>
        <v>100</v>
      </c>
      <c r="T38" s="1506" t="s">
        <v>11</v>
      </c>
      <c r="U38" s="1507">
        <f t="shared" si="13"/>
        <v>100</v>
      </c>
      <c r="V38" s="1506" t="s">
        <v>11</v>
      </c>
      <c r="W38" s="1507">
        <f t="shared" si="14"/>
        <v>100</v>
      </c>
      <c r="X38" s="1500"/>
      <c r="Y38" s="400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08"/>
      <c r="Q39" s="1505" t="str">
        <f t="shared" si="11"/>
        <v>市政基础设施</v>
      </c>
      <c r="R39" s="1506" t="s">
        <v>11</v>
      </c>
      <c r="S39" s="1507">
        <f t="shared" si="12"/>
        <v>100</v>
      </c>
      <c r="T39" s="1506" t="s">
        <v>11</v>
      </c>
      <c r="U39" s="1507">
        <f t="shared" si="13"/>
        <v>100</v>
      </c>
      <c r="V39" s="1506" t="s">
        <v>11</v>
      </c>
      <c r="W39" s="1507">
        <f t="shared" si="14"/>
        <v>100</v>
      </c>
      <c r="X39" s="1500"/>
      <c r="Y39" s="400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08"/>
      <c r="Q40" s="1505" t="str">
        <f t="shared" si="11"/>
        <v>房型</v>
      </c>
      <c r="R40" s="1506" t="s">
        <v>11</v>
      </c>
      <c r="S40" s="1507">
        <f t="shared" si="12"/>
        <v>100</v>
      </c>
      <c r="T40" s="1506" t="s">
        <v>11</v>
      </c>
      <c r="U40" s="1507">
        <f t="shared" si="13"/>
        <v>100</v>
      </c>
      <c r="V40" s="1506" t="s">
        <v>11</v>
      </c>
      <c r="W40" s="1507">
        <f t="shared" si="14"/>
        <v>100</v>
      </c>
      <c r="X40" s="1500"/>
      <c r="Y40" s="400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08"/>
      <c r="Q41" s="1534" t="str">
        <f t="shared" si="11"/>
        <v>单套/主力户型建筑面积</v>
      </c>
      <c r="R41" s="1510" t="s">
        <v>11</v>
      </c>
      <c r="S41" s="1511">
        <f t="shared" si="12"/>
        <v>100</v>
      </c>
      <c r="T41" s="1510" t="s">
        <v>11</v>
      </c>
      <c r="U41" s="1511">
        <f t="shared" si="13"/>
        <v>100</v>
      </c>
      <c r="V41" s="1510" t="s">
        <v>11</v>
      </c>
      <c r="W41" s="1511">
        <f t="shared" si="14"/>
        <v>100</v>
      </c>
      <c r="X41" s="1512"/>
      <c r="Y41" s="400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08"/>
      <c r="Q42" s="1505" t="str">
        <f t="shared" si="11"/>
        <v>内部装修</v>
      </c>
      <c r="R42" s="1506" t="s">
        <v>11</v>
      </c>
      <c r="S42" s="1507">
        <f t="shared" si="12"/>
        <v>100</v>
      </c>
      <c r="T42" s="1506" t="s">
        <v>11</v>
      </c>
      <c r="U42" s="1507">
        <f t="shared" si="13"/>
        <v>100</v>
      </c>
      <c r="V42" s="1506" t="s">
        <v>11</v>
      </c>
      <c r="W42" s="1507">
        <f t="shared" si="14"/>
        <v>100</v>
      </c>
      <c r="X42" s="1500"/>
      <c r="Y42" s="4008"/>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08"/>
      <c r="Q43" s="1505" t="str">
        <f t="shared" si="11"/>
        <v>内部装修维护情况</v>
      </c>
      <c r="R43" s="1506" t="s">
        <v>11</v>
      </c>
      <c r="S43" s="1507">
        <f t="shared" si="12"/>
        <v>100</v>
      </c>
      <c r="T43" s="1506" t="s">
        <v>11</v>
      </c>
      <c r="U43" s="1507">
        <f t="shared" si="13"/>
        <v>100</v>
      </c>
      <c r="V43" s="1506" t="s">
        <v>11</v>
      </c>
      <c r="W43" s="1507">
        <f t="shared" si="14"/>
        <v>100</v>
      </c>
      <c r="X43" s="1500"/>
      <c r="Y43" s="400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08"/>
      <c r="Q44" s="1132">
        <f t="shared" si="11"/>
        <v>111</v>
      </c>
      <c r="R44" s="1501" t="s">
        <v>11</v>
      </c>
      <c r="S44" s="1502">
        <f t="shared" si="12"/>
        <v>100</v>
      </c>
      <c r="T44" s="1501" t="s">
        <v>11</v>
      </c>
      <c r="U44" s="1502">
        <f t="shared" si="13"/>
        <v>100</v>
      </c>
      <c r="V44" s="1501" t="s">
        <v>11</v>
      </c>
      <c r="W44" s="1502">
        <f t="shared" si="14"/>
        <v>100</v>
      </c>
      <c r="X44" s="1503"/>
      <c r="Y44" s="400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08"/>
      <c r="Q45" s="1505">
        <f t="shared" si="11"/>
        <v>111</v>
      </c>
      <c r="R45" s="1506" t="s">
        <v>11</v>
      </c>
      <c r="S45" s="1507">
        <f t="shared" si="12"/>
        <v>100</v>
      </c>
      <c r="T45" s="1506" t="s">
        <v>11</v>
      </c>
      <c r="U45" s="1507">
        <f t="shared" si="13"/>
        <v>100</v>
      </c>
      <c r="V45" s="1506" t="s">
        <v>11</v>
      </c>
      <c r="W45" s="1507">
        <f t="shared" si="14"/>
        <v>100</v>
      </c>
      <c r="X45" s="1500"/>
      <c r="Y45" s="400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088"/>
      <c r="Q46" s="1505">
        <f t="shared" si="11"/>
        <v>111</v>
      </c>
      <c r="R46" s="1506" t="s">
        <v>10</v>
      </c>
      <c r="S46" s="1507">
        <f t="shared" si="12"/>
        <v>100</v>
      </c>
      <c r="T46" s="1506" t="s">
        <v>10</v>
      </c>
      <c r="U46" s="1507">
        <f t="shared" si="13"/>
        <v>100</v>
      </c>
      <c r="V46" s="1506" t="s">
        <v>10</v>
      </c>
      <c r="W46" s="1507">
        <f t="shared" si="14"/>
        <v>100</v>
      </c>
      <c r="X46" s="1500"/>
      <c r="Y46" s="4088"/>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971" t="str">
        <f>A47</f>
        <v>成交单价（元/平方米）</v>
      </c>
      <c r="Q47" s="3971"/>
      <c r="R47" s="4087">
        <f>E47</f>
        <v>0</v>
      </c>
      <c r="S47" s="4087"/>
      <c r="T47" s="4087">
        <f>G47</f>
        <v>0</v>
      </c>
      <c r="U47" s="4087"/>
      <c r="V47" s="4087">
        <f>I47</f>
        <v>0</v>
      </c>
      <c r="W47" s="4087"/>
      <c r="X47" s="1495"/>
      <c r="Y47" s="1514"/>
      <c r="Z47" s="1495"/>
      <c r="AA47" s="1495"/>
      <c r="AB47" s="1495"/>
      <c r="AC47" s="1495"/>
    </row>
    <row r="48" spans="1:29" ht="15.75" thickBot="1">
      <c r="A48" s="607" t="s">
        <v>2738</v>
      </c>
      <c r="B48" s="875"/>
      <c r="C48" s="2474" t="e">
        <f>R49</f>
        <v>#DIV/0!</v>
      </c>
      <c r="D48" s="3003" t="s">
        <v>2963</v>
      </c>
      <c r="E48" s="2475" t="e">
        <f>R48</f>
        <v>#DIV/0!</v>
      </c>
      <c r="F48" s="3004"/>
      <c r="G48" s="2474" t="e">
        <f>T48</f>
        <v>#DIV/0!</v>
      </c>
      <c r="H48" s="3004"/>
      <c r="I48" s="2475" t="e">
        <f>V48</f>
        <v>#DIV/0!</v>
      </c>
      <c r="J48" s="3004"/>
      <c r="K48" s="3012">
        <f>F48+H48+J48</f>
        <v>0</v>
      </c>
      <c r="L48" s="2024"/>
      <c r="M48" s="2025"/>
      <c r="N48" s="2025"/>
      <c r="O48" s="2025"/>
      <c r="P48" s="3971" t="str">
        <f>A48</f>
        <v>比较价格（元/平方米）</v>
      </c>
      <c r="Q48" s="3971"/>
      <c r="R48" s="4087" t="e">
        <f>IF(F1="售价",ROUND(PRODUCT(R47,AA7:AA46),0),ROUND(PRODUCT(R47,AA7:AA46),1))</f>
        <v>#DIV/0!</v>
      </c>
      <c r="S48" s="4087"/>
      <c r="T48" s="4087" t="e">
        <f>IF(F1="售价",ROUND(PRODUCT(T47,AB7:AB46),0),ROUND(PRODUCT(T47,AB7:AB46),1))</f>
        <v>#DIV/0!</v>
      </c>
      <c r="U48" s="4087"/>
      <c r="V48" s="4087" t="e">
        <f>IF(F1="售价",ROUND(PRODUCT(V47,AC7:AC46),0),ROUND(PRODUCT(V47,AC7:AC46),1))</f>
        <v>#DIV/0!</v>
      </c>
      <c r="W48" s="4087"/>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968" t="str">
        <f>A49</f>
        <v>估价对象XX用房的比较价格（楼面单价，元/平方米）</v>
      </c>
      <c r="Q49" s="3969"/>
      <c r="R49" s="4086" t="e">
        <f>IF(F1="售价",ROUND(IF(D48="简单平均",AVERAGE(R48:V48),R48*F48+T48*H48+V48*J48),0),ROUND(IF(D48="简单平均",AVERAGE(R48:V48),R48*F48+T48*H48+V48*J48),1))</f>
        <v>#DIV/0!</v>
      </c>
      <c r="S49" s="4086"/>
      <c r="T49" s="4086"/>
      <c r="U49" s="4086"/>
      <c r="V49" s="4086"/>
      <c r="W49" s="4086"/>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10"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429476</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11831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150141</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10009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972011</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26777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363000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972011</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19440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16456</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16456</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50915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295639</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295639</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57067</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57067</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429476</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11831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8"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382433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10535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133696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8913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864715</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23821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363000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864715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17294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16301</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16301</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45295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287718</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287718</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45224</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45224</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382433</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10535</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57209.51平方米。根据《建设工程规划许可证》[]、《出让合同》[]，估价对象规划建筑面积为726000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8.12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420"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749</v>
      </c>
      <c r="C1" s="3392" t="s">
        <v>3177</v>
      </c>
      <c r="D1" s="3393" t="s">
        <v>3028</v>
      </c>
      <c r="E1" s="3394"/>
      <c r="F1" s="3395" t="s">
        <v>3230</v>
      </c>
      <c r="G1" s="3396" t="s">
        <v>3178</v>
      </c>
      <c r="H1" s="3394"/>
      <c r="I1" s="3394"/>
      <c r="J1" s="3394"/>
      <c r="K1" s="3397"/>
      <c r="L1" s="3398"/>
      <c r="M1" s="3399"/>
      <c r="N1" s="3399"/>
      <c r="O1" s="3399"/>
      <c r="P1" s="3400"/>
      <c r="Q1" s="3400"/>
      <c r="R1" s="3400"/>
      <c r="S1" s="3400"/>
      <c r="T1" s="3400"/>
      <c r="U1" s="3400"/>
      <c r="V1" s="3400"/>
      <c r="W1" s="3400"/>
      <c r="X1" s="3400"/>
      <c r="Y1" s="3400"/>
      <c r="Z1" s="3400"/>
      <c r="AA1" s="3400"/>
      <c r="AB1" s="3400"/>
      <c r="AC1" s="3401"/>
    </row>
    <row r="2" spans="1:29" s="3402" customFormat="1" ht="28.5" customHeight="1">
      <c r="A2" s="3403" t="s">
        <v>3179</v>
      </c>
      <c r="B2" s="3404">
        <f>ROUND(B3*D3/10000,0)</f>
        <v>1195323</v>
      </c>
      <c r="C2" s="3405"/>
      <c r="D2" s="3405"/>
      <c r="E2" s="3401"/>
      <c r="F2" s="3406"/>
      <c r="G2" s="3407"/>
      <c r="H2" s="3407"/>
      <c r="I2" s="3407"/>
      <c r="J2" s="3407"/>
      <c r="K2" s="3407"/>
      <c r="L2" s="3408"/>
      <c r="M2" s="3400"/>
      <c r="N2" s="3400"/>
      <c r="O2" s="3400"/>
      <c r="P2" s="3400"/>
      <c r="Q2" s="3400"/>
      <c r="R2" s="3400"/>
      <c r="S2" s="3400"/>
      <c r="T2" s="3400"/>
      <c r="U2" s="3400"/>
      <c r="V2" s="3400"/>
      <c r="W2" s="3400"/>
      <c r="X2" s="3400"/>
      <c r="Y2" s="3400"/>
      <c r="Z2" s="3400"/>
      <c r="AA2" s="3400"/>
      <c r="AB2" s="3400"/>
      <c r="AC2" s="3401"/>
    </row>
    <row r="3" spans="1:29" s="3402" customFormat="1" ht="28.5" customHeight="1" thickBot="1">
      <c r="A3" s="3409" t="s">
        <v>3180</v>
      </c>
      <c r="B3" s="3410">
        <f>C49</f>
        <v>32929</v>
      </c>
      <c r="C3" s="3411" t="s">
        <v>3181</v>
      </c>
      <c r="D3" s="3412">
        <f>SUMIF('数据-汇总表'!$C19:$C33,D1,'数据-汇总表'!$E19:$E33)</f>
        <v>363000</v>
      </c>
      <c r="E3" s="3401"/>
      <c r="F3" s="3406"/>
      <c r="G3" s="3407"/>
      <c r="H3" s="3407"/>
      <c r="I3" s="3407"/>
      <c r="J3" s="3407"/>
      <c r="K3" s="3413"/>
      <c r="L3" s="3408"/>
      <c r="M3" s="3400"/>
      <c r="N3" s="3400"/>
      <c r="O3" s="3400"/>
      <c r="P3" s="3400"/>
      <c r="Q3" s="3400"/>
      <c r="R3" s="3400"/>
      <c r="S3" s="3400"/>
      <c r="T3" s="3400"/>
      <c r="U3" s="3400"/>
      <c r="V3" s="3400"/>
      <c r="W3" s="3400"/>
      <c r="X3" s="3400"/>
      <c r="Y3" s="3400"/>
      <c r="Z3" s="3400"/>
      <c r="AA3" s="3400"/>
      <c r="AB3" s="3400"/>
      <c r="AC3" s="3401"/>
    </row>
    <row r="4" spans="1:29" ht="15">
      <c r="A4" s="3414" t="s">
        <v>513</v>
      </c>
      <c r="B4" s="3415"/>
      <c r="C4" s="4094" t="s">
        <v>514</v>
      </c>
      <c r="D4" s="4095"/>
      <c r="E4" s="4096" t="s">
        <v>515</v>
      </c>
      <c r="F4" s="4097"/>
      <c r="G4" s="4094" t="s">
        <v>516</v>
      </c>
      <c r="H4" s="4095"/>
      <c r="I4" s="4094" t="s">
        <v>517</v>
      </c>
      <c r="J4" s="4095"/>
      <c r="K4" s="3416" t="s">
        <v>518</v>
      </c>
      <c r="L4" s="3417"/>
      <c r="M4" s="3418"/>
      <c r="N4" s="3418"/>
      <c r="O4" s="3418"/>
      <c r="P4" s="4098" t="s">
        <v>519</v>
      </c>
      <c r="Q4" s="4099"/>
      <c r="R4" s="4104" t="s">
        <v>515</v>
      </c>
      <c r="S4" s="4105"/>
      <c r="T4" s="4104" t="s">
        <v>516</v>
      </c>
      <c r="U4" s="4105"/>
      <c r="V4" s="4118" t="s">
        <v>517</v>
      </c>
      <c r="W4" s="4118"/>
      <c r="X4" s="3419"/>
      <c r="Y4" s="4104" t="s">
        <v>519</v>
      </c>
      <c r="Z4" s="4105"/>
      <c r="AA4" s="4091" t="s">
        <v>515</v>
      </c>
      <c r="AB4" s="4118" t="s">
        <v>516</v>
      </c>
      <c r="AC4" s="4091" t="s">
        <v>517</v>
      </c>
    </row>
    <row r="5" spans="1:29" ht="15">
      <c r="A5" s="3421"/>
      <c r="B5" s="3422"/>
      <c r="C5" s="4108" t="s">
        <v>2892</v>
      </c>
      <c r="D5" s="4109"/>
      <c r="E5" s="4110" t="str">
        <f>商业案例截图及地图!$A$2</f>
        <v>通瑞新天地</v>
      </c>
      <c r="F5" s="4111"/>
      <c r="G5" s="4108" t="str">
        <f>商业案例截图及地图!$A$37</f>
        <v>潞河名苑</v>
      </c>
      <c r="H5" s="4109"/>
      <c r="I5" s="4108" t="str">
        <f>商业案例截图及地图!$A$73</f>
        <v>珠江东都国际</v>
      </c>
      <c r="J5" s="4109"/>
      <c r="K5" s="3416"/>
      <c r="L5" s="3417"/>
      <c r="M5" s="3418"/>
      <c r="N5" s="3418"/>
      <c r="O5" s="3418"/>
      <c r="P5" s="4100"/>
      <c r="Q5" s="4101"/>
      <c r="R5" s="4106"/>
      <c r="S5" s="4107"/>
      <c r="T5" s="4106"/>
      <c r="U5" s="4107"/>
      <c r="V5" s="4118"/>
      <c r="W5" s="4118"/>
      <c r="X5" s="3419"/>
      <c r="Y5" s="4106"/>
      <c r="Z5" s="4107"/>
      <c r="AA5" s="4092"/>
      <c r="AB5" s="4118"/>
      <c r="AC5" s="4092"/>
    </row>
    <row r="6" spans="1:29" ht="15.75" thickBot="1">
      <c r="A6" s="3423"/>
      <c r="B6" s="3424"/>
      <c r="C6" s="4112" t="s">
        <v>2896</v>
      </c>
      <c r="D6" s="4113"/>
      <c r="E6" s="4114" t="s">
        <v>2896</v>
      </c>
      <c r="F6" s="4115"/>
      <c r="G6" s="4112" t="s">
        <v>2896</v>
      </c>
      <c r="H6" s="4113"/>
      <c r="I6" s="4112" t="s">
        <v>2896</v>
      </c>
      <c r="J6" s="4113"/>
      <c r="K6" s="3416" t="s">
        <v>520</v>
      </c>
      <c r="L6" s="3417"/>
      <c r="M6" s="3418"/>
      <c r="N6" s="3418"/>
      <c r="O6" s="3418"/>
      <c r="P6" s="4102"/>
      <c r="Q6" s="4103"/>
      <c r="R6" s="4106"/>
      <c r="S6" s="4107"/>
      <c r="T6" s="4116"/>
      <c r="U6" s="4117"/>
      <c r="V6" s="4118"/>
      <c r="W6" s="4118"/>
      <c r="X6" s="3419"/>
      <c r="Y6" s="4116"/>
      <c r="Z6" s="4117"/>
      <c r="AA6" s="4093"/>
      <c r="AB6" s="4118"/>
      <c r="AC6" s="4093"/>
    </row>
    <row r="7" spans="1:29" s="3438" customFormat="1" ht="15.75" thickBot="1">
      <c r="A7" s="3425"/>
      <c r="B7" s="3426" t="s">
        <v>521</v>
      </c>
      <c r="C7" s="3427">
        <f>'[3]数据-取费表'!B2</f>
        <v>44498</v>
      </c>
      <c r="D7" s="3428">
        <v>100</v>
      </c>
      <c r="E7" s="3429">
        <v>44440</v>
      </c>
      <c r="F7" s="3430">
        <f>SUMIF(58:58,YEAR(E7)&amp;"-"&amp;MONTH(E7),59:59)</f>
        <v>100</v>
      </c>
      <c r="G7" s="3429">
        <v>44440</v>
      </c>
      <c r="H7" s="3428">
        <f>SUMIF(58:58,YEAR(G7)&amp;"-"&amp;MONTH(G7),59:59)</f>
        <v>100</v>
      </c>
      <c r="I7" s="3429">
        <v>44440</v>
      </c>
      <c r="J7" s="3428">
        <f>SUMIF(58:58,YEAR(I7)&amp;"-"&amp;MONTH(I7),59:59)</f>
        <v>100</v>
      </c>
      <c r="K7" s="3431"/>
      <c r="L7" s="3432"/>
      <c r="M7" s="3433"/>
      <c r="N7" s="3433"/>
      <c r="O7" s="3433"/>
      <c r="P7" s="4119" t="s">
        <v>522</v>
      </c>
      <c r="Q7" s="4120"/>
      <c r="R7" s="3434" t="s">
        <v>8</v>
      </c>
      <c r="S7" s="3435">
        <f t="shared" ref="S7:S15" si="0">F7</f>
        <v>100</v>
      </c>
      <c r="T7" s="3434" t="s">
        <v>8</v>
      </c>
      <c r="U7" s="3435">
        <f t="shared" ref="U7:U15" si="1">H7</f>
        <v>100</v>
      </c>
      <c r="V7" s="3434" t="s">
        <v>8</v>
      </c>
      <c r="W7" s="3435">
        <f t="shared" ref="W7:W15" si="2">J7</f>
        <v>100</v>
      </c>
      <c r="X7" s="3436"/>
      <c r="Y7" s="4119" t="s">
        <v>522</v>
      </c>
      <c r="Z7" s="4121"/>
      <c r="AA7" s="3437">
        <f>D7/F7</f>
        <v>1</v>
      </c>
      <c r="AB7" s="3437">
        <f>D7/H7</f>
        <v>1</v>
      </c>
      <c r="AC7" s="3437">
        <f>D7/J7</f>
        <v>1</v>
      </c>
    </row>
    <row r="8" spans="1:29" s="3438" customFormat="1" ht="15.75" thickBot="1">
      <c r="A8" s="3439"/>
      <c r="B8" s="3440" t="s">
        <v>523</v>
      </c>
      <c r="C8" s="3441" t="s">
        <v>3182</v>
      </c>
      <c r="D8" s="3428">
        <v>100</v>
      </c>
      <c r="E8" s="3441" t="s">
        <v>3071</v>
      </c>
      <c r="F8" s="3430">
        <f>SUMIF(61:61,E8,62:62)-SUMIF(61:61,C8,62:62)+100</f>
        <v>100</v>
      </c>
      <c r="G8" s="3441" t="s">
        <v>3071</v>
      </c>
      <c r="H8" s="3428">
        <f>SUMIF(61:61,G8,62:62)-SUMIF(61:61,C8,62:62)+100</f>
        <v>100</v>
      </c>
      <c r="I8" s="3441" t="s">
        <v>3071</v>
      </c>
      <c r="J8" s="3428">
        <f>SUMIF(61:61,I8,62:62)-SUMIF(61:61,C8,62:62)+100</f>
        <v>100</v>
      </c>
      <c r="K8" s="3431"/>
      <c r="L8" s="3432"/>
      <c r="M8" s="3433"/>
      <c r="N8" s="3433"/>
      <c r="O8" s="3433"/>
      <c r="P8" s="4119" t="s">
        <v>525</v>
      </c>
      <c r="Q8" s="4121"/>
      <c r="R8" s="3434" t="s">
        <v>8</v>
      </c>
      <c r="S8" s="3435">
        <f t="shared" si="0"/>
        <v>100</v>
      </c>
      <c r="T8" s="3434" t="s">
        <v>8</v>
      </c>
      <c r="U8" s="3435">
        <f t="shared" si="1"/>
        <v>100</v>
      </c>
      <c r="V8" s="3434" t="s">
        <v>8</v>
      </c>
      <c r="W8" s="3435">
        <f t="shared" si="2"/>
        <v>100</v>
      </c>
      <c r="X8" s="3436"/>
      <c r="Y8" s="4119" t="s">
        <v>525</v>
      </c>
      <c r="Z8" s="4121"/>
      <c r="AA8" s="3437">
        <f t="shared" ref="AA8:AA46" si="3">D8/F8</f>
        <v>1</v>
      </c>
      <c r="AB8" s="3437">
        <f t="shared" ref="AB8:AB46" si="4">D8/H8</f>
        <v>1</v>
      </c>
      <c r="AC8" s="3437">
        <f t="shared" ref="AC8:AC46" si="5">D8/J8</f>
        <v>1</v>
      </c>
    </row>
    <row r="9" spans="1:29" s="3438" customFormat="1" ht="15">
      <c r="A9" s="3442"/>
      <c r="B9" s="3443" t="s">
        <v>2734</v>
      </c>
      <c r="C9" s="3444"/>
      <c r="D9" s="3445">
        <v>100</v>
      </c>
      <c r="E9" s="3446"/>
      <c r="F9" s="3445">
        <f>SUMIF(63:63,E9,64:64)-SUMIF(63:63,C9,64:64)+100</f>
        <v>100</v>
      </c>
      <c r="G9" s="3447"/>
      <c r="H9" s="3445">
        <f>SUMIF(63:63,G9,64:64)-SUMIF(63:63,C9,64:64)+100</f>
        <v>100</v>
      </c>
      <c r="I9" s="3447"/>
      <c r="J9" s="3445">
        <f>SUMIF(63:63,I9,64:64)-SUMIF(63:63,C9,64:64)+100</f>
        <v>100</v>
      </c>
      <c r="K9" s="3431"/>
      <c r="L9" s="3432"/>
      <c r="M9" s="3433"/>
      <c r="N9" s="3433"/>
      <c r="O9" s="3448"/>
      <c r="P9" s="4122" t="s">
        <v>527</v>
      </c>
      <c r="Q9" s="3449" t="str">
        <f t="shared" ref="Q9:Q15" si="6">B9</f>
        <v>用途</v>
      </c>
      <c r="R9" s="3434" t="s">
        <v>8</v>
      </c>
      <c r="S9" s="3435">
        <f t="shared" si="0"/>
        <v>100</v>
      </c>
      <c r="T9" s="3434" t="s">
        <v>8</v>
      </c>
      <c r="U9" s="3435">
        <f t="shared" si="1"/>
        <v>100</v>
      </c>
      <c r="V9" s="3434" t="s">
        <v>8</v>
      </c>
      <c r="W9" s="3435">
        <f t="shared" si="2"/>
        <v>100</v>
      </c>
      <c r="X9" s="3436"/>
      <c r="Y9" s="4123" t="s">
        <v>528</v>
      </c>
      <c r="Z9" s="3437" t="str">
        <f t="shared" ref="Z9:Z15" si="7">Q9</f>
        <v>用途</v>
      </c>
      <c r="AA9" s="3437">
        <f t="shared" si="3"/>
        <v>1</v>
      </c>
      <c r="AB9" s="3437">
        <f t="shared" si="4"/>
        <v>1</v>
      </c>
      <c r="AC9" s="3437">
        <f t="shared" si="5"/>
        <v>1</v>
      </c>
    </row>
    <row r="10" spans="1:29" s="3458" customFormat="1" ht="27">
      <c r="A10" s="3450"/>
      <c r="B10" s="3440" t="s">
        <v>2735</v>
      </c>
      <c r="C10" s="3451" t="s">
        <v>3129</v>
      </c>
      <c r="D10" s="3452">
        <v>100</v>
      </c>
      <c r="E10" s="3451" t="s">
        <v>3130</v>
      </c>
      <c r="F10" s="3452">
        <f>SUMIF(65:65,E10,66:66)-SUMIF(65:65,C10,66:66)+100</f>
        <v>98</v>
      </c>
      <c r="G10" s="3453" t="s">
        <v>3130</v>
      </c>
      <c r="H10" s="3452">
        <f>SUMIF(65:65,G10,66:66)-SUMIF(65:65,C10,66:66)+100</f>
        <v>98</v>
      </c>
      <c r="I10" s="3451" t="s">
        <v>3130</v>
      </c>
      <c r="J10" s="3452">
        <f>SUMIF(65:65,I10,66:66)-SUMIF(65:65,C10,66:66)+100</f>
        <v>98</v>
      </c>
      <c r="K10" s="3454">
        <v>2</v>
      </c>
      <c r="L10" s="3455"/>
      <c r="M10" s="3456"/>
      <c r="N10" s="3456"/>
      <c r="O10" s="3457"/>
      <c r="P10" s="4122"/>
      <c r="Q10" s="3449" t="str">
        <f t="shared" si="6"/>
        <v>土地使用年限（年）</v>
      </c>
      <c r="R10" s="3434" t="s">
        <v>8</v>
      </c>
      <c r="S10" s="3435">
        <f t="shared" si="0"/>
        <v>98</v>
      </c>
      <c r="T10" s="3434" t="s">
        <v>8</v>
      </c>
      <c r="U10" s="3435">
        <f t="shared" si="1"/>
        <v>98</v>
      </c>
      <c r="V10" s="3434" t="s">
        <v>8</v>
      </c>
      <c r="W10" s="3435">
        <f t="shared" si="2"/>
        <v>98</v>
      </c>
      <c r="X10" s="3436"/>
      <c r="Y10" s="4123"/>
      <c r="Z10" s="3437" t="str">
        <f t="shared" si="7"/>
        <v>土地使用年限（年）</v>
      </c>
      <c r="AA10" s="3437">
        <f t="shared" si="3"/>
        <v>1.0204081632653061</v>
      </c>
      <c r="AB10" s="3437">
        <f t="shared" si="4"/>
        <v>1.0204081632653061</v>
      </c>
      <c r="AC10" s="3437">
        <f t="shared" si="5"/>
        <v>1.0204081632653061</v>
      </c>
    </row>
    <row r="11" spans="1:29" ht="15">
      <c r="A11" s="3459"/>
      <c r="B11" s="3440" t="s">
        <v>2736</v>
      </c>
      <c r="C11" s="3460">
        <f>'数据-汇总表'!I7</f>
        <v>6.35</v>
      </c>
      <c r="D11" s="3452">
        <v>100</v>
      </c>
      <c r="E11" s="3460">
        <v>1.8</v>
      </c>
      <c r="F11" s="3452">
        <f>LOOKUP(E11,68:68,69:69)-LOOKUP(C11,68:68,69:69)+100</f>
        <v>100</v>
      </c>
      <c r="G11" s="3461">
        <v>1.8</v>
      </c>
      <c r="H11" s="3452">
        <f>LOOKUP(G11,68:68,69:69)-LOOKUP(C11,68:68,69:69)+100</f>
        <v>100</v>
      </c>
      <c r="I11" s="3460">
        <v>1.8</v>
      </c>
      <c r="J11" s="3452">
        <f>LOOKUP(I11,68:68,69:69)-LOOKUP(C11,68:68,69:69)+100</f>
        <v>100</v>
      </c>
      <c r="K11" s="3454"/>
      <c r="L11" s="3462"/>
      <c r="M11" s="3418"/>
      <c r="N11" s="3418"/>
      <c r="O11" s="3463"/>
      <c r="P11" s="4122"/>
      <c r="Q11" s="3449" t="str">
        <f t="shared" si="6"/>
        <v>容积率</v>
      </c>
      <c r="R11" s="3434" t="s">
        <v>8</v>
      </c>
      <c r="S11" s="3435">
        <f t="shared" si="0"/>
        <v>100</v>
      </c>
      <c r="T11" s="3434" t="s">
        <v>8</v>
      </c>
      <c r="U11" s="3435">
        <f t="shared" si="1"/>
        <v>100</v>
      </c>
      <c r="V11" s="3434" t="s">
        <v>8</v>
      </c>
      <c r="W11" s="3435">
        <f t="shared" si="2"/>
        <v>100</v>
      </c>
      <c r="X11" s="3436"/>
      <c r="Y11" s="4123"/>
      <c r="Z11" s="3437" t="str">
        <f t="shared" si="7"/>
        <v>容积率</v>
      </c>
      <c r="AA11" s="3437">
        <f t="shared" si="3"/>
        <v>1</v>
      </c>
      <c r="AB11" s="3437">
        <f t="shared" si="4"/>
        <v>1</v>
      </c>
      <c r="AC11" s="3437">
        <f t="shared" si="5"/>
        <v>1</v>
      </c>
    </row>
    <row r="12" spans="1:29" s="3438" customFormat="1" ht="15">
      <c r="A12" s="3464"/>
      <c r="B12" s="3465">
        <v>111</v>
      </c>
      <c r="C12" s="3466"/>
      <c r="D12" s="3467">
        <v>100</v>
      </c>
      <c r="E12" s="3468"/>
      <c r="F12" s="3452">
        <f>SUMIF(70:70,E12,71:71)-SUMIF(70:70,C12,71:71)+100</f>
        <v>100</v>
      </c>
      <c r="G12" s="3469"/>
      <c r="H12" s="3452">
        <f>SUMIF(70:70,G12,71:71)-SUMIF(70:70,C12,71:71)+100</f>
        <v>100</v>
      </c>
      <c r="I12" s="3468"/>
      <c r="J12" s="3452">
        <f>SUMIF(70:70,I12,71:71)-SUMIF(70:70,C12,71:71)+100</f>
        <v>100</v>
      </c>
      <c r="K12" s="3470"/>
      <c r="L12" s="3432"/>
      <c r="M12" s="3433"/>
      <c r="N12" s="3433"/>
      <c r="O12" s="3448"/>
      <c r="P12" s="4122"/>
      <c r="Q12" s="3449">
        <f t="shared" si="6"/>
        <v>111</v>
      </c>
      <c r="R12" s="3434" t="s">
        <v>8</v>
      </c>
      <c r="S12" s="3435">
        <f t="shared" si="0"/>
        <v>100</v>
      </c>
      <c r="T12" s="3434" t="s">
        <v>8</v>
      </c>
      <c r="U12" s="3435">
        <f t="shared" si="1"/>
        <v>100</v>
      </c>
      <c r="V12" s="3434" t="s">
        <v>8</v>
      </c>
      <c r="W12" s="3435">
        <f t="shared" si="2"/>
        <v>100</v>
      </c>
      <c r="X12" s="3436"/>
      <c r="Y12" s="4123"/>
      <c r="Z12" s="3437">
        <f t="shared" si="7"/>
        <v>111</v>
      </c>
      <c r="AA12" s="3437">
        <f>D12/F12</f>
        <v>1</v>
      </c>
      <c r="AB12" s="3437">
        <f>D12/H12</f>
        <v>1</v>
      </c>
      <c r="AC12" s="3437">
        <f>D12/J12</f>
        <v>1</v>
      </c>
    </row>
    <row r="13" spans="1:29" ht="15">
      <c r="A13" s="3464"/>
      <c r="B13" s="3465">
        <v>111</v>
      </c>
      <c r="C13" s="3468"/>
      <c r="D13" s="3471">
        <v>100</v>
      </c>
      <c r="E13" s="3468"/>
      <c r="F13" s="3452">
        <f>SUMIF(72:72,E13,73:73)-SUMIF(72:72,C13,73:73)+100</f>
        <v>100</v>
      </c>
      <c r="G13" s="3469"/>
      <c r="H13" s="3471">
        <f>SUMIF(72:72,G13,73:73)-SUMIF(72:72,C13,73:73)+100</f>
        <v>100</v>
      </c>
      <c r="I13" s="3468"/>
      <c r="J13" s="3471">
        <f>SUMIF(72:72,I13,73:73)-SUMIF(72:72,C13,73:73)+100</f>
        <v>100</v>
      </c>
      <c r="K13" s="3470"/>
      <c r="L13" s="3472"/>
      <c r="M13" s="3418"/>
      <c r="N13" s="3418"/>
      <c r="O13" s="3463"/>
      <c r="P13" s="4122"/>
      <c r="Q13" s="3449">
        <f t="shared" si="6"/>
        <v>111</v>
      </c>
      <c r="R13" s="3434" t="s">
        <v>8</v>
      </c>
      <c r="S13" s="3435">
        <f t="shared" si="0"/>
        <v>100</v>
      </c>
      <c r="T13" s="3434" t="s">
        <v>8</v>
      </c>
      <c r="U13" s="3435">
        <f t="shared" si="1"/>
        <v>100</v>
      </c>
      <c r="V13" s="3434" t="s">
        <v>8</v>
      </c>
      <c r="W13" s="3435">
        <f t="shared" si="2"/>
        <v>100</v>
      </c>
      <c r="X13" s="3436"/>
      <c r="Y13" s="4123"/>
      <c r="Z13" s="3437">
        <f t="shared" si="7"/>
        <v>111</v>
      </c>
      <c r="AA13" s="3437">
        <f t="shared" si="3"/>
        <v>1</v>
      </c>
      <c r="AB13" s="3437">
        <f t="shared" si="4"/>
        <v>1</v>
      </c>
      <c r="AC13" s="3437">
        <f t="shared" si="5"/>
        <v>1</v>
      </c>
    </row>
    <row r="14" spans="1:29" ht="15.75" thickBot="1">
      <c r="A14" s="3473"/>
      <c r="B14" s="3474">
        <v>111</v>
      </c>
      <c r="C14" s="3475"/>
      <c r="D14" s="3476">
        <v>100</v>
      </c>
      <c r="E14" s="3475"/>
      <c r="F14" s="3476">
        <f>SUMIF(74:74,E14,75:75)-SUMIF(74:74,C14,75:75)+100</f>
        <v>100</v>
      </c>
      <c r="G14" s="3469"/>
      <c r="H14" s="3476">
        <f>SUMIF(74:74,G14,75:75)-SUMIF(74:74,C14,75:75)+100</f>
        <v>100</v>
      </c>
      <c r="I14" s="3468"/>
      <c r="J14" s="3476">
        <f>SUMIF(74:74,I14,75:75)-SUMIF(74:74,C14,75:75)+100</f>
        <v>100</v>
      </c>
      <c r="K14" s="3470"/>
      <c r="L14" s="3472"/>
      <c r="M14" s="3418"/>
      <c r="N14" s="3418"/>
      <c r="O14" s="3463"/>
      <c r="P14" s="4122"/>
      <c r="Q14" s="3449">
        <f t="shared" si="6"/>
        <v>111</v>
      </c>
      <c r="R14" s="3434" t="s">
        <v>8</v>
      </c>
      <c r="S14" s="3435">
        <f t="shared" si="0"/>
        <v>100</v>
      </c>
      <c r="T14" s="3434" t="s">
        <v>8</v>
      </c>
      <c r="U14" s="3435">
        <f t="shared" si="1"/>
        <v>100</v>
      </c>
      <c r="V14" s="3434" t="s">
        <v>8</v>
      </c>
      <c r="W14" s="3435">
        <f t="shared" si="2"/>
        <v>100</v>
      </c>
      <c r="X14" s="3436"/>
      <c r="Y14" s="4123"/>
      <c r="Z14" s="3437">
        <f t="shared" si="7"/>
        <v>111</v>
      </c>
      <c r="AA14" s="3437">
        <f t="shared" si="3"/>
        <v>1</v>
      </c>
      <c r="AB14" s="3437">
        <f t="shared" si="4"/>
        <v>1</v>
      </c>
      <c r="AC14" s="3437">
        <f t="shared" si="5"/>
        <v>1</v>
      </c>
    </row>
    <row r="15" spans="1:29" ht="57">
      <c r="A15" s="3477" t="s">
        <v>3183</v>
      </c>
      <c r="B15" s="3478" t="s">
        <v>576</v>
      </c>
      <c r="C15" s="3479" t="str">
        <f>[3]估价对象房地状况!C4</f>
        <v>估价对象位于XX商圈，周边商业氛围成熟，人流量大，商业繁华度好</v>
      </c>
      <c r="D15" s="3480">
        <v>100</v>
      </c>
      <c r="E15" s="3481"/>
      <c r="F15" s="3482">
        <f>SUMIF(76:76,E16,77:77)-SUMIF(76:76,C16,77:77)+100</f>
        <v>97</v>
      </c>
      <c r="G15" s="3483"/>
      <c r="H15" s="3480">
        <f>SUMIF(76:76,G16,77:77)-SUMIF(76:76,C16,77:77)+100</f>
        <v>97</v>
      </c>
      <c r="I15" s="3481"/>
      <c r="J15" s="3480">
        <f>SUMIF(76:76,I16,77:77)-SUMIF(76:76,C16,77:77)+100</f>
        <v>97</v>
      </c>
      <c r="K15" s="3484">
        <v>3</v>
      </c>
      <c r="L15" s="3472"/>
      <c r="M15" s="3418"/>
      <c r="N15" s="3418"/>
      <c r="O15" s="3463"/>
      <c r="P15" s="4124" t="s">
        <v>532</v>
      </c>
      <c r="Q15" s="3485" t="str">
        <f t="shared" si="6"/>
        <v>商业繁华度</v>
      </c>
      <c r="R15" s="3486" t="s">
        <v>8</v>
      </c>
      <c r="S15" s="3487">
        <f t="shared" si="0"/>
        <v>97</v>
      </c>
      <c r="T15" s="3486" t="s">
        <v>8</v>
      </c>
      <c r="U15" s="3487">
        <f t="shared" si="1"/>
        <v>97</v>
      </c>
      <c r="V15" s="3486" t="s">
        <v>8</v>
      </c>
      <c r="W15" s="3487">
        <f t="shared" si="2"/>
        <v>97</v>
      </c>
      <c r="X15" s="3419"/>
      <c r="Y15" s="4124" t="s">
        <v>532</v>
      </c>
      <c r="Z15" s="3488" t="str">
        <f t="shared" si="7"/>
        <v>商业繁华度</v>
      </c>
      <c r="AA15" s="3488">
        <f t="shared" si="3"/>
        <v>1.0309278350515463</v>
      </c>
      <c r="AB15" s="3488">
        <f t="shared" si="4"/>
        <v>1.0309278350515463</v>
      </c>
      <c r="AC15" s="3488">
        <f t="shared" si="5"/>
        <v>1.0309278350515463</v>
      </c>
    </row>
    <row r="16" spans="1:29" ht="15">
      <c r="A16" s="3489"/>
      <c r="B16" s="3490"/>
      <c r="C16" s="3491" t="s">
        <v>3076</v>
      </c>
      <c r="D16" s="3492"/>
      <c r="E16" s="3491" t="s">
        <v>3075</v>
      </c>
      <c r="F16" s="3493"/>
      <c r="G16" s="3491" t="s">
        <v>3075</v>
      </c>
      <c r="H16" s="3494"/>
      <c r="I16" s="3491" t="s">
        <v>3075</v>
      </c>
      <c r="J16" s="3492"/>
      <c r="K16" s="3495"/>
      <c r="L16" s="3472"/>
      <c r="M16" s="3418"/>
      <c r="N16" s="3418"/>
      <c r="O16" s="3463"/>
      <c r="P16" s="4125"/>
      <c r="Q16" s="3485"/>
      <c r="R16" s="3486"/>
      <c r="S16" s="3487"/>
      <c r="T16" s="3486"/>
      <c r="U16" s="3487"/>
      <c r="V16" s="3486"/>
      <c r="W16" s="3487"/>
      <c r="X16" s="3419"/>
      <c r="Y16" s="4125"/>
      <c r="Z16" s="3488"/>
      <c r="AA16" s="3488">
        <v>1</v>
      </c>
      <c r="AB16" s="3488">
        <v>1</v>
      </c>
      <c r="AC16" s="3488">
        <v>1</v>
      </c>
    </row>
    <row r="17" spans="1:29" ht="71.25">
      <c r="A17" s="3489"/>
      <c r="B17" s="3496" t="s">
        <v>294</v>
      </c>
      <c r="C17" s="3497" t="str">
        <f>[3]估价对象房地状况!C6</f>
        <v>估价对象周边道路状况、公共交通通达情况、停车便捷程度，综合评价交通便捷度较好</v>
      </c>
      <c r="D17" s="3494">
        <v>100</v>
      </c>
      <c r="E17" s="3498"/>
      <c r="F17" s="3499">
        <f>SUMIF(78:78,E18,79:79)-SUMIF(78:78,C18,79:79)+100</f>
        <v>102</v>
      </c>
      <c r="G17" s="3500"/>
      <c r="H17" s="3501">
        <f>SUMIF(78:78,G18,79:79)-SUMIF(78:78,C18,79:79)+100</f>
        <v>102</v>
      </c>
      <c r="I17" s="3498"/>
      <c r="J17" s="3501">
        <f>SUMIF(78:78,I18,79:79)-SUMIF(78:78,C18,79:79)+100</f>
        <v>102</v>
      </c>
      <c r="K17" s="3484">
        <v>2</v>
      </c>
      <c r="L17" s="3472"/>
      <c r="M17" s="3418"/>
      <c r="N17" s="3418"/>
      <c r="O17" s="3463"/>
      <c r="P17" s="4125"/>
      <c r="Q17" s="3485" t="str">
        <f>B17</f>
        <v>交通便捷度</v>
      </c>
      <c r="R17" s="3486" t="s">
        <v>8</v>
      </c>
      <c r="S17" s="3487">
        <f>F17</f>
        <v>102</v>
      </c>
      <c r="T17" s="3486" t="s">
        <v>8</v>
      </c>
      <c r="U17" s="3487">
        <f>H17</f>
        <v>102</v>
      </c>
      <c r="V17" s="3486" t="s">
        <v>8</v>
      </c>
      <c r="W17" s="3487">
        <f>J17</f>
        <v>102</v>
      </c>
      <c r="X17" s="3419"/>
      <c r="Y17" s="4125"/>
      <c r="Z17" s="3488" t="str">
        <f>Q17</f>
        <v>交通便捷度</v>
      </c>
      <c r="AA17" s="3488">
        <f t="shared" si="3"/>
        <v>0.98039215686274506</v>
      </c>
      <c r="AB17" s="3488">
        <f t="shared" si="4"/>
        <v>0.98039215686274506</v>
      </c>
      <c r="AC17" s="3488">
        <f t="shared" si="5"/>
        <v>0.98039215686274506</v>
      </c>
    </row>
    <row r="18" spans="1:29" ht="15">
      <c r="A18" s="3489"/>
      <c r="B18" s="3502"/>
      <c r="C18" s="3503" t="s">
        <v>3075</v>
      </c>
      <c r="D18" s="3494"/>
      <c r="E18" s="3504" t="s">
        <v>3076</v>
      </c>
      <c r="F18" s="3499"/>
      <c r="G18" s="3505" t="s">
        <v>3076</v>
      </c>
      <c r="H18" s="3492"/>
      <c r="I18" s="3504" t="s">
        <v>3076</v>
      </c>
      <c r="J18" s="3492"/>
      <c r="K18" s="3495"/>
      <c r="L18" s="3472"/>
      <c r="M18" s="3418"/>
      <c r="N18" s="3418"/>
      <c r="O18" s="3463"/>
      <c r="P18" s="4125"/>
      <c r="Q18" s="3485"/>
      <c r="R18" s="3486"/>
      <c r="S18" s="3487"/>
      <c r="T18" s="3486"/>
      <c r="U18" s="3487"/>
      <c r="V18" s="3486"/>
      <c r="W18" s="3487"/>
      <c r="X18" s="3419"/>
      <c r="Y18" s="4125"/>
      <c r="Z18" s="3488"/>
      <c r="AA18" s="3488">
        <v>1</v>
      </c>
      <c r="AB18" s="3488">
        <v>1</v>
      </c>
      <c r="AC18" s="3488">
        <v>1</v>
      </c>
    </row>
    <row r="19" spans="1:29" ht="28.5">
      <c r="A19" s="3489"/>
      <c r="B19" s="3506" t="s">
        <v>2302</v>
      </c>
      <c r="C19" s="3497" t="str">
        <f>[3]估价对象房地状况!C7</f>
        <v>估价对象所在区域公共配套设施齐备情况</v>
      </c>
      <c r="D19" s="3501">
        <v>100</v>
      </c>
      <c r="E19" s="3507"/>
      <c r="F19" s="3508">
        <f>SUMIF(80:80,E20,81:81)-SUMIF(80:80,C20,81:81)+100</f>
        <v>100</v>
      </c>
      <c r="G19" s="3509"/>
      <c r="H19" s="3494">
        <f>SUMIF(80:80,G20,81:81)-SUMIF(80:80,C20,81:81)+100</f>
        <v>100</v>
      </c>
      <c r="I19" s="3507"/>
      <c r="J19" s="3494">
        <f>SUMIF(80:80,I20,81:81)-SUMIF(80:80,C20,81:81)+100</f>
        <v>100</v>
      </c>
      <c r="K19" s="3484">
        <v>2</v>
      </c>
      <c r="L19" s="3472"/>
      <c r="M19" s="3418"/>
      <c r="N19" s="3418"/>
      <c r="O19" s="3463"/>
      <c r="P19" s="4125"/>
      <c r="Q19" s="3485" t="str">
        <f>B19</f>
        <v>公共配套设施</v>
      </c>
      <c r="R19" s="3486" t="s">
        <v>8</v>
      </c>
      <c r="S19" s="3487">
        <f>F19</f>
        <v>100</v>
      </c>
      <c r="T19" s="3486" t="s">
        <v>8</v>
      </c>
      <c r="U19" s="3487">
        <f>H19</f>
        <v>100</v>
      </c>
      <c r="V19" s="3486" t="s">
        <v>8</v>
      </c>
      <c r="W19" s="3487">
        <f>J19</f>
        <v>100</v>
      </c>
      <c r="X19" s="3419"/>
      <c r="Y19" s="4125"/>
      <c r="Z19" s="3488" t="str">
        <f>Q19</f>
        <v>公共配套设施</v>
      </c>
      <c r="AA19" s="3488">
        <f t="shared" si="3"/>
        <v>1</v>
      </c>
      <c r="AB19" s="3488">
        <f t="shared" si="4"/>
        <v>1</v>
      </c>
      <c r="AC19" s="3488">
        <f t="shared" si="5"/>
        <v>1</v>
      </c>
    </row>
    <row r="20" spans="1:29" ht="15">
      <c r="A20" s="3489"/>
      <c r="B20" s="3502"/>
      <c r="C20" s="3491" t="s">
        <v>3076</v>
      </c>
      <c r="D20" s="3492"/>
      <c r="E20" s="3510" t="s">
        <v>3076</v>
      </c>
      <c r="F20" s="3493"/>
      <c r="G20" s="3511" t="s">
        <v>3076</v>
      </c>
      <c r="H20" s="3492"/>
      <c r="I20" s="3510" t="s">
        <v>3076</v>
      </c>
      <c r="J20" s="3492"/>
      <c r="K20" s="3495"/>
      <c r="L20" s="3472"/>
      <c r="M20" s="3418"/>
      <c r="N20" s="3418"/>
      <c r="O20" s="3463"/>
      <c r="P20" s="4125"/>
      <c r="Q20" s="3485"/>
      <c r="R20" s="3486"/>
      <c r="S20" s="3487"/>
      <c r="T20" s="3486"/>
      <c r="U20" s="3487"/>
      <c r="V20" s="3486"/>
      <c r="W20" s="3487"/>
      <c r="X20" s="3419"/>
      <c r="Y20" s="4125"/>
      <c r="Z20" s="3488"/>
      <c r="AA20" s="3488">
        <v>1</v>
      </c>
      <c r="AB20" s="3488">
        <v>1</v>
      </c>
      <c r="AC20" s="3488">
        <v>1</v>
      </c>
    </row>
    <row r="21" spans="1:29" ht="28.5">
      <c r="A21" s="3489"/>
      <c r="B21" s="3512" t="s">
        <v>3184</v>
      </c>
      <c r="C21" s="3497" t="str">
        <f>[3]估价对象房地状况!C8</f>
        <v>估价对象所在区域基础设施水平</v>
      </c>
      <c r="D21" s="3501">
        <v>100</v>
      </c>
      <c r="E21" s="3509"/>
      <c r="F21" s="3508">
        <f>SUMIF(82:82,E22,83:83)-SUMIF(82:82,C22,83:83)+100</f>
        <v>100</v>
      </c>
      <c r="G21" s="3509"/>
      <c r="H21" s="3501">
        <f>SUMIF(82:82,G22,83:83)-SUMIF(82:82,C22,83:83)+100</f>
        <v>100</v>
      </c>
      <c r="I21" s="3507"/>
      <c r="J21" s="3501">
        <f>SUMIF(82:82,I22,83:83)-SUMIF(82:82,C22,83:83)+100</f>
        <v>100</v>
      </c>
      <c r="K21" s="3484"/>
      <c r="L21" s="3472"/>
      <c r="M21" s="3418"/>
      <c r="N21" s="3418"/>
      <c r="O21" s="3463"/>
      <c r="P21" s="4125"/>
      <c r="Q21" s="3485" t="str">
        <f>B21</f>
        <v>基础设施水平</v>
      </c>
      <c r="R21" s="3486" t="s">
        <v>8</v>
      </c>
      <c r="S21" s="3487">
        <f>F21</f>
        <v>100</v>
      </c>
      <c r="T21" s="3486" t="s">
        <v>8</v>
      </c>
      <c r="U21" s="3487">
        <f>H21</f>
        <v>100</v>
      </c>
      <c r="V21" s="3486" t="s">
        <v>8</v>
      </c>
      <c r="W21" s="3487">
        <f>J21</f>
        <v>100</v>
      </c>
      <c r="X21" s="3419"/>
      <c r="Y21" s="4125"/>
      <c r="Z21" s="3488" t="str">
        <f>Q21</f>
        <v>基础设施水平</v>
      </c>
      <c r="AA21" s="3488">
        <f t="shared" ref="AA21" si="8">D21/F21</f>
        <v>1</v>
      </c>
      <c r="AB21" s="3488">
        <f t="shared" ref="AB21" si="9">D21/H21</f>
        <v>1</v>
      </c>
      <c r="AC21" s="3488">
        <f t="shared" ref="AC21" si="10">D21/J21</f>
        <v>1</v>
      </c>
    </row>
    <row r="22" spans="1:29" ht="15">
      <c r="A22" s="3489"/>
      <c r="B22" s="3513"/>
      <c r="C22" s="3503" t="s">
        <v>3083</v>
      </c>
      <c r="D22" s="3492"/>
      <c r="E22" s="3491" t="s">
        <v>3185</v>
      </c>
      <c r="F22" s="3493"/>
      <c r="G22" s="3491" t="s">
        <v>3185</v>
      </c>
      <c r="H22" s="3492"/>
      <c r="I22" s="3491" t="s">
        <v>3185</v>
      </c>
      <c r="J22" s="3492"/>
      <c r="K22" s="3514"/>
      <c r="L22" s="3472"/>
      <c r="M22" s="3418"/>
      <c r="N22" s="3418"/>
      <c r="O22" s="3463"/>
      <c r="P22" s="4125"/>
      <c r="Q22" s="3485"/>
      <c r="R22" s="3486"/>
      <c r="S22" s="3487"/>
      <c r="T22" s="3486"/>
      <c r="U22" s="3487"/>
      <c r="V22" s="3486"/>
      <c r="W22" s="3487"/>
      <c r="X22" s="3419"/>
      <c r="Y22" s="4125"/>
      <c r="Z22" s="3488"/>
      <c r="AA22" s="3488">
        <v>1</v>
      </c>
      <c r="AB22" s="3488">
        <v>1</v>
      </c>
      <c r="AC22" s="3488">
        <v>1</v>
      </c>
    </row>
    <row r="23" spans="1:29" ht="42.75">
      <c r="A23" s="3489"/>
      <c r="B23" s="3496" t="s">
        <v>295</v>
      </c>
      <c r="C23" s="3515" t="str">
        <f>[3]估价对象房地状况!C9</f>
        <v>区域自然环境：；人文环境；综合评价环境状况一般</v>
      </c>
      <c r="D23" s="3494">
        <v>100</v>
      </c>
      <c r="E23" s="3498"/>
      <c r="F23" s="3499">
        <f>SUMIF(84:84,E24,85:85)-SUMIF(84:84,C24,85:85)+100</f>
        <v>98</v>
      </c>
      <c r="G23" s="3500"/>
      <c r="H23" s="3494">
        <f>SUMIF(84:84,G24,85:85)-SUMIF(84:84,C24,85:85)+100</f>
        <v>98</v>
      </c>
      <c r="I23" s="3498"/>
      <c r="J23" s="3494">
        <f>SUMIF(84:84,I24,85:85)-SUMIF(84:84,C24,85:85)+100</f>
        <v>98</v>
      </c>
      <c r="K23" s="3484">
        <v>1</v>
      </c>
      <c r="L23" s="3472"/>
      <c r="M23" s="3418"/>
      <c r="N23" s="3418"/>
      <c r="O23" s="3463"/>
      <c r="P23" s="4125"/>
      <c r="Q23" s="3485" t="str">
        <f>B23</f>
        <v>自然及人文环境</v>
      </c>
      <c r="R23" s="3486" t="s">
        <v>8</v>
      </c>
      <c r="S23" s="3487">
        <f>F23</f>
        <v>98</v>
      </c>
      <c r="T23" s="3486" t="s">
        <v>8</v>
      </c>
      <c r="U23" s="3487">
        <f>H23</f>
        <v>98</v>
      </c>
      <c r="V23" s="3486" t="s">
        <v>8</v>
      </c>
      <c r="W23" s="3487">
        <f>J23</f>
        <v>98</v>
      </c>
      <c r="X23" s="3419"/>
      <c r="Y23" s="4125"/>
      <c r="Z23" s="3488" t="str">
        <f>Q23</f>
        <v>自然及人文环境</v>
      </c>
      <c r="AA23" s="3488">
        <f t="shared" si="3"/>
        <v>1.0204081632653061</v>
      </c>
      <c r="AB23" s="3488">
        <f t="shared" si="4"/>
        <v>1.0204081632653061</v>
      </c>
      <c r="AC23" s="3488">
        <f t="shared" si="5"/>
        <v>1.0204081632653061</v>
      </c>
    </row>
    <row r="24" spans="1:29" ht="15">
      <c r="A24" s="3489"/>
      <c r="B24" s="3502"/>
      <c r="C24" s="3491" t="s">
        <v>3082</v>
      </c>
      <c r="D24" s="3492"/>
      <c r="E24" s="3510" t="s">
        <v>3075</v>
      </c>
      <c r="F24" s="3493"/>
      <c r="G24" s="3511" t="s">
        <v>3075</v>
      </c>
      <c r="H24" s="3492"/>
      <c r="I24" s="3510" t="s">
        <v>3075</v>
      </c>
      <c r="J24" s="3492"/>
      <c r="K24" s="3495"/>
      <c r="L24" s="3472"/>
      <c r="M24" s="3418"/>
      <c r="N24" s="3418"/>
      <c r="O24" s="3463"/>
      <c r="P24" s="4125"/>
      <c r="Q24" s="3485"/>
      <c r="R24" s="3486"/>
      <c r="S24" s="3487"/>
      <c r="T24" s="3486"/>
      <c r="U24" s="3487"/>
      <c r="V24" s="3486"/>
      <c r="W24" s="3487"/>
      <c r="X24" s="3419"/>
      <c r="Y24" s="4125"/>
      <c r="Z24" s="3488"/>
      <c r="AA24" s="3488">
        <v>1</v>
      </c>
      <c r="AB24" s="3488">
        <v>1</v>
      </c>
      <c r="AC24" s="3488">
        <v>1</v>
      </c>
    </row>
    <row r="25" spans="1:29" ht="15">
      <c r="A25" s="3489"/>
      <c r="B25" s="3516" t="s">
        <v>763</v>
      </c>
      <c r="C25" s="3517" t="s">
        <v>3086</v>
      </c>
      <c r="D25" s="3471">
        <v>100</v>
      </c>
      <c r="E25" s="3517" t="s">
        <v>3086</v>
      </c>
      <c r="F25" s="3518">
        <f>SUMIF(86:86,E25,87:87)-SUMIF(86:86,C25,87:87)+100</f>
        <v>100</v>
      </c>
      <c r="G25" s="3517" t="s">
        <v>3086</v>
      </c>
      <c r="H25" s="3471">
        <f>SUMIF(86:86,G25,87:87)-SUMIF(86:86,C25,87:87)+100</f>
        <v>100</v>
      </c>
      <c r="I25" s="3517" t="s">
        <v>3088</v>
      </c>
      <c r="J25" s="3471">
        <f>SUMIF(86:86,I25,87:87)-SUMIF(86:86,C25,87:87)+100</f>
        <v>100</v>
      </c>
      <c r="K25" s="3454">
        <v>0</v>
      </c>
      <c r="L25" s="3472"/>
      <c r="M25" s="3418"/>
      <c r="N25" s="3418"/>
      <c r="O25" s="3463"/>
      <c r="P25" s="4125"/>
      <c r="Q25" s="3485" t="str">
        <f t="shared" ref="Q25:Q46" si="11">B25</f>
        <v>临街状况</v>
      </c>
      <c r="R25" s="3486" t="s">
        <v>8</v>
      </c>
      <c r="S25" s="3487">
        <f>F25</f>
        <v>100</v>
      </c>
      <c r="T25" s="3486" t="s">
        <v>8</v>
      </c>
      <c r="U25" s="3487">
        <f>H25</f>
        <v>100</v>
      </c>
      <c r="V25" s="3486" t="s">
        <v>8</v>
      </c>
      <c r="W25" s="3487">
        <f>J25</f>
        <v>100</v>
      </c>
      <c r="X25" s="3419"/>
      <c r="Y25" s="4125"/>
      <c r="Z25" s="3488" t="str">
        <f>Q25</f>
        <v>临街状况</v>
      </c>
      <c r="AA25" s="3488">
        <f t="shared" si="3"/>
        <v>1</v>
      </c>
      <c r="AB25" s="3488">
        <f t="shared" si="4"/>
        <v>1</v>
      </c>
      <c r="AC25" s="3488">
        <f t="shared" si="5"/>
        <v>1</v>
      </c>
    </row>
    <row r="26" spans="1:29" ht="15">
      <c r="A26" s="3489"/>
      <c r="B26" s="3519" t="s">
        <v>3186</v>
      </c>
      <c r="C26" s="3468"/>
      <c r="D26" s="3471">
        <v>100</v>
      </c>
      <c r="E26" s="3468"/>
      <c r="F26" s="3518">
        <f>SUMIF(88:88,E26,89:89)-SUMIF(88:88,C26,89:89)+100</f>
        <v>100</v>
      </c>
      <c r="G26" s="3468"/>
      <c r="H26" s="3471">
        <f>SUMIF(88:88,G26,89:89)-SUMIF(88:88,C26,89:89)+100</f>
        <v>100</v>
      </c>
      <c r="I26" s="3468"/>
      <c r="J26" s="3471">
        <f>SUMIF(88:88,I26,89:89)-SUMIF(88:88,C26,89:89)+100</f>
        <v>100</v>
      </c>
      <c r="K26" s="3470"/>
      <c r="L26" s="3472"/>
      <c r="M26" s="3418"/>
      <c r="N26" s="3418"/>
      <c r="O26" s="3463"/>
      <c r="P26" s="4125"/>
      <c r="Q26" s="3485" t="str">
        <f t="shared" si="11"/>
        <v>平面位置/可视性</v>
      </c>
      <c r="R26" s="3486" t="s">
        <v>8</v>
      </c>
      <c r="S26" s="3487">
        <f>F26</f>
        <v>100</v>
      </c>
      <c r="T26" s="3486" t="s">
        <v>8</v>
      </c>
      <c r="U26" s="3487">
        <f>H26</f>
        <v>100</v>
      </c>
      <c r="V26" s="3486" t="s">
        <v>8</v>
      </c>
      <c r="W26" s="3487">
        <f>J26</f>
        <v>100</v>
      </c>
      <c r="X26" s="3419"/>
      <c r="Y26" s="4125"/>
      <c r="Z26" s="3488" t="str">
        <f>Q26</f>
        <v>平面位置/可视性</v>
      </c>
      <c r="AA26" s="3488">
        <f t="shared" si="3"/>
        <v>1</v>
      </c>
      <c r="AB26" s="3488">
        <f t="shared" si="4"/>
        <v>1</v>
      </c>
      <c r="AC26" s="3488">
        <f t="shared" si="5"/>
        <v>1</v>
      </c>
    </row>
    <row r="27" spans="1:29" s="3438" customFormat="1" ht="15">
      <c r="A27" s="3520"/>
      <c r="B27" s="3496" t="s">
        <v>3187</v>
      </c>
      <c r="C27" s="3521" t="s">
        <v>3093</v>
      </c>
      <c r="D27" s="3522">
        <v>100</v>
      </c>
      <c r="E27" s="3521" t="s">
        <v>3075</v>
      </c>
      <c r="F27" s="3502">
        <f>SUMIF(90:90,E27,91:91)-SUMIF(90:90,C27,91:91)+100</f>
        <v>98</v>
      </c>
      <c r="G27" s="3521" t="s">
        <v>3075</v>
      </c>
      <c r="H27" s="3522">
        <f>SUMIF(90:90,G27,91:91)-SUMIF(90:90,C27,91:91)+100</f>
        <v>98</v>
      </c>
      <c r="I27" s="3521" t="s">
        <v>3100</v>
      </c>
      <c r="J27" s="3522">
        <f>SUMIF(90:90,I27,91:91)-SUMIF(90:90,C27,91:91)+100</f>
        <v>99</v>
      </c>
      <c r="K27" s="3454">
        <v>1</v>
      </c>
      <c r="L27" s="3432"/>
      <c r="M27" s="3433"/>
      <c r="N27" s="3433"/>
      <c r="O27" s="3448"/>
      <c r="P27" s="4125"/>
      <c r="Q27" s="3449" t="str">
        <f t="shared" si="11"/>
        <v>人流量</v>
      </c>
      <c r="R27" s="3434" t="s">
        <v>8</v>
      </c>
      <c r="S27" s="3435">
        <f>F27</f>
        <v>98</v>
      </c>
      <c r="T27" s="3434" t="s">
        <v>8</v>
      </c>
      <c r="U27" s="3435">
        <f>H27</f>
        <v>98</v>
      </c>
      <c r="V27" s="3434" t="s">
        <v>8</v>
      </c>
      <c r="W27" s="3435">
        <f>J27</f>
        <v>99</v>
      </c>
      <c r="X27" s="3436"/>
      <c r="Y27" s="4125"/>
      <c r="Z27" s="3437" t="str">
        <f>Q27</f>
        <v>人流量</v>
      </c>
      <c r="AA27" s="3488">
        <f>D27/F27</f>
        <v>1.0204081632653061</v>
      </c>
      <c r="AB27" s="3488">
        <f>D27/H27</f>
        <v>1.0204081632653061</v>
      </c>
      <c r="AC27" s="3488">
        <f>D27/J27</f>
        <v>1.0101010101010102</v>
      </c>
    </row>
    <row r="28" spans="1:29" ht="15">
      <c r="A28" s="3489"/>
      <c r="B28" s="3516" t="s">
        <v>737</v>
      </c>
      <c r="C28" s="3517" t="s">
        <v>3105</v>
      </c>
      <c r="D28" s="3471">
        <v>100</v>
      </c>
      <c r="E28" s="3517" t="s">
        <v>3105</v>
      </c>
      <c r="F28" s="3518">
        <f>SUMIF(92:92,E28,93:93)-SUMIF(92:92,C28,93:93)+100</f>
        <v>100</v>
      </c>
      <c r="G28" s="3517" t="s">
        <v>3105</v>
      </c>
      <c r="H28" s="3471">
        <f>SUMIF(92:92,G28,93:93)-SUMIF(92:92,C28,93:93)+100</f>
        <v>100</v>
      </c>
      <c r="I28" s="3517" t="s">
        <v>3105</v>
      </c>
      <c r="J28" s="3471">
        <f>SUMIF(92:92,I28,93:93)-SUMIF(92:92,C28,93:93)+100</f>
        <v>100</v>
      </c>
      <c r="K28" s="3470"/>
      <c r="L28" s="3472"/>
      <c r="M28" s="3418"/>
      <c r="N28" s="3418"/>
      <c r="O28" s="3463"/>
      <c r="P28" s="4125"/>
      <c r="Q28" s="3485" t="str">
        <f t="shared" si="11"/>
        <v>楼层</v>
      </c>
      <c r="R28" s="3486" t="s">
        <v>8</v>
      </c>
      <c r="S28" s="3487">
        <f t="shared" ref="S28:S46" si="12">F28</f>
        <v>100</v>
      </c>
      <c r="T28" s="3486" t="s">
        <v>8</v>
      </c>
      <c r="U28" s="3487">
        <f t="shared" ref="U28:U46" si="13">H28</f>
        <v>100</v>
      </c>
      <c r="V28" s="3486" t="s">
        <v>8</v>
      </c>
      <c r="W28" s="3487">
        <f t="shared" ref="W28:W46" si="14">J28</f>
        <v>100</v>
      </c>
      <c r="X28" s="3419"/>
      <c r="Y28" s="4125"/>
      <c r="Z28" s="3488" t="str">
        <f t="shared" ref="Z28:Z46" si="15">Q28</f>
        <v>楼层</v>
      </c>
      <c r="AA28" s="3488">
        <f t="shared" si="3"/>
        <v>1</v>
      </c>
      <c r="AB28" s="3488">
        <f t="shared" si="4"/>
        <v>1</v>
      </c>
      <c r="AC28" s="3488">
        <f t="shared" si="5"/>
        <v>1</v>
      </c>
    </row>
    <row r="29" spans="1:29" ht="15">
      <c r="A29" s="3489"/>
      <c r="B29" s="3523" t="s">
        <v>3188</v>
      </c>
      <c r="C29" s="3524" t="s">
        <v>3189</v>
      </c>
      <c r="D29" s="3471">
        <v>100</v>
      </c>
      <c r="E29" s="3524" t="s">
        <v>3189</v>
      </c>
      <c r="F29" s="3518">
        <f>SUMIF(94:94,E29,95:95)-SUMIF(94:94,C29,95:95)+100</f>
        <v>100</v>
      </c>
      <c r="G29" s="3524" t="s">
        <v>3189</v>
      </c>
      <c r="H29" s="3471">
        <f>SUMIF(94:94,G29,95:95)-SUMIF(94:94,C29,95:95)+100</f>
        <v>100</v>
      </c>
      <c r="I29" s="3524" t="s">
        <v>3189</v>
      </c>
      <c r="J29" s="3471">
        <f>SUMIF(94:94,I29,95:95)-SUMIF(94:94,C29,95:95)+100</f>
        <v>100</v>
      </c>
      <c r="K29" s="3470"/>
      <c r="L29" s="3472"/>
      <c r="M29" s="3418"/>
      <c r="N29" s="3418"/>
      <c r="O29" s="3463"/>
      <c r="P29" s="4125"/>
      <c r="Q29" s="3485" t="str">
        <f t="shared" si="11"/>
        <v xml:space="preserve">临街 </v>
      </c>
      <c r="R29" s="3486" t="s">
        <v>8</v>
      </c>
      <c r="S29" s="3487">
        <f t="shared" si="12"/>
        <v>100</v>
      </c>
      <c r="T29" s="3486" t="s">
        <v>8</v>
      </c>
      <c r="U29" s="3487">
        <f t="shared" si="13"/>
        <v>100</v>
      </c>
      <c r="V29" s="3486" t="s">
        <v>8</v>
      </c>
      <c r="W29" s="3487">
        <f t="shared" si="14"/>
        <v>100</v>
      </c>
      <c r="X29" s="3419"/>
      <c r="Y29" s="4125"/>
      <c r="Z29" s="3488" t="str">
        <f t="shared" si="15"/>
        <v xml:space="preserve">临街 </v>
      </c>
      <c r="AA29" s="3488">
        <f t="shared" si="3"/>
        <v>1</v>
      </c>
      <c r="AB29" s="3488">
        <f t="shared" si="4"/>
        <v>1</v>
      </c>
      <c r="AC29" s="3488">
        <f t="shared" si="5"/>
        <v>1</v>
      </c>
    </row>
    <row r="30" spans="1:29" ht="15">
      <c r="A30" s="3489"/>
      <c r="B30" s="3519">
        <v>111</v>
      </c>
      <c r="C30" s="3468"/>
      <c r="D30" s="3471">
        <v>100</v>
      </c>
      <c r="E30" s="3468"/>
      <c r="F30" s="3518">
        <f>SUMIF(96:96,E30,97:97)-SUMIF(96:96,C30,97:97)+100</f>
        <v>100</v>
      </c>
      <c r="G30" s="3468"/>
      <c r="H30" s="3471">
        <f>SUMIF(96:96,G30,97:97)-SUMIF(96:96,C30,97:97)+100</f>
        <v>100</v>
      </c>
      <c r="I30" s="3468"/>
      <c r="J30" s="3471">
        <f>SUMIF(96:96,I30,97:97)-SUMIF(96:96,C30,97:97)+100</f>
        <v>100</v>
      </c>
      <c r="K30" s="3470"/>
      <c r="L30" s="3472"/>
      <c r="M30" s="3418"/>
      <c r="N30" s="3418"/>
      <c r="O30" s="3463"/>
      <c r="P30" s="4125"/>
      <c r="Q30" s="3485">
        <f t="shared" si="11"/>
        <v>111</v>
      </c>
      <c r="R30" s="3486" t="s">
        <v>8</v>
      </c>
      <c r="S30" s="3487">
        <f t="shared" si="12"/>
        <v>100</v>
      </c>
      <c r="T30" s="3486" t="s">
        <v>8</v>
      </c>
      <c r="U30" s="3487">
        <f t="shared" si="13"/>
        <v>100</v>
      </c>
      <c r="V30" s="3486" t="s">
        <v>8</v>
      </c>
      <c r="W30" s="3487">
        <f t="shared" si="14"/>
        <v>100</v>
      </c>
      <c r="X30" s="3419"/>
      <c r="Y30" s="4125"/>
      <c r="Z30" s="3488">
        <f t="shared" si="15"/>
        <v>111</v>
      </c>
      <c r="AA30" s="3488">
        <f t="shared" si="3"/>
        <v>1</v>
      </c>
      <c r="AB30" s="3488">
        <f t="shared" si="4"/>
        <v>1</v>
      </c>
      <c r="AC30" s="3488">
        <f t="shared" si="5"/>
        <v>1</v>
      </c>
    </row>
    <row r="31" spans="1:29" ht="15.75" thickBot="1">
      <c r="A31" s="3525"/>
      <c r="B31" s="3519">
        <v>111</v>
      </c>
      <c r="C31" s="3475"/>
      <c r="D31" s="3476">
        <v>100</v>
      </c>
      <c r="E31" s="3468"/>
      <c r="F31" s="3526">
        <f>SUMIF(98:98,E31,99:99)-SUMIF(98:98,C31,99:99)+100</f>
        <v>100</v>
      </c>
      <c r="G31" s="3468"/>
      <c r="H31" s="3476">
        <f>SUMIF(98:98,G31,99:99)-SUMIF(98:98,C31,99:99)+100</f>
        <v>100</v>
      </c>
      <c r="I31" s="3468"/>
      <c r="J31" s="3476">
        <f>SUMIF(98:98,I31,99:99)-SUMIF(98:98,C31,99:99)+100</f>
        <v>100</v>
      </c>
      <c r="K31" s="3470"/>
      <c r="L31" s="3472"/>
      <c r="M31" s="3418"/>
      <c r="N31" s="3418"/>
      <c r="O31" s="3463"/>
      <c r="P31" s="4125"/>
      <c r="Q31" s="3485">
        <f t="shared" si="11"/>
        <v>111</v>
      </c>
      <c r="R31" s="3486" t="s">
        <v>8</v>
      </c>
      <c r="S31" s="3487">
        <f t="shared" si="12"/>
        <v>100</v>
      </c>
      <c r="T31" s="3486" t="s">
        <v>8</v>
      </c>
      <c r="U31" s="3487">
        <f t="shared" si="13"/>
        <v>100</v>
      </c>
      <c r="V31" s="3486" t="s">
        <v>8</v>
      </c>
      <c r="W31" s="3487">
        <f t="shared" si="14"/>
        <v>100</v>
      </c>
      <c r="X31" s="3419"/>
      <c r="Y31" s="4125"/>
      <c r="Z31" s="3488">
        <f t="shared" si="15"/>
        <v>111</v>
      </c>
      <c r="AA31" s="3488">
        <f t="shared" si="3"/>
        <v>1</v>
      </c>
      <c r="AB31" s="3488">
        <f t="shared" si="4"/>
        <v>1</v>
      </c>
      <c r="AC31" s="3488">
        <f t="shared" si="5"/>
        <v>1</v>
      </c>
    </row>
    <row r="32" spans="1:29" ht="15">
      <c r="A32" s="3527" t="s">
        <v>3190</v>
      </c>
      <c r="B32" s="3528" t="s">
        <v>764</v>
      </c>
      <c r="C32" s="3754" t="s">
        <v>3229</v>
      </c>
      <c r="D32" s="3530">
        <v>100</v>
      </c>
      <c r="E32" s="3529" t="s">
        <v>3191</v>
      </c>
      <c r="F32" s="3518">
        <f>SUMIF(100:100,E32,101:101)-SUMIF(100:100,C32,101:101)+100</f>
        <v>100</v>
      </c>
      <c r="G32" s="3529" t="s">
        <v>3191</v>
      </c>
      <c r="H32" s="3471">
        <f>SUMIF(100:100,G32,101:101)-SUMIF(100:100,C32,101:101)+100</f>
        <v>100</v>
      </c>
      <c r="I32" s="3529" t="s">
        <v>3110</v>
      </c>
      <c r="J32" s="3530">
        <f>SUMIF(100:100,I32,101:101)-SUMIF(100:100,C32,101:101)+100</f>
        <v>99</v>
      </c>
      <c r="K32" s="3454">
        <v>1</v>
      </c>
      <c r="L32" s="3472"/>
      <c r="M32" s="3418"/>
      <c r="N32" s="3418"/>
      <c r="O32" s="3463"/>
      <c r="P32" s="4126" t="s">
        <v>542</v>
      </c>
      <c r="Q32" s="3485" t="str">
        <f t="shared" si="11"/>
        <v>商业类型</v>
      </c>
      <c r="R32" s="3486" t="s">
        <v>8</v>
      </c>
      <c r="S32" s="3487">
        <f t="shared" si="12"/>
        <v>100</v>
      </c>
      <c r="T32" s="3486" t="s">
        <v>8</v>
      </c>
      <c r="U32" s="3487">
        <f t="shared" si="13"/>
        <v>100</v>
      </c>
      <c r="V32" s="3486" t="s">
        <v>8</v>
      </c>
      <c r="W32" s="3487">
        <f t="shared" si="14"/>
        <v>99</v>
      </c>
      <c r="X32" s="3419"/>
      <c r="Y32" s="4127" t="s">
        <v>542</v>
      </c>
      <c r="Z32" s="3488" t="str">
        <f t="shared" si="15"/>
        <v>商业类型</v>
      </c>
      <c r="AA32" s="3488">
        <f t="shared" si="3"/>
        <v>1</v>
      </c>
      <c r="AB32" s="3488">
        <f t="shared" si="4"/>
        <v>1</v>
      </c>
      <c r="AC32" s="3488">
        <f t="shared" si="5"/>
        <v>1.0101010101010102</v>
      </c>
    </row>
    <row r="33" spans="1:29" s="3540" customFormat="1" ht="15">
      <c r="A33" s="3531"/>
      <c r="B33" s="3516" t="s">
        <v>718</v>
      </c>
      <c r="C33" s="3532">
        <f>'数据-汇总表'!F20</f>
        <v>363000</v>
      </c>
      <c r="D33" s="3452">
        <v>100</v>
      </c>
      <c r="E33" s="3461">
        <v>165</v>
      </c>
      <c r="F33" s="3516">
        <f>LOOKUP(E33,103:103,104:104)-LOOKUP(C33,103:103,104:104)+100</f>
        <v>102</v>
      </c>
      <c r="G33" s="3460">
        <v>167</v>
      </c>
      <c r="H33" s="3452">
        <f>LOOKUP(G33,103:103,104:104)-LOOKUP(C33,103:103,104:104)+100</f>
        <v>102</v>
      </c>
      <c r="I33" s="3460">
        <v>223.3</v>
      </c>
      <c r="J33" s="3452">
        <f>LOOKUP(I33,103:103,104:104)-LOOKUP(C33,103:103,104:104)+100</f>
        <v>102</v>
      </c>
      <c r="K33" s="3470"/>
      <c r="L33" s="3462"/>
      <c r="M33" s="3533"/>
      <c r="N33" s="3533"/>
      <c r="O33" s="3534"/>
      <c r="P33" s="4127"/>
      <c r="Q33" s="3535" t="str">
        <f t="shared" si="11"/>
        <v>项目建筑规模</v>
      </c>
      <c r="R33" s="3536" t="s">
        <v>8</v>
      </c>
      <c r="S33" s="3537">
        <f t="shared" si="12"/>
        <v>102</v>
      </c>
      <c r="T33" s="3536" t="s">
        <v>8</v>
      </c>
      <c r="U33" s="3537">
        <f t="shared" si="13"/>
        <v>102</v>
      </c>
      <c r="V33" s="3536" t="s">
        <v>8</v>
      </c>
      <c r="W33" s="3537">
        <f t="shared" si="14"/>
        <v>102</v>
      </c>
      <c r="X33" s="3538"/>
      <c r="Y33" s="4127"/>
      <c r="Z33" s="3539" t="str">
        <f t="shared" si="15"/>
        <v>项目建筑规模</v>
      </c>
      <c r="AA33" s="3488">
        <f t="shared" si="3"/>
        <v>0.98039215686274506</v>
      </c>
      <c r="AB33" s="3488">
        <f t="shared" si="4"/>
        <v>0.98039215686274506</v>
      </c>
      <c r="AC33" s="3488">
        <f t="shared" si="5"/>
        <v>0.98039215686274506</v>
      </c>
    </row>
    <row r="34" spans="1:29" ht="15">
      <c r="A34" s="3541"/>
      <c r="B34" s="3516" t="s">
        <v>719</v>
      </c>
      <c r="C34" s="3542"/>
      <c r="D34" s="3471">
        <v>100</v>
      </c>
      <c r="E34" s="3543"/>
      <c r="F34" s="3518">
        <f>SUMIF(105:105,E34,106:106)-SUMIF(105:105,C34,106:106)+100</f>
        <v>100</v>
      </c>
      <c r="G34" s="3542"/>
      <c r="H34" s="3471">
        <f>SUMIF(105:105,G34,106:106)-SUMIF(105:105,C34,106:106)+100</f>
        <v>100</v>
      </c>
      <c r="I34" s="3542"/>
      <c r="J34" s="3471">
        <f>SUMIF(105:105,I34,106:106)-SUMIF(105:105,C34,106:106)+100</f>
        <v>100</v>
      </c>
      <c r="K34" s="3454"/>
      <c r="L34" s="3472"/>
      <c r="M34" s="3418"/>
      <c r="N34" s="3418"/>
      <c r="O34" s="3463"/>
      <c r="P34" s="4127"/>
      <c r="Q34" s="3485" t="str">
        <f t="shared" si="11"/>
        <v>建筑结构</v>
      </c>
      <c r="R34" s="3486" t="s">
        <v>8</v>
      </c>
      <c r="S34" s="3487">
        <f t="shared" si="12"/>
        <v>100</v>
      </c>
      <c r="T34" s="3486" t="s">
        <v>8</v>
      </c>
      <c r="U34" s="3487">
        <f t="shared" si="13"/>
        <v>100</v>
      </c>
      <c r="V34" s="3486" t="s">
        <v>8</v>
      </c>
      <c r="W34" s="3487">
        <f t="shared" si="14"/>
        <v>100</v>
      </c>
      <c r="X34" s="3419"/>
      <c r="Y34" s="4127"/>
      <c r="Z34" s="3488" t="str">
        <f t="shared" si="15"/>
        <v>建筑结构</v>
      </c>
      <c r="AA34" s="3488">
        <f t="shared" si="3"/>
        <v>1</v>
      </c>
      <c r="AB34" s="3488">
        <f t="shared" si="4"/>
        <v>1</v>
      </c>
      <c r="AC34" s="3488">
        <f t="shared" si="5"/>
        <v>1</v>
      </c>
    </row>
    <row r="35" spans="1:29" ht="15">
      <c r="A35" s="3541"/>
      <c r="B35" s="3516" t="s">
        <v>743</v>
      </c>
      <c r="C35" s="3544"/>
      <c r="D35" s="3471">
        <v>100</v>
      </c>
      <c r="E35" s="3544"/>
      <c r="F35" s="3518">
        <f>SUMIF(107:107,E35,108:108)-SUMIF(107:107,C35,108:108)+100</f>
        <v>100</v>
      </c>
      <c r="G35" s="3544"/>
      <c r="H35" s="3471">
        <f>SUMIF(107:107,G35,108:108)-SUMIF(107:107,C35,108:108)+100</f>
        <v>100</v>
      </c>
      <c r="I35" s="3544"/>
      <c r="J35" s="3471">
        <f>SUMIF(107:107,I35,108:108)-SUMIF(107:107,C35,108:108)+100</f>
        <v>100</v>
      </c>
      <c r="K35" s="3454"/>
      <c r="L35" s="3472"/>
      <c r="M35" s="3418"/>
      <c r="N35" s="3418"/>
      <c r="O35" s="3463"/>
      <c r="P35" s="4127"/>
      <c r="Q35" s="3485" t="str">
        <f t="shared" si="11"/>
        <v>公共部分装修</v>
      </c>
      <c r="R35" s="3486" t="s">
        <v>8</v>
      </c>
      <c r="S35" s="3487">
        <f t="shared" si="12"/>
        <v>100</v>
      </c>
      <c r="T35" s="3486" t="s">
        <v>8</v>
      </c>
      <c r="U35" s="3487">
        <f t="shared" si="13"/>
        <v>100</v>
      </c>
      <c r="V35" s="3486" t="s">
        <v>8</v>
      </c>
      <c r="W35" s="3487">
        <f t="shared" si="14"/>
        <v>100</v>
      </c>
      <c r="X35" s="3419"/>
      <c r="Y35" s="4127"/>
      <c r="Z35" s="3488" t="str">
        <f t="shared" si="15"/>
        <v>公共部分装修</v>
      </c>
      <c r="AA35" s="3488">
        <f t="shared" si="3"/>
        <v>1</v>
      </c>
      <c r="AB35" s="3488">
        <f t="shared" si="4"/>
        <v>1</v>
      </c>
      <c r="AC35" s="3488">
        <f t="shared" si="5"/>
        <v>1</v>
      </c>
    </row>
    <row r="36" spans="1:29" ht="15">
      <c r="A36" s="3541"/>
      <c r="B36" s="3516" t="s">
        <v>744</v>
      </c>
      <c r="C36" s="3545">
        <v>1</v>
      </c>
      <c r="D36" s="3471">
        <v>100</v>
      </c>
      <c r="E36" s="3545">
        <v>0.85</v>
      </c>
      <c r="F36" s="3518">
        <f>LOOKUP(E36,110:110,111:111)-LOOKUP(C36,110:110,111:111)+100</f>
        <v>98</v>
      </c>
      <c r="G36" s="3545">
        <v>0.85</v>
      </c>
      <c r="H36" s="3518">
        <f>LOOKUP(G36,110:110,111:111)-LOOKUP(C36,110:110,111:111)+100</f>
        <v>98</v>
      </c>
      <c r="I36" s="3545">
        <v>0.85</v>
      </c>
      <c r="J36" s="3471">
        <f>LOOKUP(I36,110:110,111:111)-LOOKUP(C36,110:110,111:111)+100</f>
        <v>98</v>
      </c>
      <c r="K36" s="3454">
        <v>2</v>
      </c>
      <c r="L36" s="3472"/>
      <c r="M36" s="3418"/>
      <c r="N36" s="3418"/>
      <c r="O36" s="3463"/>
      <c r="P36" s="4127"/>
      <c r="Q36" s="3485" t="str">
        <f t="shared" si="11"/>
        <v>成新度</v>
      </c>
      <c r="R36" s="3486" t="s">
        <v>8</v>
      </c>
      <c r="S36" s="3487">
        <f t="shared" si="12"/>
        <v>98</v>
      </c>
      <c r="T36" s="3486" t="s">
        <v>8</v>
      </c>
      <c r="U36" s="3487">
        <f t="shared" si="13"/>
        <v>98</v>
      </c>
      <c r="V36" s="3486" t="s">
        <v>8</v>
      </c>
      <c r="W36" s="3487">
        <f t="shared" si="14"/>
        <v>98</v>
      </c>
      <c r="X36" s="3419"/>
      <c r="Y36" s="4127"/>
      <c r="Z36" s="3488" t="str">
        <f t="shared" si="15"/>
        <v>成新度</v>
      </c>
      <c r="AA36" s="3488">
        <f t="shared" si="3"/>
        <v>1.0204081632653061</v>
      </c>
      <c r="AB36" s="3488">
        <f t="shared" si="4"/>
        <v>1.0204081632653061</v>
      </c>
      <c r="AC36" s="3488">
        <f t="shared" si="5"/>
        <v>1.0204081632653061</v>
      </c>
    </row>
    <row r="37" spans="1:29" s="3438" customFormat="1" ht="15">
      <c r="A37" s="3546"/>
      <c r="B37" s="3547" t="s">
        <v>2535</v>
      </c>
      <c r="C37" s="3544"/>
      <c r="D37" s="3452">
        <v>100</v>
      </c>
      <c r="E37" s="3544"/>
      <c r="F37" s="3518">
        <f>SUMIF(112:112,E37,113:113)-SUMIF(112:112,C37,113:113)+100</f>
        <v>100</v>
      </c>
      <c r="G37" s="3544"/>
      <c r="H37" s="3471">
        <f>SUMIF(112:112,G37,113:113)-SUMIF(112:112,C37,113:113)+100</f>
        <v>100</v>
      </c>
      <c r="I37" s="3544"/>
      <c r="J37" s="3471">
        <f>SUMIF(112:112,I37,113:113)-SUMIF(112:112,C37,113:113)+100</f>
        <v>100</v>
      </c>
      <c r="K37" s="3454"/>
      <c r="L37" s="3432"/>
      <c r="M37" s="3433"/>
      <c r="N37" s="3433"/>
      <c r="O37" s="3448"/>
      <c r="P37" s="4127"/>
      <c r="Q37" s="3449" t="str">
        <f t="shared" si="11"/>
        <v>市政基础设施</v>
      </c>
      <c r="R37" s="3434" t="s">
        <v>8</v>
      </c>
      <c r="S37" s="3435">
        <f t="shared" si="12"/>
        <v>100</v>
      </c>
      <c r="T37" s="3434" t="s">
        <v>8</v>
      </c>
      <c r="U37" s="3435">
        <f t="shared" si="13"/>
        <v>100</v>
      </c>
      <c r="V37" s="3434" t="s">
        <v>8</v>
      </c>
      <c r="W37" s="3435">
        <f t="shared" si="14"/>
        <v>100</v>
      </c>
      <c r="X37" s="3436"/>
      <c r="Y37" s="4127"/>
      <c r="Z37" s="3437" t="str">
        <f t="shared" si="15"/>
        <v>市政基础设施</v>
      </c>
      <c r="AA37" s="3437">
        <f t="shared" si="3"/>
        <v>1</v>
      </c>
      <c r="AB37" s="3437">
        <f t="shared" si="4"/>
        <v>1</v>
      </c>
      <c r="AC37" s="3437">
        <f t="shared" si="5"/>
        <v>1</v>
      </c>
    </row>
    <row r="38" spans="1:29" ht="15">
      <c r="A38" s="3541"/>
      <c r="B38" s="3516" t="s">
        <v>765</v>
      </c>
      <c r="C38" s="3544"/>
      <c r="D38" s="3471">
        <v>100</v>
      </c>
      <c r="E38" s="3544"/>
      <c r="F38" s="3518">
        <f>SUMIF(114:114,E38,115:115)-SUMIF(114:114,C38,115:115)+100</f>
        <v>100</v>
      </c>
      <c r="G38" s="3544"/>
      <c r="H38" s="3471">
        <f>SUMIF(114:114,G38,115:115)-SUMIF(114:114,C38,115:115)+100</f>
        <v>100</v>
      </c>
      <c r="I38" s="3544"/>
      <c r="J38" s="3471">
        <f>SUMIF(114:114,I38,115:115)-SUMIF(114:114,C38,115:115)+100</f>
        <v>100</v>
      </c>
      <c r="K38" s="3454"/>
      <c r="L38" s="3472"/>
      <c r="M38" s="3418"/>
      <c r="N38" s="3418"/>
      <c r="O38" s="3463"/>
      <c r="P38" s="4127" t="s">
        <v>542</v>
      </c>
      <c r="Q38" s="3485" t="str">
        <f t="shared" si="11"/>
        <v>业态</v>
      </c>
      <c r="R38" s="3486" t="s">
        <v>8</v>
      </c>
      <c r="S38" s="3487">
        <f t="shared" si="12"/>
        <v>100</v>
      </c>
      <c r="T38" s="3486" t="s">
        <v>8</v>
      </c>
      <c r="U38" s="3487">
        <f t="shared" si="13"/>
        <v>100</v>
      </c>
      <c r="V38" s="3486" t="s">
        <v>8</v>
      </c>
      <c r="W38" s="3487">
        <f t="shared" si="14"/>
        <v>100</v>
      </c>
      <c r="X38" s="3419"/>
      <c r="Y38" s="4127" t="s">
        <v>542</v>
      </c>
      <c r="Z38" s="3488" t="str">
        <f t="shared" si="15"/>
        <v>业态</v>
      </c>
      <c r="AA38" s="3488">
        <f t="shared" si="3"/>
        <v>1</v>
      </c>
      <c r="AB38" s="3488">
        <f t="shared" si="4"/>
        <v>1</v>
      </c>
      <c r="AC38" s="3488">
        <f t="shared" si="5"/>
        <v>1</v>
      </c>
    </row>
    <row r="39" spans="1:29" ht="15">
      <c r="A39" s="3541"/>
      <c r="B39" s="3516" t="s">
        <v>766</v>
      </c>
      <c r="C39" s="3544"/>
      <c r="D39" s="3471">
        <v>100</v>
      </c>
      <c r="E39" s="3544"/>
      <c r="F39" s="3518">
        <f>SUMIF(116:116,E39,117:117)-SUMIF(116:116,C39,117:117)+100</f>
        <v>100</v>
      </c>
      <c r="G39" s="3544"/>
      <c r="H39" s="3471">
        <f>SUMIF(116:116,G39,117:117)-SUMIF(116:116,C39,117:117)+100</f>
        <v>100</v>
      </c>
      <c r="I39" s="3544"/>
      <c r="J39" s="3471">
        <f>SUMIF(116:116,I39,117:117)-SUMIF(116:116,C39,117:117)+100</f>
        <v>100</v>
      </c>
      <c r="K39" s="3454"/>
      <c r="L39" s="3472"/>
      <c r="M39" s="3418"/>
      <c r="N39" s="3418"/>
      <c r="O39" s="3463"/>
      <c r="P39" s="4127"/>
      <c r="Q39" s="3485" t="str">
        <f t="shared" si="11"/>
        <v>层高</v>
      </c>
      <c r="R39" s="3486" t="s">
        <v>8</v>
      </c>
      <c r="S39" s="3487">
        <f t="shared" si="12"/>
        <v>100</v>
      </c>
      <c r="T39" s="3486" t="s">
        <v>8</v>
      </c>
      <c r="U39" s="3487">
        <f t="shared" si="13"/>
        <v>100</v>
      </c>
      <c r="V39" s="3486" t="s">
        <v>8</v>
      </c>
      <c r="W39" s="3487">
        <f t="shared" si="14"/>
        <v>100</v>
      </c>
      <c r="X39" s="3419"/>
      <c r="Y39" s="4127"/>
      <c r="Z39" s="3488" t="str">
        <f t="shared" si="15"/>
        <v>层高</v>
      </c>
      <c r="AA39" s="3488">
        <f t="shared" si="3"/>
        <v>1</v>
      </c>
      <c r="AB39" s="3488">
        <f t="shared" si="4"/>
        <v>1</v>
      </c>
      <c r="AC39" s="3488">
        <f t="shared" si="5"/>
        <v>1</v>
      </c>
    </row>
    <row r="40" spans="1:29" ht="15">
      <c r="A40" s="3541"/>
      <c r="B40" s="3516" t="s">
        <v>767</v>
      </c>
      <c r="C40" s="3548"/>
      <c r="D40" s="3471">
        <v>100</v>
      </c>
      <c r="E40" s="3549"/>
      <c r="F40" s="3518">
        <f>SUMIF(118:118,E40,119:119)-SUMIF(118:118,C40,119:119)+100</f>
        <v>100</v>
      </c>
      <c r="G40" s="3549"/>
      <c r="H40" s="3471">
        <f>SUMIF(118:118,G40,119:119)-SUMIF(118:118,C40,119:119)+100</f>
        <v>100</v>
      </c>
      <c r="I40" s="3549"/>
      <c r="J40" s="3471">
        <f>SUMIF(118:118,I40,119:119)-SUMIF(118:118,C40,119:119)+100</f>
        <v>100</v>
      </c>
      <c r="K40" s="3470"/>
      <c r="L40" s="3472"/>
      <c r="M40" s="3418"/>
      <c r="N40" s="3418"/>
      <c r="O40" s="3463"/>
      <c r="P40" s="4127"/>
      <c r="Q40" s="3485" t="str">
        <f t="shared" si="11"/>
        <v>单套建筑面积</v>
      </c>
      <c r="R40" s="3486" t="s">
        <v>8</v>
      </c>
      <c r="S40" s="3487">
        <f t="shared" si="12"/>
        <v>100</v>
      </c>
      <c r="T40" s="3486" t="s">
        <v>8</v>
      </c>
      <c r="U40" s="3487">
        <f t="shared" si="13"/>
        <v>100</v>
      </c>
      <c r="V40" s="3486" t="s">
        <v>8</v>
      </c>
      <c r="W40" s="3487">
        <f t="shared" si="14"/>
        <v>100</v>
      </c>
      <c r="X40" s="3419"/>
      <c r="Y40" s="4127"/>
      <c r="Z40" s="3488" t="str">
        <f t="shared" si="15"/>
        <v>单套建筑面积</v>
      </c>
      <c r="AA40" s="3488">
        <f t="shared" si="3"/>
        <v>1</v>
      </c>
      <c r="AB40" s="3488">
        <f t="shared" si="4"/>
        <v>1</v>
      </c>
      <c r="AC40" s="3488">
        <f t="shared" si="5"/>
        <v>1</v>
      </c>
    </row>
    <row r="41" spans="1:29" s="3540" customFormat="1" ht="15">
      <c r="A41" s="3531"/>
      <c r="B41" s="3518" t="s">
        <v>761</v>
      </c>
      <c r="C41" s="3517"/>
      <c r="D41" s="3471">
        <v>100</v>
      </c>
      <c r="E41" s="3517"/>
      <c r="F41" s="3518">
        <f>SUMIF(120:120,E41,121:121)-SUMIF(120:120,C41,121:121)+100</f>
        <v>100</v>
      </c>
      <c r="G41" s="3517"/>
      <c r="H41" s="3471">
        <f>SUMIF(120:120,G41,121:121)-SUMIF(120:120,C41,121:121)+100</f>
        <v>100</v>
      </c>
      <c r="I41" s="3517"/>
      <c r="J41" s="3471">
        <f>SUMIF(120:120,I41,121:121)-SUMIF(120:120,C41,121:121)+100</f>
        <v>100</v>
      </c>
      <c r="K41" s="3454"/>
      <c r="L41" s="3462"/>
      <c r="M41" s="3533"/>
      <c r="N41" s="3533"/>
      <c r="O41" s="3534"/>
      <c r="P41" s="4127"/>
      <c r="Q41" s="3535" t="str">
        <f t="shared" si="11"/>
        <v>进深比</v>
      </c>
      <c r="R41" s="3536" t="s">
        <v>8</v>
      </c>
      <c r="S41" s="3537">
        <f t="shared" si="12"/>
        <v>100</v>
      </c>
      <c r="T41" s="3536" t="s">
        <v>8</v>
      </c>
      <c r="U41" s="3537">
        <f t="shared" si="13"/>
        <v>100</v>
      </c>
      <c r="V41" s="3536" t="s">
        <v>8</v>
      </c>
      <c r="W41" s="3537">
        <f t="shared" si="14"/>
        <v>100</v>
      </c>
      <c r="X41" s="3538"/>
      <c r="Y41" s="4127"/>
      <c r="Z41" s="3539" t="str">
        <f t="shared" si="15"/>
        <v>进深比</v>
      </c>
      <c r="AA41" s="3488">
        <f t="shared" si="3"/>
        <v>1</v>
      </c>
      <c r="AB41" s="3488">
        <f t="shared" si="4"/>
        <v>1</v>
      </c>
      <c r="AC41" s="3488">
        <f t="shared" si="5"/>
        <v>1</v>
      </c>
    </row>
    <row r="42" spans="1:29" ht="15">
      <c r="A42" s="3541"/>
      <c r="B42" s="3516" t="s">
        <v>747</v>
      </c>
      <c r="C42" s="3544"/>
      <c r="D42" s="3471">
        <v>100</v>
      </c>
      <c r="E42" s="3544"/>
      <c r="F42" s="3518">
        <f>SUMIF(122:122,E42,123:123)-SUMIF(122:122,C42,123:123)+100</f>
        <v>100</v>
      </c>
      <c r="G42" s="3544"/>
      <c r="H42" s="3471">
        <f>SUMIF(122:122,G42,123:123)-SUMIF(122:122,C42,123:123)+100</f>
        <v>100</v>
      </c>
      <c r="I42" s="3544"/>
      <c r="J42" s="3471">
        <f>SUMIF(122:122,I42,123:123)-SUMIF(122:122,C42,123:123)+100</f>
        <v>100</v>
      </c>
      <c r="K42" s="3454"/>
      <c r="L42" s="3472"/>
      <c r="M42" s="3418"/>
      <c r="N42" s="3418"/>
      <c r="O42" s="3463"/>
      <c r="P42" s="4127"/>
      <c r="Q42" s="3485" t="str">
        <f t="shared" si="11"/>
        <v>内部装修</v>
      </c>
      <c r="R42" s="3486" t="s">
        <v>8</v>
      </c>
      <c r="S42" s="3487">
        <f t="shared" si="12"/>
        <v>100</v>
      </c>
      <c r="T42" s="3486" t="s">
        <v>8</v>
      </c>
      <c r="U42" s="3487">
        <f t="shared" si="13"/>
        <v>100</v>
      </c>
      <c r="V42" s="3486" t="s">
        <v>8</v>
      </c>
      <c r="W42" s="3487">
        <f t="shared" si="14"/>
        <v>100</v>
      </c>
      <c r="X42" s="3419"/>
      <c r="Y42" s="4127"/>
      <c r="Z42" s="3488" t="str">
        <f t="shared" si="15"/>
        <v>内部装修</v>
      </c>
      <c r="AA42" s="3488">
        <f t="shared" si="3"/>
        <v>1</v>
      </c>
      <c r="AB42" s="3488">
        <f t="shared" si="4"/>
        <v>1</v>
      </c>
      <c r="AC42" s="3488">
        <f t="shared" si="5"/>
        <v>1</v>
      </c>
    </row>
    <row r="43" spans="1:29" ht="27">
      <c r="A43" s="3541"/>
      <c r="B43" s="3516" t="s">
        <v>727</v>
      </c>
      <c r="C43" s="3544"/>
      <c r="D43" s="3471">
        <v>100</v>
      </c>
      <c r="E43" s="3544"/>
      <c r="F43" s="3518">
        <f>SUMIF(124:124,E43,125:125)-SUMIF(124:124,C43,125:125)+100</f>
        <v>100</v>
      </c>
      <c r="G43" s="3544"/>
      <c r="H43" s="3471">
        <f>SUMIF(124:124,G43,125:125)-SUMIF(124:124,C43,125:125)+100</f>
        <v>100</v>
      </c>
      <c r="I43" s="3544"/>
      <c r="J43" s="3471">
        <f>SUMIF(124:124,I43,125:125)-SUMIF(124:124,C43,125:125)+100</f>
        <v>100</v>
      </c>
      <c r="K43" s="3454"/>
      <c r="L43" s="3472"/>
      <c r="M43" s="3418"/>
      <c r="N43" s="3418"/>
      <c r="O43" s="3463"/>
      <c r="P43" s="4127"/>
      <c r="Q43" s="3485" t="str">
        <f t="shared" si="11"/>
        <v>内部装修维护情况</v>
      </c>
      <c r="R43" s="3486" t="s">
        <v>8</v>
      </c>
      <c r="S43" s="3487">
        <f t="shared" si="12"/>
        <v>100</v>
      </c>
      <c r="T43" s="3486" t="s">
        <v>8</v>
      </c>
      <c r="U43" s="3487">
        <f t="shared" si="13"/>
        <v>100</v>
      </c>
      <c r="V43" s="3486" t="s">
        <v>8</v>
      </c>
      <c r="W43" s="3487">
        <f t="shared" si="14"/>
        <v>100</v>
      </c>
      <c r="X43" s="3419"/>
      <c r="Y43" s="4127"/>
      <c r="Z43" s="3488" t="str">
        <f t="shared" si="15"/>
        <v>内部装修维护情况</v>
      </c>
      <c r="AA43" s="3488">
        <f t="shared" si="3"/>
        <v>1</v>
      </c>
      <c r="AB43" s="3488">
        <f t="shared" si="4"/>
        <v>1</v>
      </c>
      <c r="AC43" s="3488">
        <f t="shared" si="5"/>
        <v>1</v>
      </c>
    </row>
    <row r="44" spans="1:29" s="3438" customFormat="1" ht="15">
      <c r="A44" s="3546"/>
      <c r="B44" s="3519">
        <v>111</v>
      </c>
      <c r="C44" s="3532"/>
      <c r="D44" s="3452">
        <v>100</v>
      </c>
      <c r="E44" s="3468"/>
      <c r="F44" s="3516">
        <f>SUMIF(126:126,E44,127:127)-SUMIF(126:126,C44,127:127)+100</f>
        <v>100</v>
      </c>
      <c r="G44" s="3468"/>
      <c r="H44" s="3452">
        <f>SUMIF(126:126,G44,127:127)-SUMIF(126:126,C44,127:127)+100</f>
        <v>100</v>
      </c>
      <c r="I44" s="3468"/>
      <c r="J44" s="3452">
        <f>SUMIF(126:126,I44,127:127)-SUMIF(126:126,C44,127:127)+100</f>
        <v>100</v>
      </c>
      <c r="K44" s="3470"/>
      <c r="L44" s="3432"/>
      <c r="M44" s="3433"/>
      <c r="N44" s="3433"/>
      <c r="O44" s="3448"/>
      <c r="P44" s="4127"/>
      <c r="Q44" s="3449">
        <f t="shared" si="11"/>
        <v>111</v>
      </c>
      <c r="R44" s="3434" t="s">
        <v>8</v>
      </c>
      <c r="S44" s="3435">
        <f t="shared" si="12"/>
        <v>100</v>
      </c>
      <c r="T44" s="3434" t="s">
        <v>8</v>
      </c>
      <c r="U44" s="3435">
        <f t="shared" si="13"/>
        <v>100</v>
      </c>
      <c r="V44" s="3434" t="s">
        <v>8</v>
      </c>
      <c r="W44" s="3435">
        <f t="shared" si="14"/>
        <v>100</v>
      </c>
      <c r="X44" s="3436"/>
      <c r="Y44" s="4127"/>
      <c r="Z44" s="3437">
        <f t="shared" si="15"/>
        <v>111</v>
      </c>
      <c r="AA44" s="3437">
        <f t="shared" si="3"/>
        <v>1</v>
      </c>
      <c r="AB44" s="3437">
        <f t="shared" si="4"/>
        <v>1</v>
      </c>
      <c r="AC44" s="3437">
        <f t="shared" si="5"/>
        <v>1</v>
      </c>
    </row>
    <row r="45" spans="1:29" ht="15">
      <c r="A45" s="3541"/>
      <c r="B45" s="3519">
        <v>111</v>
      </c>
      <c r="C45" s="3468"/>
      <c r="D45" s="3471">
        <v>100</v>
      </c>
      <c r="E45" s="3468"/>
      <c r="F45" s="3518">
        <f>SUMIF(128:128,E45,129:129)-SUMIF(128:128,C45,129:129)+100</f>
        <v>100</v>
      </c>
      <c r="G45" s="3468"/>
      <c r="H45" s="3471">
        <f>SUMIF(128:128,G45,129:129)-SUMIF(128:128,C45,129:129)+100</f>
        <v>100</v>
      </c>
      <c r="I45" s="3468"/>
      <c r="J45" s="3471">
        <f>SUMIF(128:128,I45,129:129)-SUMIF(128:128,C45,129:129)+100</f>
        <v>100</v>
      </c>
      <c r="K45" s="3470"/>
      <c r="L45" s="3472"/>
      <c r="M45" s="3418"/>
      <c r="N45" s="3418"/>
      <c r="O45" s="3463"/>
      <c r="P45" s="4127"/>
      <c r="Q45" s="3485">
        <f t="shared" si="11"/>
        <v>111</v>
      </c>
      <c r="R45" s="3486" t="s">
        <v>8</v>
      </c>
      <c r="S45" s="3487">
        <f t="shared" si="12"/>
        <v>100</v>
      </c>
      <c r="T45" s="3486" t="s">
        <v>8</v>
      </c>
      <c r="U45" s="3487">
        <f t="shared" si="13"/>
        <v>100</v>
      </c>
      <c r="V45" s="3486" t="s">
        <v>8</v>
      </c>
      <c r="W45" s="3487">
        <f t="shared" si="14"/>
        <v>100</v>
      </c>
      <c r="X45" s="3419"/>
      <c r="Y45" s="4127"/>
      <c r="Z45" s="3488">
        <f t="shared" si="15"/>
        <v>111</v>
      </c>
      <c r="AA45" s="3488">
        <f t="shared" si="3"/>
        <v>1</v>
      </c>
      <c r="AB45" s="3488">
        <f t="shared" si="4"/>
        <v>1</v>
      </c>
      <c r="AC45" s="3488">
        <f t="shared" si="5"/>
        <v>1</v>
      </c>
    </row>
    <row r="46" spans="1:29" ht="15.75" thickBot="1">
      <c r="A46" s="3550"/>
      <c r="B46" s="3551">
        <v>111</v>
      </c>
      <c r="C46" s="3475"/>
      <c r="D46" s="3476">
        <v>100</v>
      </c>
      <c r="E46" s="3468"/>
      <c r="F46" s="3526">
        <f>SUMIF(130:130,E46,131:131)-SUMIF(130:130,C46,131:131)+100</f>
        <v>100</v>
      </c>
      <c r="G46" s="3468"/>
      <c r="H46" s="3476">
        <f>SUMIF(130:130,G46,131:131)-SUMIF(130:130,C46,131:131)+100</f>
        <v>100</v>
      </c>
      <c r="I46" s="3468"/>
      <c r="J46" s="3476">
        <f>SUMIF(130:130,I46,131:131)-SUMIF(130:130,C46,131:131)+100</f>
        <v>100</v>
      </c>
      <c r="K46" s="3470"/>
      <c r="L46" s="3472"/>
      <c r="M46" s="3418"/>
      <c r="N46" s="3418"/>
      <c r="O46" s="3463"/>
      <c r="P46" s="4128"/>
      <c r="Q46" s="3485">
        <f t="shared" si="11"/>
        <v>111</v>
      </c>
      <c r="R46" s="3486" t="s">
        <v>8</v>
      </c>
      <c r="S46" s="3487">
        <f t="shared" si="12"/>
        <v>100</v>
      </c>
      <c r="T46" s="3486" t="s">
        <v>8</v>
      </c>
      <c r="U46" s="3487">
        <f t="shared" si="13"/>
        <v>100</v>
      </c>
      <c r="V46" s="3486" t="s">
        <v>8</v>
      </c>
      <c r="W46" s="3487">
        <f t="shared" si="14"/>
        <v>100</v>
      </c>
      <c r="X46" s="3419"/>
      <c r="Y46" s="4128"/>
      <c r="Z46" s="3488">
        <f t="shared" si="15"/>
        <v>111</v>
      </c>
      <c r="AA46" s="3488">
        <f t="shared" si="3"/>
        <v>1</v>
      </c>
      <c r="AB46" s="3488">
        <f t="shared" si="4"/>
        <v>1</v>
      </c>
      <c r="AC46" s="3488">
        <f t="shared" si="5"/>
        <v>1</v>
      </c>
    </row>
    <row r="47" spans="1:29" ht="15">
      <c r="A47" s="3552" t="s">
        <v>728</v>
      </c>
      <c r="B47" s="3553"/>
      <c r="C47" s="3554" t="s">
        <v>1</v>
      </c>
      <c r="D47" s="3555"/>
      <c r="E47" s="3556">
        <v>31000</v>
      </c>
      <c r="F47" s="3557"/>
      <c r="G47" s="3558">
        <f>商业案例截图及地图!$A$39</f>
        <v>30958</v>
      </c>
      <c r="H47" s="3559"/>
      <c r="I47" s="3556">
        <f>商业案例截图及地图!$A$75</f>
        <v>30000</v>
      </c>
      <c r="J47" s="3559"/>
      <c r="K47" s="3560"/>
      <c r="L47" s="3561"/>
      <c r="M47" s="3418"/>
      <c r="N47" s="3418"/>
      <c r="O47" s="3418"/>
      <c r="P47" s="4122" t="str">
        <f>A47</f>
        <v>成交单价（元/平方米）</v>
      </c>
      <c r="Q47" s="4122"/>
      <c r="R47" s="4118">
        <f>E47</f>
        <v>31000</v>
      </c>
      <c r="S47" s="4118"/>
      <c r="T47" s="4118">
        <f>G47</f>
        <v>30958</v>
      </c>
      <c r="U47" s="4118"/>
      <c r="V47" s="4118">
        <f>I47</f>
        <v>30000</v>
      </c>
      <c r="W47" s="4118"/>
      <c r="X47" s="3490"/>
      <c r="Y47" s="3562"/>
      <c r="Z47" s="3490"/>
      <c r="AA47" s="3490"/>
      <c r="AB47" s="3490"/>
      <c r="AC47" s="3490"/>
    </row>
    <row r="48" spans="1:29" ht="15.75" thickBot="1">
      <c r="A48" s="3563" t="s">
        <v>2671</v>
      </c>
      <c r="B48" s="3564"/>
      <c r="C48" s="3565">
        <f>R49</f>
        <v>32929</v>
      </c>
      <c r="D48" s="3566" t="s">
        <v>2963</v>
      </c>
      <c r="E48" s="3567">
        <f>R48</f>
        <v>33303</v>
      </c>
      <c r="F48" s="3568"/>
      <c r="G48" s="3565">
        <f>T48</f>
        <v>33258</v>
      </c>
      <c r="H48" s="3568"/>
      <c r="I48" s="3567">
        <f>V48</f>
        <v>32226</v>
      </c>
      <c r="J48" s="3568"/>
      <c r="K48" s="3569">
        <f>F48+H48+J48</f>
        <v>0</v>
      </c>
      <c r="L48" s="3561"/>
      <c r="M48" s="3418"/>
      <c r="N48" s="3418"/>
      <c r="O48" s="3418"/>
      <c r="P48" s="4122" t="str">
        <f>A48</f>
        <v>比较价格（元/平方米）</v>
      </c>
      <c r="Q48" s="4122"/>
      <c r="R48" s="4118">
        <f>IF(F1="售价",ROUND(PRODUCT(R47,AA7:AA46),0),ROUND(PRODUCT(R47,AA7:AA46),0))</f>
        <v>33303</v>
      </c>
      <c r="S48" s="4118"/>
      <c r="T48" s="4118">
        <f>IF(F1="售价",ROUND(PRODUCT(T47,AB7:AB46),0),ROUND(PRODUCT(T47,AB7:AB46),0))</f>
        <v>33258</v>
      </c>
      <c r="U48" s="4118"/>
      <c r="V48" s="4118">
        <f>IF(F1="售价",ROUND(PRODUCT(V47,AC7:AC46),0),ROUND(PRODUCT(V47,AC7:AC46),0))</f>
        <v>32226</v>
      </c>
      <c r="W48" s="4118"/>
      <c r="X48" s="3490"/>
      <c r="Y48" s="3490"/>
      <c r="Z48" s="3490"/>
      <c r="AA48" s="3490"/>
      <c r="AB48" s="3490"/>
      <c r="AC48" s="3490"/>
    </row>
    <row r="49" spans="1:29" ht="15.75" thickBot="1">
      <c r="A49" s="3570" t="s">
        <v>2898</v>
      </c>
      <c r="B49" s="3571"/>
      <c r="C49" s="3424">
        <f>R49</f>
        <v>32929</v>
      </c>
      <c r="D49" s="3424"/>
      <c r="E49" s="3424"/>
      <c r="F49" s="3424"/>
      <c r="G49" s="3424"/>
      <c r="H49" s="3424"/>
      <c r="I49" s="3424"/>
      <c r="J49" s="3424"/>
      <c r="K49" s="3572"/>
      <c r="L49" s="3561"/>
      <c r="M49" s="3418"/>
      <c r="N49" s="3418"/>
      <c r="O49" s="3418"/>
      <c r="P49" s="4129" t="str">
        <f>A49</f>
        <v>估价对象XX用房的比较价格（楼面单价，元/平方米）</v>
      </c>
      <c r="Q49" s="4130"/>
      <c r="R49" s="4131">
        <f>IF(F1="售价",ROUND(IF(D48="简单平均",AVERAGE(R48:V48),R48*F48+T48*H48+V48*J48),0),ROUND(IF(D48="简单平均",AVERAGE(R48:V48),R48*F48+T48*H48+V48*J48),0))</f>
        <v>32929</v>
      </c>
      <c r="S49" s="4131"/>
      <c r="T49" s="4131"/>
      <c r="U49" s="4131"/>
      <c r="V49" s="4131"/>
      <c r="W49" s="4131"/>
      <c r="X49" s="3490"/>
      <c r="Y49" s="3490"/>
      <c r="Z49" s="3490"/>
      <c r="AA49" s="3490"/>
      <c r="AB49" s="3490"/>
      <c r="AC49" s="3490"/>
    </row>
    <row r="50" spans="1:29">
      <c r="A50" s="3573"/>
      <c r="B50" s="3573"/>
      <c r="C50" s="3573"/>
      <c r="D50" s="3573"/>
      <c r="E50" s="3573"/>
      <c r="F50" s="3573"/>
      <c r="G50" s="3574"/>
      <c r="H50" s="3573"/>
      <c r="I50" s="3573"/>
      <c r="J50" s="3573"/>
      <c r="K50" s="3575"/>
      <c r="L50" s="3576"/>
      <c r="M50" s="3418"/>
      <c r="N50" s="3418"/>
      <c r="O50" s="3418"/>
      <c r="P50" s="3418"/>
      <c r="Q50" s="3418"/>
      <c r="R50" s="3418"/>
      <c r="S50" s="3418"/>
      <c r="T50" s="3418"/>
      <c r="U50" s="3418"/>
      <c r="V50" s="3418"/>
      <c r="W50" s="3418"/>
      <c r="X50" s="3418"/>
      <c r="Y50" s="3418"/>
      <c r="Z50" s="3418"/>
      <c r="AA50" s="3418"/>
      <c r="AB50" s="3418"/>
      <c r="AC50" s="3418"/>
    </row>
    <row r="51" spans="1:29">
      <c r="A51" s="3573"/>
      <c r="B51" s="3573"/>
      <c r="C51" s="3573"/>
      <c r="D51" s="3573"/>
      <c r="E51" s="3573"/>
      <c r="F51" s="3573"/>
      <c r="G51" s="3573"/>
      <c r="H51" s="3573"/>
      <c r="I51" s="3573"/>
      <c r="J51" s="3573"/>
      <c r="K51" s="3575"/>
      <c r="L51" s="3576"/>
      <c r="M51" s="3418"/>
      <c r="N51" s="3418"/>
      <c r="O51" s="3418"/>
      <c r="P51" s="3418"/>
      <c r="Q51" s="3418"/>
      <c r="R51" s="3418"/>
      <c r="S51" s="3418"/>
      <c r="T51" s="3418"/>
      <c r="U51" s="3418"/>
      <c r="V51" s="3418"/>
      <c r="W51" s="3418"/>
      <c r="X51" s="3418"/>
      <c r="Y51" s="3418"/>
      <c r="Z51" s="3418"/>
      <c r="AA51" s="3418"/>
      <c r="AB51" s="3418"/>
      <c r="AC51" s="3418"/>
    </row>
    <row r="52" spans="1:29" ht="13.5" customHeight="1">
      <c r="A52" s="3573"/>
      <c r="B52" s="3573"/>
      <c r="C52" s="3577" t="s">
        <v>549</v>
      </c>
      <c r="D52" s="3578"/>
      <c r="E52" s="3579">
        <f>IF(E47&lt;E48,E48/E47-1,E47/E48-1)</f>
        <v>7.4290322580645052E-2</v>
      </c>
      <c r="F52" s="3580" t="str">
        <f>IF(OR(E52&gt;=0.3,E52&lt;=-0.3),"超过30%","")</f>
        <v/>
      </c>
      <c r="G52" s="3579">
        <f>IF(G47&lt;G48,G48/G47-1,G47/G48-1)</f>
        <v>7.4294205052005902E-2</v>
      </c>
      <c r="H52" s="3580" t="str">
        <f>IF(OR(G52&gt;=0.3,G52&lt;=-0.3),"超过30%","")</f>
        <v/>
      </c>
      <c r="I52" s="3579">
        <f>IF(I47&lt;I48,I48/I47-1,I47/I48-1)</f>
        <v>7.4200000000000044E-2</v>
      </c>
      <c r="J52" s="3580" t="str">
        <f>IF(OR(I52&gt;=0.3,I52&lt;=-0.3),"超过30%","")</f>
        <v/>
      </c>
      <c r="K52" s="3575"/>
      <c r="L52" s="3576"/>
      <c r="M52" s="3418"/>
      <c r="N52" s="3418"/>
      <c r="O52" s="3418"/>
      <c r="P52" s="3418"/>
      <c r="Q52" s="3418"/>
      <c r="R52" s="3418"/>
      <c r="S52" s="3418"/>
      <c r="T52" s="3418"/>
      <c r="U52" s="3418"/>
      <c r="V52" s="3418"/>
      <c r="W52" s="3418"/>
      <c r="X52" s="3418"/>
      <c r="Y52" s="3418"/>
      <c r="Z52" s="3418"/>
      <c r="AA52" s="3418"/>
      <c r="AB52" s="3418"/>
      <c r="AC52" s="3418"/>
    </row>
    <row r="53" spans="1:29" ht="13.5" customHeight="1">
      <c r="A53" s="3573"/>
      <c r="B53" s="3573"/>
      <c r="C53" s="3577" t="s">
        <v>550</v>
      </c>
      <c r="D53" s="3581"/>
      <c r="E53" s="3579">
        <f>IF(E48&lt;G48,G48/E48-1,E48/G48-1)</f>
        <v>1.3530579108784746E-3</v>
      </c>
      <c r="F53" s="3580" t="str">
        <f>IF(OR(E53&gt;=0.2,E53&lt;=-0.2),"超过20%","")</f>
        <v/>
      </c>
      <c r="G53" s="3579">
        <f>IF(G48&lt;I48,I48/G48-1,G48/I48-1)</f>
        <v>3.202383168869849E-2</v>
      </c>
      <c r="H53" s="3580" t="str">
        <f>IF(OR(G53&gt;=0.2,G53&lt;=-0.2),"超过20%","")</f>
        <v/>
      </c>
      <c r="I53" s="3579">
        <f>IF(I48&lt;E48,E48/I48-1,I48/E48-1)</f>
        <v>3.342021969838016E-2</v>
      </c>
      <c r="J53" s="3580" t="str">
        <f>IF(OR(I53&gt;=0.2,I53&lt;=-0.2),"超过20%","")</f>
        <v/>
      </c>
      <c r="K53" s="3575"/>
      <c r="L53" s="3576"/>
      <c r="M53" s="3418"/>
      <c r="N53" s="3418"/>
      <c r="O53" s="3418"/>
      <c r="P53" s="3418"/>
      <c r="Q53" s="3418"/>
      <c r="R53" s="3418"/>
      <c r="S53" s="3418"/>
      <c r="T53" s="3418"/>
      <c r="U53" s="3418"/>
      <c r="V53" s="3418"/>
      <c r="W53" s="3418"/>
      <c r="X53" s="3418"/>
      <c r="Y53" s="3418"/>
      <c r="Z53" s="3418"/>
      <c r="AA53" s="3418"/>
      <c r="AB53" s="3418"/>
      <c r="AC53" s="3418"/>
    </row>
    <row r="54" spans="1:29" s="3586" customFormat="1" ht="13.5" customHeight="1">
      <c r="A54" s="3582"/>
      <c r="B54" s="3582"/>
      <c r="C54" s="3577" t="s">
        <v>551</v>
      </c>
      <c r="D54" s="3581"/>
      <c r="E54" s="3579">
        <f>IF(E47&lt;G47,G47/E47-1,E47/G47-1)</f>
        <v>1.3566767879062969E-3</v>
      </c>
      <c r="F54" s="3580" t="str">
        <f>IF(OR(E54&gt;=0.3,E54&lt;=-0.3),"超过30%","")</f>
        <v/>
      </c>
      <c r="G54" s="3579">
        <f>IF(G47&lt;I47,I47/G47-1,G47/I47-1)</f>
        <v>3.1933333333333369E-2</v>
      </c>
      <c r="H54" s="3580" t="str">
        <f>IF(OR(G54&gt;=0.3,G54&lt;=-0.3),"超过30%","")</f>
        <v/>
      </c>
      <c r="I54" s="3579">
        <f>IF(I47&lt;E47,E47/I47-1,I47/E47-1)</f>
        <v>3.3333333333333437E-2</v>
      </c>
      <c r="J54" s="3580" t="str">
        <f>IF(OR(I54&gt;=0.3,I54&lt;=-0.3),"超过30%","")</f>
        <v/>
      </c>
      <c r="K54" s="3583"/>
      <c r="L54" s="3584"/>
      <c r="M54" s="3585"/>
      <c r="N54" s="3585"/>
      <c r="O54" s="3585"/>
      <c r="P54" s="3585"/>
      <c r="Q54" s="3585"/>
      <c r="R54" s="3585"/>
      <c r="S54" s="3585"/>
      <c r="T54" s="3585"/>
      <c r="U54" s="3585"/>
      <c r="V54" s="3585"/>
      <c r="W54" s="3585"/>
      <c r="X54" s="3585"/>
      <c r="Y54" s="3585"/>
      <c r="Z54" s="3585"/>
      <c r="AA54" s="3585"/>
      <c r="AB54" s="3585"/>
      <c r="AC54" s="3585"/>
    </row>
    <row r="55" spans="1:29" s="3586" customFormat="1">
      <c r="A55" s="3585"/>
      <c r="B55" s="3587"/>
      <c r="C55" s="3588"/>
      <c r="D55" s="3585"/>
      <c r="E55" s="3585"/>
      <c r="F55" s="3585"/>
      <c r="G55" s="3585"/>
      <c r="H55" s="3585"/>
      <c r="I55" s="3585"/>
      <c r="J55" s="3585"/>
      <c r="K55" s="3589"/>
      <c r="L55" s="3584"/>
      <c r="M55" s="3585"/>
      <c r="N55" s="3585"/>
      <c r="O55" s="3585"/>
      <c r="P55" s="3585"/>
      <c r="Q55" s="3585"/>
      <c r="R55" s="3585"/>
      <c r="S55" s="3585"/>
      <c r="T55" s="3585"/>
      <c r="U55" s="3585"/>
      <c r="V55" s="3585"/>
      <c r="W55" s="3585"/>
      <c r="X55" s="3585"/>
      <c r="Y55" s="3585"/>
      <c r="Z55" s="3585"/>
      <c r="AA55" s="3585"/>
      <c r="AB55" s="3585"/>
      <c r="AC55" s="3585"/>
    </row>
    <row r="56" spans="1:29">
      <c r="A56" s="3418"/>
      <c r="B56" s="3587"/>
      <c r="C56" s="3588"/>
      <c r="D56" s="3418"/>
      <c r="E56" s="3418"/>
      <c r="F56" s="3418"/>
      <c r="G56" s="3418"/>
      <c r="H56" s="3418"/>
      <c r="I56" s="3418"/>
      <c r="J56" s="3418"/>
      <c r="K56" s="3590"/>
      <c r="L56" s="3576"/>
      <c r="M56" s="3418"/>
      <c r="N56" s="3418"/>
      <c r="O56" s="3418"/>
      <c r="P56" s="3418"/>
      <c r="Q56" s="3418"/>
      <c r="R56" s="3418"/>
      <c r="S56" s="3418"/>
      <c r="T56" s="3418"/>
      <c r="U56" s="3418"/>
      <c r="V56" s="3418"/>
      <c r="W56" s="3418"/>
      <c r="X56" s="3418"/>
      <c r="Y56" s="3418"/>
      <c r="Z56" s="3418"/>
      <c r="AA56" s="3418"/>
      <c r="AB56" s="3418"/>
      <c r="AC56" s="3418"/>
    </row>
    <row r="57" spans="1:29" ht="21.75" thickBot="1">
      <c r="A57" s="3591" t="s">
        <v>566</v>
      </c>
      <c r="B57" s="3490"/>
      <c r="C57" s="3592"/>
      <c r="D57" s="3592"/>
      <c r="E57" s="3592"/>
      <c r="F57" s="3593"/>
      <c r="G57" s="3593"/>
      <c r="H57" s="3592"/>
      <c r="I57" s="3592"/>
      <c r="J57" s="3592"/>
      <c r="K57" s="3594"/>
      <c r="L57" s="3595"/>
      <c r="M57" s="3592"/>
      <c r="N57" s="3596"/>
      <c r="O57" s="3596"/>
      <c r="P57" s="3596"/>
      <c r="Q57" s="3597"/>
      <c r="R57" s="3418"/>
      <c r="S57" s="3418"/>
      <c r="T57" s="3418"/>
      <c r="U57" s="3418"/>
      <c r="V57" s="3418"/>
      <c r="W57" s="3418"/>
      <c r="X57" s="3418"/>
      <c r="Y57" s="3418"/>
      <c r="Z57" s="3418"/>
      <c r="AA57" s="3418"/>
      <c r="AB57" s="3418"/>
      <c r="AC57" s="3418"/>
    </row>
    <row r="58" spans="1:29" s="3603" customFormat="1" ht="15">
      <c r="A58" s="3598" t="s">
        <v>521</v>
      </c>
      <c r="B58" s="3599"/>
      <c r="C58" s="3600" t="str">
        <f>YEAR(C7)&amp;"-"&amp;MONTH(C7)</f>
        <v>2021-10</v>
      </c>
      <c r="D58" s="3601">
        <f>EDATE(C58,-1)</f>
        <v>44440</v>
      </c>
      <c r="E58" s="3601">
        <f t="shared" ref="E58:O58" si="16">EDATE(D58,-1)</f>
        <v>44409</v>
      </c>
      <c r="F58" s="3601">
        <f t="shared" si="16"/>
        <v>44378</v>
      </c>
      <c r="G58" s="3601">
        <f t="shared" si="16"/>
        <v>44348</v>
      </c>
      <c r="H58" s="3601">
        <f t="shared" si="16"/>
        <v>44317</v>
      </c>
      <c r="I58" s="3601">
        <f t="shared" si="16"/>
        <v>44287</v>
      </c>
      <c r="J58" s="3601">
        <f t="shared" si="16"/>
        <v>44256</v>
      </c>
      <c r="K58" s="3601">
        <f t="shared" si="16"/>
        <v>44228</v>
      </c>
      <c r="L58" s="3601">
        <f t="shared" si="16"/>
        <v>44197</v>
      </c>
      <c r="M58" s="3601">
        <f t="shared" si="16"/>
        <v>44166</v>
      </c>
      <c r="N58" s="3601">
        <f t="shared" si="16"/>
        <v>44136</v>
      </c>
      <c r="O58" s="3601">
        <f t="shared" si="16"/>
        <v>44105</v>
      </c>
      <c r="P58" s="3602"/>
      <c r="Q58" s="3602"/>
      <c r="R58" s="3602"/>
      <c r="S58" s="3602"/>
      <c r="T58" s="3602"/>
      <c r="U58" s="3602"/>
      <c r="V58" s="3602"/>
      <c r="W58" s="3602"/>
      <c r="X58" s="3602"/>
      <c r="Y58" s="3602"/>
      <c r="Z58" s="3602"/>
      <c r="AA58" s="3602"/>
      <c r="AB58" s="3602"/>
      <c r="AC58" s="3602"/>
    </row>
    <row r="59" spans="1:29" s="3438" customFormat="1" ht="15">
      <c r="A59" s="3604"/>
      <c r="B59" s="3605"/>
      <c r="C59" s="3606">
        <v>100</v>
      </c>
      <c r="D59" s="3607">
        <v>100</v>
      </c>
      <c r="E59" s="3607"/>
      <c r="F59" s="3607"/>
      <c r="G59" s="3607"/>
      <c r="H59" s="3607"/>
      <c r="I59" s="3607"/>
      <c r="J59" s="3607"/>
      <c r="K59" s="3607"/>
      <c r="L59" s="3607"/>
      <c r="M59" s="3608"/>
      <c r="N59" s="3607"/>
      <c r="O59" s="3609"/>
      <c r="P59" s="3597"/>
      <c r="Q59" s="3433"/>
      <c r="R59" s="3433"/>
      <c r="S59" s="3433"/>
      <c r="T59" s="3433"/>
      <c r="U59" s="3433"/>
      <c r="V59" s="3433"/>
      <c r="W59" s="3433"/>
      <c r="X59" s="3433"/>
      <c r="Y59" s="3433"/>
      <c r="Z59" s="3433"/>
      <c r="AA59" s="3433"/>
      <c r="AB59" s="3433"/>
      <c r="AC59" s="3433"/>
    </row>
    <row r="60" spans="1:29" s="3438" customFormat="1" ht="15.75" thickBot="1">
      <c r="A60" s="3610" t="s">
        <v>3192</v>
      </c>
      <c r="B60" s="3611"/>
      <c r="C60" s="3612"/>
      <c r="D60" s="3613"/>
      <c r="E60" s="3613"/>
      <c r="F60" s="3613"/>
      <c r="G60" s="3613"/>
      <c r="H60" s="3613"/>
      <c r="I60" s="3613"/>
      <c r="J60" s="3613"/>
      <c r="K60" s="3613"/>
      <c r="L60" s="3613"/>
      <c r="M60" s="3614"/>
      <c r="N60" s="3613"/>
      <c r="O60" s="3615"/>
      <c r="P60" s="3597"/>
      <c r="Q60" s="3597"/>
      <c r="R60" s="3433"/>
      <c r="S60" s="3433"/>
      <c r="T60" s="3433"/>
      <c r="U60" s="3433"/>
      <c r="V60" s="3433"/>
      <c r="W60" s="3433"/>
      <c r="X60" s="3433"/>
      <c r="Y60" s="3433"/>
      <c r="Z60" s="3433"/>
      <c r="AA60" s="3433"/>
      <c r="AB60" s="3433"/>
      <c r="AC60" s="3433"/>
    </row>
    <row r="61" spans="1:29" s="3438" customFormat="1" ht="15">
      <c r="A61" s="3616" t="s">
        <v>523</v>
      </c>
      <c r="B61" s="3605"/>
      <c r="C61" s="3617" t="s">
        <v>3182</v>
      </c>
      <c r="D61" s="3618"/>
      <c r="E61" s="3618"/>
      <c r="F61" s="3618"/>
      <c r="G61" s="3618"/>
      <c r="H61" s="3618"/>
      <c r="I61" s="3618"/>
      <c r="J61" s="3618"/>
      <c r="K61" s="3618"/>
      <c r="L61" s="3619"/>
      <c r="M61" s="3620"/>
      <c r="N61" s="3621"/>
      <c r="O61" s="3621"/>
      <c r="P61" s="3622"/>
      <c r="Q61" s="3597"/>
      <c r="R61" s="3433"/>
      <c r="S61" s="3433"/>
      <c r="T61" s="3433"/>
      <c r="U61" s="3433"/>
      <c r="V61" s="3433"/>
      <c r="W61" s="3433"/>
      <c r="X61" s="3433"/>
      <c r="Y61" s="3433"/>
      <c r="Z61" s="3433"/>
      <c r="AA61" s="3433"/>
      <c r="AB61" s="3433"/>
      <c r="AC61" s="3433"/>
    </row>
    <row r="62" spans="1:29" s="3438" customFormat="1" ht="15.75" thickBot="1">
      <c r="A62" s="3616"/>
      <c r="B62" s="3605"/>
      <c r="C62" s="3623">
        <v>100</v>
      </c>
      <c r="D62" s="3607"/>
      <c r="E62" s="3607"/>
      <c r="F62" s="3607"/>
      <c r="G62" s="3607"/>
      <c r="H62" s="3607"/>
      <c r="I62" s="3607"/>
      <c r="J62" s="3607"/>
      <c r="K62" s="3607"/>
      <c r="L62" s="3607"/>
      <c r="M62" s="3609"/>
      <c r="N62" s="3621"/>
      <c r="O62" s="3621"/>
      <c r="P62" s="3597"/>
      <c r="Q62" s="3597"/>
      <c r="R62" s="3433"/>
      <c r="S62" s="3433"/>
      <c r="T62" s="3433"/>
      <c r="U62" s="3433"/>
      <c r="V62" s="3433"/>
      <c r="W62" s="3433"/>
      <c r="X62" s="3433"/>
      <c r="Y62" s="3433"/>
      <c r="Z62" s="3433"/>
      <c r="AA62" s="3433"/>
      <c r="AB62" s="3433"/>
      <c r="AC62" s="3624"/>
    </row>
    <row r="63" spans="1:29">
      <c r="A63" s="3625" t="s">
        <v>569</v>
      </c>
      <c r="B63" s="3626" t="s">
        <v>526</v>
      </c>
      <c r="C63" s="3627">
        <f>C9</f>
        <v>0</v>
      </c>
      <c r="D63" s="3628"/>
      <c r="E63" s="3628"/>
      <c r="F63" s="3628"/>
      <c r="G63" s="3628"/>
      <c r="H63" s="3628"/>
      <c r="I63" s="3628"/>
      <c r="J63" s="3628"/>
      <c r="K63" s="3629"/>
      <c r="L63" s="3630"/>
      <c r="M63" s="3631"/>
      <c r="N63" s="3632"/>
      <c r="O63" s="3632"/>
      <c r="P63" s="3621"/>
      <c r="Q63" s="3597"/>
      <c r="R63" s="3418"/>
      <c r="S63" s="3418"/>
      <c r="T63" s="3418"/>
      <c r="U63" s="3418"/>
      <c r="V63" s="3418"/>
      <c r="W63" s="3418"/>
      <c r="X63" s="3418"/>
      <c r="Y63" s="3418"/>
      <c r="Z63" s="3418"/>
      <c r="AA63" s="3418"/>
      <c r="AB63" s="3418"/>
      <c r="AC63" s="3418"/>
    </row>
    <row r="64" spans="1:29" ht="15.75" thickBot="1">
      <c r="A64" s="3489"/>
      <c r="B64" s="3633"/>
      <c r="C64" s="3634"/>
      <c r="D64" s="3634"/>
      <c r="E64" s="3634"/>
      <c r="F64" s="3634"/>
      <c r="G64" s="3634"/>
      <c r="H64" s="3634"/>
      <c r="I64" s="3634"/>
      <c r="J64" s="3634"/>
      <c r="K64" s="3634"/>
      <c r="L64" s="3634"/>
      <c r="M64" s="3635"/>
      <c r="N64" s="3636"/>
      <c r="O64" s="3636"/>
      <c r="P64" s="3621"/>
      <c r="Q64" s="3597"/>
      <c r="R64" s="3418"/>
      <c r="S64" s="3418"/>
      <c r="T64" s="3418"/>
      <c r="U64" s="3418"/>
      <c r="V64" s="3418"/>
      <c r="W64" s="3418"/>
      <c r="X64" s="3418"/>
      <c r="Y64" s="3418"/>
      <c r="Z64" s="3418"/>
      <c r="AA64" s="3418"/>
      <c r="AB64" s="3418"/>
      <c r="AC64" s="3418"/>
    </row>
    <row r="65" spans="1:29" ht="27.75" thickTop="1">
      <c r="A65" s="3489"/>
      <c r="B65" s="3637" t="s">
        <v>529</v>
      </c>
      <c r="C65" s="3638" t="s">
        <v>3193</v>
      </c>
      <c r="D65" s="3638" t="s">
        <v>3194</v>
      </c>
      <c r="E65" s="3638" t="s">
        <v>3195</v>
      </c>
      <c r="F65" s="3638" t="s">
        <v>3196</v>
      </c>
      <c r="G65" s="3638" t="s">
        <v>3197</v>
      </c>
      <c r="H65" s="3638" t="s">
        <v>3198</v>
      </c>
      <c r="I65" s="3638" t="s">
        <v>3199</v>
      </c>
      <c r="J65" s="3638"/>
      <c r="K65" s="3639"/>
      <c r="L65" s="3640"/>
      <c r="M65" s="3641"/>
      <c r="N65" s="3632"/>
      <c r="O65" s="3632"/>
      <c r="P65" s="3621"/>
      <c r="Q65" s="3597"/>
      <c r="R65" s="3418"/>
      <c r="S65" s="3418"/>
      <c r="T65" s="3418"/>
      <c r="U65" s="3418"/>
      <c r="V65" s="3418"/>
      <c r="W65" s="3418"/>
      <c r="X65" s="3418"/>
      <c r="Y65" s="3418"/>
      <c r="Z65" s="3418"/>
      <c r="AA65" s="3418"/>
      <c r="AB65" s="3418"/>
      <c r="AC65" s="3418"/>
    </row>
    <row r="66" spans="1:29" ht="15.75" thickBot="1">
      <c r="A66" s="3489"/>
      <c r="B66" s="3642"/>
      <c r="C66" s="3643" t="s">
        <v>2279</v>
      </c>
      <c r="D66" s="3643" t="s">
        <v>2279</v>
      </c>
      <c r="E66" s="3643" t="s">
        <v>2279</v>
      </c>
      <c r="F66" s="3643">
        <v>100</v>
      </c>
      <c r="G66" s="3643">
        <f>F66-$K10</f>
        <v>98</v>
      </c>
      <c r="H66" s="3643">
        <f>G66-$K10</f>
        <v>96</v>
      </c>
      <c r="I66" s="3643">
        <f>H66-$K10</f>
        <v>94</v>
      </c>
      <c r="J66" s="3643"/>
      <c r="K66" s="3643"/>
      <c r="L66" s="3643"/>
      <c r="M66" s="3644"/>
      <c r="N66" s="3636"/>
      <c r="O66" s="3636"/>
      <c r="P66" s="3621"/>
      <c r="Q66" s="3597"/>
      <c r="R66" s="3418"/>
      <c r="S66" s="3418"/>
      <c r="T66" s="3418"/>
      <c r="U66" s="3418"/>
      <c r="V66" s="3418"/>
      <c r="W66" s="3418"/>
      <c r="X66" s="3418"/>
      <c r="Y66" s="3418"/>
      <c r="Z66" s="3418"/>
      <c r="AA66" s="3418"/>
      <c r="AB66" s="3418"/>
      <c r="AC66" s="3418"/>
    </row>
    <row r="67" spans="1:29" ht="15.75" thickTop="1">
      <c r="A67" s="3489"/>
      <c r="B67" s="3645" t="s">
        <v>530</v>
      </c>
      <c r="C67" s="3646" t="str">
        <f>C68&amp;"（含）"&amp;"-"&amp;D68</f>
        <v>0（含）-1</v>
      </c>
      <c r="D67" s="3646" t="str">
        <f t="shared" ref="D67:L67" si="17">D68&amp;"（含）"&amp;"-"&amp;E68</f>
        <v>1（含）-2</v>
      </c>
      <c r="E67" s="3646" t="str">
        <f t="shared" si="17"/>
        <v>2（含）-</v>
      </c>
      <c r="F67" s="3646" t="str">
        <f t="shared" si="17"/>
        <v>（含）-</v>
      </c>
      <c r="G67" s="3646" t="str">
        <f t="shared" si="17"/>
        <v>（含）-</v>
      </c>
      <c r="H67" s="3646" t="str">
        <f t="shared" si="17"/>
        <v>（含）-</v>
      </c>
      <c r="I67" s="3646" t="str">
        <f t="shared" si="17"/>
        <v>（含）-</v>
      </c>
      <c r="J67" s="3646" t="str">
        <f t="shared" si="17"/>
        <v>（含）-</v>
      </c>
      <c r="K67" s="3646" t="str">
        <f t="shared" si="17"/>
        <v>（含）-</v>
      </c>
      <c r="L67" s="3646" t="str">
        <f t="shared" si="17"/>
        <v>（含）-</v>
      </c>
      <c r="M67" s="3492" t="str">
        <f>M68&amp;"（含）"&amp;"-"&amp;P68</f>
        <v>（含）-</v>
      </c>
      <c r="N67" s="3636"/>
      <c r="O67" s="3636"/>
      <c r="P67" s="3621"/>
      <c r="Q67" s="3597"/>
      <c r="R67" s="3418"/>
      <c r="S67" s="3418"/>
      <c r="T67" s="3418"/>
      <c r="U67" s="3418"/>
      <c r="V67" s="3418"/>
      <c r="W67" s="3418"/>
      <c r="X67" s="3418"/>
      <c r="Y67" s="3418"/>
      <c r="Z67" s="3418"/>
      <c r="AA67" s="3418"/>
      <c r="AB67" s="3418"/>
      <c r="AC67" s="3418"/>
    </row>
    <row r="68" spans="1:29" ht="15">
      <c r="A68" s="3489"/>
      <c r="B68" s="3647"/>
      <c r="C68" s="3648">
        <v>0</v>
      </c>
      <c r="D68" s="3648">
        <v>1</v>
      </c>
      <c r="E68" s="3648">
        <v>2</v>
      </c>
      <c r="F68" s="3648"/>
      <c r="G68" s="3648"/>
      <c r="H68" s="3648"/>
      <c r="I68" s="3648"/>
      <c r="J68" s="3648"/>
      <c r="K68" s="3649"/>
      <c r="L68" s="3650"/>
      <c r="M68" s="3651"/>
      <c r="N68" s="3632"/>
      <c r="O68" s="3632"/>
      <c r="P68" s="3621"/>
      <c r="Q68" s="3597"/>
      <c r="R68" s="3418"/>
      <c r="S68" s="3418"/>
      <c r="T68" s="3418"/>
      <c r="U68" s="3418"/>
      <c r="V68" s="3418"/>
      <c r="W68" s="3418"/>
      <c r="X68" s="3418"/>
      <c r="Y68" s="3418"/>
      <c r="Z68" s="3418"/>
      <c r="AA68" s="3418"/>
      <c r="AB68" s="3418"/>
      <c r="AC68" s="3418"/>
    </row>
    <row r="69" spans="1:29" ht="15.75" thickBot="1">
      <c r="A69" s="3489"/>
      <c r="B69" s="3633"/>
      <c r="C69" s="3643">
        <v>100</v>
      </c>
      <c r="D69" s="3643">
        <f t="shared" ref="D69:M69" si="18">C69-$K11</f>
        <v>100</v>
      </c>
      <c r="E69" s="3643">
        <f t="shared" si="18"/>
        <v>100</v>
      </c>
      <c r="F69" s="3643">
        <f t="shared" si="18"/>
        <v>100</v>
      </c>
      <c r="G69" s="3643">
        <f t="shared" si="18"/>
        <v>100</v>
      </c>
      <c r="H69" s="3643">
        <f t="shared" si="18"/>
        <v>100</v>
      </c>
      <c r="I69" s="3643">
        <f t="shared" si="18"/>
        <v>100</v>
      </c>
      <c r="J69" s="3643">
        <f t="shared" si="18"/>
        <v>100</v>
      </c>
      <c r="K69" s="3643">
        <f t="shared" si="18"/>
        <v>100</v>
      </c>
      <c r="L69" s="3643">
        <f t="shared" si="18"/>
        <v>100</v>
      </c>
      <c r="M69" s="3644">
        <f t="shared" si="18"/>
        <v>100</v>
      </c>
      <c r="N69" s="3636"/>
      <c r="O69" s="3636"/>
      <c r="P69" s="3621"/>
      <c r="Q69" s="3597"/>
      <c r="R69" s="3418"/>
      <c r="S69" s="3418"/>
      <c r="T69" s="3418"/>
      <c r="U69" s="3418"/>
      <c r="V69" s="3418"/>
      <c r="W69" s="3418"/>
      <c r="X69" s="3418"/>
      <c r="Y69" s="3418"/>
      <c r="Z69" s="3418"/>
      <c r="AA69" s="3418"/>
      <c r="AB69" s="3418"/>
      <c r="AC69" s="3418"/>
    </row>
    <row r="70" spans="1:29" s="3540" customFormat="1" ht="15.75" thickTop="1">
      <c r="A70" s="3652"/>
      <c r="B70" s="3637">
        <f>B12</f>
        <v>111</v>
      </c>
      <c r="C70" s="3653"/>
      <c r="D70" s="3653"/>
      <c r="E70" s="3653"/>
      <c r="F70" s="3653"/>
      <c r="G70" s="3653"/>
      <c r="H70" s="3654"/>
      <c r="I70" s="3654"/>
      <c r="J70" s="3654"/>
      <c r="K70" s="3654"/>
      <c r="L70" s="3655"/>
      <c r="M70" s="3656"/>
      <c r="N70" s="3657"/>
      <c r="O70" s="3657"/>
      <c r="P70" s="3657"/>
      <c r="Q70" s="3658"/>
      <c r="R70" s="3533"/>
      <c r="S70" s="3533"/>
      <c r="T70" s="3533"/>
      <c r="U70" s="3533"/>
      <c r="V70" s="3533"/>
      <c r="W70" s="3533"/>
      <c r="X70" s="3533"/>
      <c r="Y70" s="3533"/>
      <c r="Z70" s="3533"/>
      <c r="AA70" s="3533"/>
      <c r="AB70" s="3533"/>
      <c r="AC70" s="3533"/>
    </row>
    <row r="71" spans="1:29" s="3540" customFormat="1" ht="15.75" thickBot="1">
      <c r="A71" s="3652"/>
      <c r="B71" s="3642"/>
      <c r="C71" s="3659"/>
      <c r="D71" s="3634"/>
      <c r="E71" s="3634"/>
      <c r="F71" s="3634"/>
      <c r="G71" s="3634"/>
      <c r="H71" s="3634"/>
      <c r="I71" s="3634"/>
      <c r="J71" s="3634"/>
      <c r="K71" s="3634"/>
      <c r="L71" s="3634"/>
      <c r="M71" s="3635"/>
      <c r="N71" s="3636"/>
      <c r="O71" s="3636"/>
      <c r="P71" s="3657"/>
      <c r="Q71" s="3658"/>
      <c r="R71" s="3533"/>
      <c r="S71" s="3533"/>
      <c r="T71" s="3533"/>
      <c r="U71" s="3533"/>
      <c r="V71" s="3533"/>
      <c r="W71" s="3533"/>
      <c r="X71" s="3533"/>
      <c r="Y71" s="3533"/>
      <c r="Z71" s="3533"/>
      <c r="AA71" s="3533"/>
      <c r="AB71" s="3533"/>
      <c r="AC71" s="3533"/>
    </row>
    <row r="72" spans="1:29" s="3540" customFormat="1" ht="15.75" thickTop="1">
      <c r="A72" s="3652"/>
      <c r="B72" s="3637">
        <f>B13</f>
        <v>111</v>
      </c>
      <c r="C72" s="3653"/>
      <c r="D72" s="3653"/>
      <c r="E72" s="3653"/>
      <c r="F72" s="3653"/>
      <c r="G72" s="3653"/>
      <c r="H72" s="3654"/>
      <c r="I72" s="3654"/>
      <c r="J72" s="3654"/>
      <c r="K72" s="3654"/>
      <c r="L72" s="3655"/>
      <c r="M72" s="3656"/>
      <c r="N72" s="3657"/>
      <c r="O72" s="3657"/>
      <c r="P72" s="3533"/>
      <c r="Q72" s="3660"/>
      <c r="R72" s="3533"/>
      <c r="S72" s="3533"/>
      <c r="T72" s="3533"/>
      <c r="U72" s="3533"/>
      <c r="V72" s="3533"/>
      <c r="W72" s="3533"/>
      <c r="X72" s="3533"/>
      <c r="Y72" s="3533"/>
      <c r="Z72" s="3533"/>
      <c r="AA72" s="3533"/>
      <c r="AB72" s="3533"/>
      <c r="AC72" s="3533"/>
    </row>
    <row r="73" spans="1:29" s="3540" customFormat="1" ht="15.75" thickBot="1">
      <c r="A73" s="3652"/>
      <c r="B73" s="3642"/>
      <c r="C73" s="3659"/>
      <c r="D73" s="3634"/>
      <c r="E73" s="3634"/>
      <c r="F73" s="3634"/>
      <c r="G73" s="3659"/>
      <c r="H73" s="3661"/>
      <c r="I73" s="3661"/>
      <c r="J73" s="3661"/>
      <c r="K73" s="3661"/>
      <c r="L73" s="3661"/>
      <c r="M73" s="3662"/>
      <c r="N73" s="3657"/>
      <c r="O73" s="3657"/>
      <c r="P73" s="3657"/>
      <c r="Q73" s="3658"/>
      <c r="R73" s="3533"/>
      <c r="S73" s="3533"/>
      <c r="T73" s="3533"/>
      <c r="U73" s="3533"/>
      <c r="V73" s="3533"/>
      <c r="W73" s="3533"/>
      <c r="X73" s="3533"/>
      <c r="Y73" s="3533"/>
      <c r="Z73" s="3533"/>
      <c r="AA73" s="3533"/>
      <c r="AB73" s="3533"/>
      <c r="AC73" s="3533"/>
    </row>
    <row r="74" spans="1:29" s="3540" customFormat="1" ht="15.75" thickTop="1">
      <c r="A74" s="3652"/>
      <c r="B74" s="3645">
        <f>B14</f>
        <v>111</v>
      </c>
      <c r="C74" s="3653"/>
      <c r="D74" s="3653"/>
      <c r="E74" s="3653"/>
      <c r="F74" s="3653"/>
      <c r="G74" s="3618"/>
      <c r="H74" s="3663"/>
      <c r="I74" s="3663"/>
      <c r="J74" s="3663"/>
      <c r="K74" s="3663"/>
      <c r="L74" s="3664"/>
      <c r="M74" s="3665"/>
      <c r="N74" s="3657"/>
      <c r="O74" s="3657"/>
      <c r="P74" s="3666"/>
      <c r="Q74" s="3658"/>
      <c r="R74" s="3533"/>
      <c r="S74" s="3533"/>
      <c r="T74" s="3533"/>
      <c r="U74" s="3533"/>
      <c r="V74" s="3533"/>
      <c r="W74" s="3533"/>
      <c r="X74" s="3533"/>
      <c r="Y74" s="3533"/>
      <c r="Z74" s="3533"/>
      <c r="AA74" s="3533"/>
      <c r="AB74" s="3533"/>
      <c r="AC74" s="3533"/>
    </row>
    <row r="75" spans="1:29" s="3540" customFormat="1" ht="15.75" thickBot="1">
      <c r="A75" s="3667"/>
      <c r="B75" s="3668"/>
      <c r="C75" s="3669"/>
      <c r="D75" s="3669"/>
      <c r="E75" s="3669"/>
      <c r="F75" s="3669"/>
      <c r="G75" s="3669"/>
      <c r="H75" s="3670"/>
      <c r="I75" s="3670"/>
      <c r="J75" s="3670"/>
      <c r="K75" s="3670"/>
      <c r="L75" s="3670"/>
      <c r="M75" s="3671"/>
      <c r="N75" s="3657"/>
      <c r="O75" s="3657"/>
      <c r="P75" s="3657"/>
      <c r="Q75" s="3658"/>
      <c r="R75" s="3533"/>
      <c r="S75" s="3533"/>
      <c r="T75" s="3533"/>
      <c r="U75" s="3533"/>
      <c r="V75" s="3533"/>
      <c r="W75" s="3533"/>
      <c r="X75" s="3533"/>
      <c r="Y75" s="3533"/>
      <c r="Z75" s="3533"/>
      <c r="AA75" s="3533"/>
      <c r="AB75" s="3533"/>
      <c r="AC75" s="3533"/>
    </row>
    <row r="76" spans="1:29">
      <c r="A76" s="3625" t="s">
        <v>531</v>
      </c>
      <c r="B76" s="3626" t="s">
        <v>570</v>
      </c>
      <c r="C76" s="3672" t="s">
        <v>571</v>
      </c>
      <c r="D76" s="3672" t="s">
        <v>572</v>
      </c>
      <c r="E76" s="3672" t="s">
        <v>573</v>
      </c>
      <c r="F76" s="3672" t="s">
        <v>574</v>
      </c>
      <c r="G76" s="3672" t="s">
        <v>575</v>
      </c>
      <c r="H76" s="3627"/>
      <c r="I76" s="3627"/>
      <c r="J76" s="3627"/>
      <c r="K76" s="3673"/>
      <c r="L76" s="3674"/>
      <c r="M76" s="3675"/>
      <c r="N76" s="3632"/>
      <c r="O76" s="3632"/>
      <c r="P76" s="3676"/>
      <c r="Q76" s="3597"/>
      <c r="R76" s="3418"/>
      <c r="S76" s="3418"/>
      <c r="T76" s="3418"/>
      <c r="U76" s="3418"/>
      <c r="V76" s="3418"/>
      <c r="W76" s="3418"/>
      <c r="X76" s="3418"/>
      <c r="Y76" s="3418"/>
      <c r="Z76" s="3418"/>
      <c r="AA76" s="3418"/>
      <c r="AB76" s="3418"/>
      <c r="AC76" s="3418"/>
    </row>
    <row r="77" spans="1:29" ht="15.75" thickBot="1">
      <c r="A77" s="3489"/>
      <c r="B77" s="3642"/>
      <c r="C77" s="3643">
        <v>100</v>
      </c>
      <c r="D77" s="3643">
        <f>C77-$K15</f>
        <v>97</v>
      </c>
      <c r="E77" s="3643">
        <f>D77-$K15</f>
        <v>94</v>
      </c>
      <c r="F77" s="3643">
        <f>E77-$K15</f>
        <v>91</v>
      </c>
      <c r="G77" s="3643">
        <f>F77-$K15</f>
        <v>88</v>
      </c>
      <c r="H77" s="3643"/>
      <c r="I77" s="3643"/>
      <c r="J77" s="3643"/>
      <c r="K77" s="3643"/>
      <c r="L77" s="3643"/>
      <c r="M77" s="3644"/>
      <c r="N77" s="3636"/>
      <c r="O77" s="3636"/>
      <c r="P77" s="3621"/>
      <c r="Q77" s="3597"/>
      <c r="R77" s="3418"/>
      <c r="S77" s="3418"/>
      <c r="T77" s="3418"/>
      <c r="U77" s="3418"/>
      <c r="V77" s="3418"/>
      <c r="W77" s="3418"/>
      <c r="X77" s="3418"/>
      <c r="Y77" s="3418"/>
      <c r="Z77" s="3418"/>
      <c r="AA77" s="3418"/>
      <c r="AB77" s="3418"/>
      <c r="AC77" s="3418"/>
    </row>
    <row r="78" spans="1:29" ht="15.75" thickTop="1">
      <c r="A78" s="3489"/>
      <c r="B78" s="3637" t="s">
        <v>578</v>
      </c>
      <c r="C78" s="3677" t="s">
        <v>571</v>
      </c>
      <c r="D78" s="3677" t="s">
        <v>572</v>
      </c>
      <c r="E78" s="3677" t="s">
        <v>573</v>
      </c>
      <c r="F78" s="3677" t="s">
        <v>574</v>
      </c>
      <c r="G78" s="3677" t="s">
        <v>575</v>
      </c>
      <c r="H78" s="3638"/>
      <c r="I78" s="3638"/>
      <c r="J78" s="3638"/>
      <c r="K78" s="3639"/>
      <c r="L78" s="3640"/>
      <c r="M78" s="3641"/>
      <c r="N78" s="3632"/>
      <c r="O78" s="3632"/>
      <c r="P78" s="3621"/>
      <c r="Q78" s="3597"/>
      <c r="R78" s="3418"/>
      <c r="S78" s="3418"/>
      <c r="T78" s="3418"/>
      <c r="U78" s="3418"/>
      <c r="V78" s="3418"/>
      <c r="W78" s="3418"/>
      <c r="X78" s="3418"/>
      <c r="Y78" s="3418"/>
      <c r="Z78" s="3418"/>
      <c r="AA78" s="3418"/>
      <c r="AB78" s="3418"/>
      <c r="AC78" s="3418"/>
    </row>
    <row r="79" spans="1:29" ht="15.75" thickBot="1">
      <c r="A79" s="3489"/>
      <c r="B79" s="3642"/>
      <c r="C79" s="3643">
        <v>100</v>
      </c>
      <c r="D79" s="3643">
        <f>C79-$K17</f>
        <v>98</v>
      </c>
      <c r="E79" s="3643">
        <f>D79-$K17</f>
        <v>96</v>
      </c>
      <c r="F79" s="3643">
        <f>E79-$K17</f>
        <v>94</v>
      </c>
      <c r="G79" s="3643">
        <f>F79-$K17</f>
        <v>92</v>
      </c>
      <c r="H79" s="3643"/>
      <c r="I79" s="3643"/>
      <c r="J79" s="3643"/>
      <c r="K79" s="3643"/>
      <c r="L79" s="3643"/>
      <c r="M79" s="3644"/>
      <c r="N79" s="3636"/>
      <c r="O79" s="3636"/>
      <c r="P79" s="3621"/>
      <c r="Q79" s="3597"/>
      <c r="R79" s="3418"/>
      <c r="S79" s="3418"/>
      <c r="T79" s="3418"/>
      <c r="U79" s="3418"/>
      <c r="V79" s="3418"/>
      <c r="W79" s="3418"/>
      <c r="X79" s="3418"/>
      <c r="Y79" s="3418"/>
      <c r="Z79" s="3418"/>
      <c r="AA79" s="3418"/>
      <c r="AB79" s="3418"/>
      <c r="AC79" s="3418"/>
    </row>
    <row r="80" spans="1:29" ht="15.75" thickTop="1">
      <c r="A80" s="3489"/>
      <c r="B80" s="3678" t="s">
        <v>2302</v>
      </c>
      <c r="C80" s="3677" t="s">
        <v>571</v>
      </c>
      <c r="D80" s="3677" t="s">
        <v>572</v>
      </c>
      <c r="E80" s="3677" t="s">
        <v>573</v>
      </c>
      <c r="F80" s="3677" t="s">
        <v>574</v>
      </c>
      <c r="G80" s="3677" t="s">
        <v>575</v>
      </c>
      <c r="H80" s="3638"/>
      <c r="I80" s="3638"/>
      <c r="J80" s="3638"/>
      <c r="K80" s="3639"/>
      <c r="L80" s="3640"/>
      <c r="M80" s="3641"/>
      <c r="N80" s="3632"/>
      <c r="O80" s="3632"/>
      <c r="P80" s="3621"/>
      <c r="Q80" s="3597"/>
      <c r="R80" s="3418"/>
      <c r="S80" s="3418"/>
      <c r="T80" s="3418"/>
      <c r="U80" s="3418"/>
      <c r="V80" s="3418"/>
      <c r="W80" s="3418"/>
      <c r="X80" s="3418"/>
      <c r="Y80" s="3418"/>
      <c r="Z80" s="3418"/>
      <c r="AA80" s="3418"/>
      <c r="AB80" s="3418"/>
      <c r="AC80" s="3418"/>
    </row>
    <row r="81" spans="1:29" ht="15.75" thickBot="1">
      <c r="A81" s="3489"/>
      <c r="B81" s="3642"/>
      <c r="C81" s="3643">
        <v>100</v>
      </c>
      <c r="D81" s="3643">
        <f>C81-$K19</f>
        <v>98</v>
      </c>
      <c r="E81" s="3643">
        <f>D81-$K19</f>
        <v>96</v>
      </c>
      <c r="F81" s="3643">
        <f>E81-$K19</f>
        <v>94</v>
      </c>
      <c r="G81" s="3643">
        <f>F81-$K19</f>
        <v>92</v>
      </c>
      <c r="H81" s="3643"/>
      <c r="I81" s="3643"/>
      <c r="J81" s="3643"/>
      <c r="K81" s="3643"/>
      <c r="L81" s="3643"/>
      <c r="M81" s="3644"/>
      <c r="N81" s="3636"/>
      <c r="O81" s="3636"/>
      <c r="P81" s="3621"/>
      <c r="Q81" s="3597"/>
      <c r="R81" s="3418"/>
      <c r="S81" s="3418"/>
      <c r="T81" s="3418"/>
      <c r="U81" s="3418"/>
      <c r="V81" s="3418"/>
      <c r="W81" s="3418"/>
      <c r="X81" s="3418"/>
      <c r="Y81" s="3418"/>
      <c r="Z81" s="3418"/>
      <c r="AA81" s="3418"/>
      <c r="AB81" s="3418"/>
      <c r="AC81" s="3418"/>
    </row>
    <row r="82" spans="1:29" ht="15.75" thickTop="1">
      <c r="A82" s="3489"/>
      <c r="B82" s="3679" t="s">
        <v>3184</v>
      </c>
      <c r="C82" s="3680" t="s">
        <v>1970</v>
      </c>
      <c r="D82" s="3680" t="s">
        <v>1969</v>
      </c>
      <c r="E82" s="3680" t="s">
        <v>1968</v>
      </c>
      <c r="F82" s="3680" t="s">
        <v>1967</v>
      </c>
      <c r="G82" s="3680" t="s">
        <v>1966</v>
      </c>
      <c r="H82" s="3638"/>
      <c r="I82" s="3638"/>
      <c r="J82" s="3638"/>
      <c r="K82" s="3638"/>
      <c r="L82" s="3638"/>
      <c r="M82" s="3681"/>
      <c r="N82" s="3636"/>
      <c r="O82" s="3636"/>
      <c r="P82" s="3621"/>
      <c r="Q82" s="3597"/>
      <c r="R82" s="3418"/>
      <c r="S82" s="3418"/>
      <c r="T82" s="3418"/>
      <c r="U82" s="3418"/>
      <c r="V82" s="3418"/>
      <c r="W82" s="3418"/>
      <c r="X82" s="3418"/>
      <c r="Y82" s="3418"/>
      <c r="Z82" s="3418"/>
      <c r="AA82" s="3418"/>
      <c r="AB82" s="3418"/>
      <c r="AC82" s="3418"/>
    </row>
    <row r="83" spans="1:29" ht="15.75" thickBot="1">
      <c r="A83" s="3489"/>
      <c r="B83" s="3645"/>
      <c r="C83" s="3643">
        <v>100</v>
      </c>
      <c r="D83" s="3643">
        <f>C83-$K21</f>
        <v>100</v>
      </c>
      <c r="E83" s="3643">
        <f>D83-$K21</f>
        <v>100</v>
      </c>
      <c r="F83" s="3643">
        <f>E83-$K21</f>
        <v>100</v>
      </c>
      <c r="G83" s="3643">
        <f>F83-$K21</f>
        <v>100</v>
      </c>
      <c r="H83" s="3682"/>
      <c r="I83" s="3682"/>
      <c r="J83" s="3682"/>
      <c r="K83" s="3682"/>
      <c r="L83" s="3682"/>
      <c r="M83" s="3494"/>
      <c r="N83" s="3636"/>
      <c r="O83" s="3636"/>
      <c r="P83" s="3621"/>
      <c r="Q83" s="3597"/>
      <c r="R83" s="3418"/>
      <c r="S83" s="3418"/>
      <c r="T83" s="3418"/>
      <c r="U83" s="3418"/>
      <c r="V83" s="3418"/>
      <c r="W83" s="3418"/>
      <c r="X83" s="3418"/>
      <c r="Y83" s="3418"/>
      <c r="Z83" s="3418"/>
      <c r="AA83" s="3418"/>
      <c r="AB83" s="3418"/>
      <c r="AC83" s="3418"/>
    </row>
    <row r="84" spans="1:29" ht="15.75" thickTop="1">
      <c r="A84" s="3489"/>
      <c r="B84" s="3637" t="s">
        <v>736</v>
      </c>
      <c r="C84" s="3677" t="s">
        <v>571</v>
      </c>
      <c r="D84" s="3677" t="s">
        <v>572</v>
      </c>
      <c r="E84" s="3677" t="s">
        <v>573</v>
      </c>
      <c r="F84" s="3677" t="s">
        <v>574</v>
      </c>
      <c r="G84" s="3677" t="s">
        <v>575</v>
      </c>
      <c r="H84" s="3638"/>
      <c r="I84" s="3638"/>
      <c r="J84" s="3638"/>
      <c r="K84" s="3639"/>
      <c r="L84" s="3640"/>
      <c r="M84" s="3641"/>
      <c r="N84" s="3632"/>
      <c r="O84" s="3632"/>
      <c r="P84" s="3621"/>
      <c r="Q84" s="3597"/>
      <c r="R84" s="3418"/>
      <c r="S84" s="3418"/>
      <c r="T84" s="3418"/>
      <c r="U84" s="3418"/>
      <c r="V84" s="3418"/>
      <c r="W84" s="3418"/>
      <c r="X84" s="3418"/>
      <c r="Y84" s="3418"/>
      <c r="Z84" s="3418"/>
      <c r="AA84" s="3418"/>
      <c r="AB84" s="3418"/>
      <c r="AC84" s="3418"/>
    </row>
    <row r="85" spans="1:29" ht="15.75" thickBot="1">
      <c r="A85" s="3489"/>
      <c r="B85" s="3642"/>
      <c r="C85" s="3643">
        <v>100</v>
      </c>
      <c r="D85" s="3643">
        <f>C85-$K23</f>
        <v>99</v>
      </c>
      <c r="E85" s="3643">
        <f>D85-$K23</f>
        <v>98</v>
      </c>
      <c r="F85" s="3643">
        <f>E85-$K23</f>
        <v>97</v>
      </c>
      <c r="G85" s="3643">
        <f>F85-$K23</f>
        <v>96</v>
      </c>
      <c r="H85" s="3643"/>
      <c r="I85" s="3643"/>
      <c r="J85" s="3643"/>
      <c r="K85" s="3643"/>
      <c r="L85" s="3643"/>
      <c r="M85" s="3644"/>
      <c r="N85" s="3636"/>
      <c r="O85" s="3636"/>
      <c r="P85" s="3621"/>
      <c r="Q85" s="3597"/>
      <c r="R85" s="3418"/>
      <c r="S85" s="3418"/>
      <c r="T85" s="3418"/>
      <c r="U85" s="3418"/>
      <c r="V85" s="3418"/>
      <c r="W85" s="3418"/>
      <c r="X85" s="3418"/>
      <c r="Y85" s="3418"/>
      <c r="Z85" s="3418"/>
      <c r="AA85" s="3418"/>
      <c r="AB85" s="3418"/>
      <c r="AC85" s="3418"/>
    </row>
    <row r="86" spans="1:29" s="3438" customFormat="1" ht="15.75" thickTop="1">
      <c r="A86" s="3520"/>
      <c r="B86" s="3637" t="s">
        <v>763</v>
      </c>
      <c r="C86" s="3683" t="s">
        <v>3200</v>
      </c>
      <c r="D86" s="3683" t="s">
        <v>3201</v>
      </c>
      <c r="E86" s="3653"/>
      <c r="F86" s="3653"/>
      <c r="G86" s="3653"/>
      <c r="H86" s="3653"/>
      <c r="I86" s="3653"/>
      <c r="J86" s="3653"/>
      <c r="K86" s="3653"/>
      <c r="L86" s="3684"/>
      <c r="M86" s="3685"/>
      <c r="N86" s="3621"/>
      <c r="O86" s="3621"/>
      <c r="P86" s="3621"/>
      <c r="Q86" s="3597"/>
      <c r="R86" s="3433"/>
      <c r="S86" s="3433"/>
      <c r="T86" s="3433"/>
      <c r="U86" s="3433"/>
      <c r="V86" s="3433"/>
      <c r="W86" s="3433"/>
      <c r="X86" s="3433"/>
      <c r="Y86" s="3433"/>
      <c r="Z86" s="3433"/>
      <c r="AA86" s="3433"/>
      <c r="AB86" s="3433"/>
      <c r="AC86" s="3433"/>
    </row>
    <row r="87" spans="1:29" s="3438" customFormat="1" ht="15.75" thickBot="1">
      <c r="A87" s="3520"/>
      <c r="B87" s="3642"/>
      <c r="C87" s="3686">
        <v>100</v>
      </c>
      <c r="D87" s="3643">
        <f t="shared" ref="D87:M87" si="19">C87-$K25</f>
        <v>100</v>
      </c>
      <c r="E87" s="3643">
        <f t="shared" si="19"/>
        <v>100</v>
      </c>
      <c r="F87" s="3643">
        <f t="shared" si="19"/>
        <v>100</v>
      </c>
      <c r="G87" s="3643">
        <f t="shared" si="19"/>
        <v>100</v>
      </c>
      <c r="H87" s="3643">
        <f t="shared" si="19"/>
        <v>100</v>
      </c>
      <c r="I87" s="3643">
        <f t="shared" si="19"/>
        <v>100</v>
      </c>
      <c r="J87" s="3643">
        <f t="shared" si="19"/>
        <v>100</v>
      </c>
      <c r="K87" s="3643">
        <f t="shared" si="19"/>
        <v>100</v>
      </c>
      <c r="L87" s="3643">
        <f t="shared" si="19"/>
        <v>100</v>
      </c>
      <c r="M87" s="3643">
        <f t="shared" si="19"/>
        <v>100</v>
      </c>
      <c r="N87" s="3636"/>
      <c r="O87" s="3636"/>
      <c r="P87" s="3621"/>
      <c r="Q87" s="3597"/>
      <c r="R87" s="3433"/>
      <c r="S87" s="3433"/>
      <c r="T87" s="3433"/>
      <c r="U87" s="3433"/>
      <c r="V87" s="3433"/>
      <c r="W87" s="3433"/>
      <c r="X87" s="3433"/>
      <c r="Y87" s="3433"/>
      <c r="Z87" s="3433"/>
      <c r="AA87" s="3433"/>
      <c r="AB87" s="3433"/>
      <c r="AC87" s="3433"/>
    </row>
    <row r="88" spans="1:29" s="3438" customFormat="1" ht="15.75" thickTop="1">
      <c r="A88" s="3520"/>
      <c r="B88" s="3637" t="str">
        <f>B26</f>
        <v>平面位置/可视性</v>
      </c>
      <c r="C88" s="3653"/>
      <c r="D88" s="3653"/>
      <c r="E88" s="3653"/>
      <c r="F88" s="3687"/>
      <c r="G88" s="3653"/>
      <c r="H88" s="3653"/>
      <c r="I88" s="3653"/>
      <c r="J88" s="3653"/>
      <c r="K88" s="3653"/>
      <c r="L88" s="3653"/>
      <c r="M88" s="3685"/>
      <c r="N88" s="3621"/>
      <c r="O88" s="3621"/>
      <c r="P88" s="3621"/>
      <c r="Q88" s="3597"/>
      <c r="R88" s="3433"/>
      <c r="S88" s="3433"/>
      <c r="T88" s="3433"/>
      <c r="U88" s="3433"/>
      <c r="V88" s="3433"/>
      <c r="W88" s="3433"/>
      <c r="X88" s="3433"/>
      <c r="Y88" s="3433"/>
      <c r="Z88" s="3433"/>
      <c r="AA88" s="3433"/>
      <c r="AB88" s="3433"/>
      <c r="AC88" s="3433"/>
    </row>
    <row r="89" spans="1:29" s="3438" customFormat="1" ht="15.75" thickBot="1">
      <c r="A89" s="3520"/>
      <c r="B89" s="3642"/>
      <c r="C89" s="3659"/>
      <c r="D89" s="3634"/>
      <c r="E89" s="3634"/>
      <c r="F89" s="3634"/>
      <c r="G89" s="3634"/>
      <c r="H89" s="3634"/>
      <c r="I89" s="3634"/>
      <c r="J89" s="3634"/>
      <c r="K89" s="3634"/>
      <c r="L89" s="3634"/>
      <c r="M89" s="3634"/>
      <c r="N89" s="3636"/>
      <c r="O89" s="3636"/>
      <c r="P89" s="3621"/>
      <c r="Q89" s="3597"/>
      <c r="R89" s="3433"/>
      <c r="S89" s="3433"/>
      <c r="T89" s="3433"/>
      <c r="U89" s="3433"/>
      <c r="V89" s="3433"/>
      <c r="W89" s="3433"/>
      <c r="X89" s="3433"/>
      <c r="Y89" s="3433"/>
      <c r="Z89" s="3433"/>
      <c r="AA89" s="3433"/>
      <c r="AB89" s="3433"/>
      <c r="AC89" s="3433"/>
    </row>
    <row r="90" spans="1:29" s="3540" customFormat="1" ht="15.75" thickTop="1">
      <c r="A90" s="3652"/>
      <c r="B90" s="3637" t="str">
        <f>B27</f>
        <v>人流量</v>
      </c>
      <c r="C90" s="3683" t="s">
        <v>2483</v>
      </c>
      <c r="D90" s="3683" t="s">
        <v>3227</v>
      </c>
      <c r="E90" s="3683" t="s">
        <v>3202</v>
      </c>
      <c r="F90" s="3683" t="s">
        <v>3228</v>
      </c>
      <c r="G90" s="3683" t="s">
        <v>2485</v>
      </c>
      <c r="H90" s="3654"/>
      <c r="I90" s="3654"/>
      <c r="J90" s="3654"/>
      <c r="K90" s="3654"/>
      <c r="L90" s="3655"/>
      <c r="M90" s="3656"/>
      <c r="N90" s="3657"/>
      <c r="O90" s="3657"/>
      <c r="P90" s="3657"/>
      <c r="Q90" s="3658"/>
      <c r="R90" s="3533"/>
      <c r="S90" s="3533"/>
      <c r="T90" s="3533"/>
      <c r="U90" s="3533"/>
      <c r="V90" s="3533"/>
      <c r="W90" s="3533"/>
      <c r="X90" s="3533"/>
      <c r="Y90" s="3533"/>
      <c r="Z90" s="3533"/>
      <c r="AA90" s="3533"/>
      <c r="AB90" s="3533"/>
      <c r="AC90" s="3533"/>
    </row>
    <row r="91" spans="1:29" s="3540" customFormat="1" ht="15.75" thickBot="1">
      <c r="A91" s="3652"/>
      <c r="B91" s="3642"/>
      <c r="C91" s="3686">
        <v>100</v>
      </c>
      <c r="D91" s="3643">
        <f>C91-$K27</f>
        <v>99</v>
      </c>
      <c r="E91" s="3643">
        <f t="shared" ref="E91:M91" si="20">D91-$K27</f>
        <v>98</v>
      </c>
      <c r="F91" s="3643">
        <f t="shared" si="20"/>
        <v>97</v>
      </c>
      <c r="G91" s="3643">
        <f t="shared" si="20"/>
        <v>96</v>
      </c>
      <c r="H91" s="3643">
        <f t="shared" si="20"/>
        <v>95</v>
      </c>
      <c r="I91" s="3643">
        <f t="shared" si="20"/>
        <v>94</v>
      </c>
      <c r="J91" s="3643">
        <f t="shared" si="20"/>
        <v>93</v>
      </c>
      <c r="K91" s="3643">
        <f t="shared" si="20"/>
        <v>92</v>
      </c>
      <c r="L91" s="3643">
        <f t="shared" si="20"/>
        <v>91</v>
      </c>
      <c r="M91" s="3643">
        <f t="shared" si="20"/>
        <v>90</v>
      </c>
      <c r="N91" s="3657"/>
      <c r="O91" s="3657"/>
      <c r="P91" s="3657"/>
      <c r="Q91" s="3658"/>
      <c r="R91" s="3533"/>
      <c r="S91" s="3533"/>
      <c r="T91" s="3533"/>
      <c r="U91" s="3533"/>
      <c r="V91" s="3533"/>
      <c r="W91" s="3533"/>
      <c r="X91" s="3533"/>
      <c r="Y91" s="3533"/>
      <c r="Z91" s="3533"/>
      <c r="AA91" s="3533"/>
      <c r="AB91" s="3533"/>
      <c r="AC91" s="3533"/>
    </row>
    <row r="92" spans="1:29" ht="15.75" thickTop="1">
      <c r="A92" s="3489"/>
      <c r="B92" s="3637" t="str">
        <f>B28</f>
        <v>楼层</v>
      </c>
      <c r="C92" s="3653" t="s">
        <v>3203</v>
      </c>
      <c r="D92" s="3653" t="s">
        <v>3204</v>
      </c>
      <c r="E92" s="3653"/>
      <c r="F92" s="3653"/>
      <c r="G92" s="3653"/>
      <c r="H92" s="3653"/>
      <c r="I92" s="3653"/>
      <c r="J92" s="3653"/>
      <c r="K92" s="3653"/>
      <c r="L92" s="3684"/>
      <c r="M92" s="3685"/>
      <c r="N92" s="3632"/>
      <c r="O92" s="3632"/>
      <c r="P92" s="3621"/>
      <c r="Q92" s="3597"/>
      <c r="R92" s="3418"/>
      <c r="S92" s="3418"/>
      <c r="T92" s="3418"/>
      <c r="U92" s="3418"/>
      <c r="V92" s="3418"/>
      <c r="W92" s="3418"/>
      <c r="X92" s="3418"/>
      <c r="Y92" s="3418"/>
      <c r="Z92" s="3418"/>
      <c r="AA92" s="3418"/>
      <c r="AB92" s="3418"/>
      <c r="AC92" s="3418"/>
    </row>
    <row r="93" spans="1:29" ht="15.75" thickBot="1">
      <c r="A93" s="3489"/>
      <c r="B93" s="3642"/>
      <c r="C93" s="3634">
        <v>100</v>
      </c>
      <c r="D93" s="3634">
        <v>90</v>
      </c>
      <c r="E93" s="3634"/>
      <c r="F93" s="3634"/>
      <c r="G93" s="3634"/>
      <c r="H93" s="3634"/>
      <c r="I93" s="3634"/>
      <c r="J93" s="3634"/>
      <c r="K93" s="3634"/>
      <c r="L93" s="3634"/>
      <c r="M93" s="3635"/>
      <c r="N93" s="3636"/>
      <c r="O93" s="3636"/>
      <c r="P93" s="3621"/>
      <c r="Q93" s="3597"/>
      <c r="R93" s="3418"/>
      <c r="S93" s="3418"/>
      <c r="T93" s="3418"/>
      <c r="U93" s="3418"/>
      <c r="V93" s="3418"/>
      <c r="W93" s="3418"/>
      <c r="X93" s="3418"/>
      <c r="Y93" s="3418"/>
      <c r="Z93" s="3418"/>
      <c r="AA93" s="3418"/>
      <c r="AB93" s="3418"/>
      <c r="AC93" s="3418"/>
    </row>
    <row r="94" spans="1:29" ht="15.75" thickTop="1">
      <c r="A94" s="3489"/>
      <c r="B94" s="3637" t="str">
        <f>B29</f>
        <v xml:space="preserve">临街 </v>
      </c>
      <c r="C94" s="3653"/>
      <c r="D94" s="3653"/>
      <c r="E94" s="3653"/>
      <c r="F94" s="3653"/>
      <c r="G94" s="3688"/>
      <c r="H94" s="3688"/>
      <c r="I94" s="3688"/>
      <c r="J94" s="3688"/>
      <c r="K94" s="3689"/>
      <c r="L94" s="3690"/>
      <c r="M94" s="3691"/>
      <c r="N94" s="3632"/>
      <c r="O94" s="3632"/>
      <c r="P94" s="3621"/>
      <c r="Q94" s="3597"/>
      <c r="R94" s="3418"/>
      <c r="S94" s="3418"/>
      <c r="T94" s="3418"/>
      <c r="U94" s="3418"/>
      <c r="V94" s="3418"/>
      <c r="W94" s="3418"/>
      <c r="X94" s="3418"/>
      <c r="Y94" s="3418"/>
      <c r="Z94" s="3418"/>
      <c r="AA94" s="3418"/>
      <c r="AB94" s="3418"/>
      <c r="AC94" s="3418"/>
    </row>
    <row r="95" spans="1:29" ht="15.75" thickBot="1">
      <c r="A95" s="3489"/>
      <c r="B95" s="3642"/>
      <c r="C95" s="3659"/>
      <c r="D95" s="3634"/>
      <c r="E95" s="3634"/>
      <c r="F95" s="3634"/>
      <c r="G95" s="3634"/>
      <c r="H95" s="3634"/>
      <c r="I95" s="3634"/>
      <c r="J95" s="3634"/>
      <c r="K95" s="3634"/>
      <c r="L95" s="3634"/>
      <c r="M95" s="3635"/>
      <c r="N95" s="3636"/>
      <c r="O95" s="3636"/>
      <c r="P95" s="3621"/>
      <c r="Q95" s="3597"/>
      <c r="R95" s="3418"/>
      <c r="S95" s="3418"/>
      <c r="T95" s="3418"/>
      <c r="U95" s="3418"/>
      <c r="V95" s="3418"/>
      <c r="W95" s="3418"/>
      <c r="X95" s="3418"/>
      <c r="Y95" s="3418"/>
      <c r="Z95" s="3418"/>
      <c r="AA95" s="3418"/>
      <c r="AB95" s="3418"/>
      <c r="AC95" s="3418"/>
    </row>
    <row r="96" spans="1:29" ht="15.75" thickTop="1">
      <c r="A96" s="3489"/>
      <c r="B96" s="3637">
        <f>B30</f>
        <v>111</v>
      </c>
      <c r="C96" s="3653"/>
      <c r="D96" s="3653"/>
      <c r="E96" s="3653"/>
      <c r="F96" s="3653"/>
      <c r="G96" s="3688"/>
      <c r="H96" s="3688"/>
      <c r="I96" s="3688"/>
      <c r="J96" s="3688"/>
      <c r="K96" s="3689"/>
      <c r="L96" s="3690"/>
      <c r="M96" s="3691"/>
      <c r="N96" s="3632"/>
      <c r="O96" s="3632"/>
      <c r="P96" s="3621"/>
      <c r="Q96" s="3597"/>
      <c r="R96" s="3418"/>
      <c r="S96" s="3418"/>
      <c r="T96" s="3418"/>
      <c r="U96" s="3418"/>
      <c r="V96" s="3418"/>
      <c r="W96" s="3418"/>
      <c r="X96" s="3418"/>
      <c r="Y96" s="3418"/>
      <c r="Z96" s="3418"/>
      <c r="AA96" s="3418"/>
      <c r="AB96" s="3418"/>
      <c r="AC96" s="3418"/>
    </row>
    <row r="97" spans="1:29" ht="15.75" thickBot="1">
      <c r="A97" s="3489"/>
      <c r="B97" s="3642"/>
      <c r="C97" s="3659"/>
      <c r="D97" s="3634"/>
      <c r="E97" s="3634"/>
      <c r="F97" s="3634"/>
      <c r="G97" s="3634"/>
      <c r="H97" s="3634"/>
      <c r="I97" s="3634"/>
      <c r="J97" s="3634"/>
      <c r="K97" s="3634"/>
      <c r="L97" s="3634"/>
      <c r="M97" s="3635"/>
      <c r="N97" s="3636"/>
      <c r="O97" s="3636"/>
      <c r="P97" s="3621"/>
      <c r="Q97" s="3597"/>
      <c r="R97" s="3418"/>
      <c r="S97" s="3418"/>
      <c r="T97" s="3418"/>
      <c r="U97" s="3418"/>
      <c r="V97" s="3418"/>
      <c r="W97" s="3418"/>
      <c r="X97" s="3418"/>
      <c r="Y97" s="3418"/>
      <c r="Z97" s="3418"/>
      <c r="AA97" s="3418"/>
      <c r="AB97" s="3418"/>
      <c r="AC97" s="3418"/>
    </row>
    <row r="98" spans="1:29" ht="15.75" thickTop="1">
      <c r="A98" s="3489"/>
      <c r="B98" s="3645">
        <f>B31</f>
        <v>111</v>
      </c>
      <c r="C98" s="3653"/>
      <c r="D98" s="3653"/>
      <c r="E98" s="3653"/>
      <c r="F98" s="3653"/>
      <c r="G98" s="3692"/>
      <c r="H98" s="3692"/>
      <c r="I98" s="3692"/>
      <c r="J98" s="3692"/>
      <c r="K98" s="3693"/>
      <c r="L98" s="3694"/>
      <c r="M98" s="3695"/>
      <c r="N98" s="3632"/>
      <c r="O98" s="3632"/>
      <c r="P98" s="3621"/>
      <c r="Q98" s="3597"/>
      <c r="R98" s="3418"/>
      <c r="S98" s="3418"/>
      <c r="T98" s="3418"/>
      <c r="U98" s="3418"/>
      <c r="V98" s="3418"/>
      <c r="W98" s="3418"/>
      <c r="X98" s="3418"/>
      <c r="Y98" s="3418"/>
      <c r="Z98" s="3418"/>
      <c r="AA98" s="3418"/>
      <c r="AB98" s="3418"/>
      <c r="AC98" s="3418"/>
    </row>
    <row r="99" spans="1:29" ht="15.75" thickBot="1">
      <c r="A99" s="3525"/>
      <c r="B99" s="3668"/>
      <c r="C99" s="3669"/>
      <c r="D99" s="3669"/>
      <c r="E99" s="3669"/>
      <c r="F99" s="3669"/>
      <c r="G99" s="3696"/>
      <c r="H99" s="3696"/>
      <c r="I99" s="3696"/>
      <c r="J99" s="3696"/>
      <c r="K99" s="3696"/>
      <c r="L99" s="3696"/>
      <c r="M99" s="3697"/>
      <c r="N99" s="3636"/>
      <c r="O99" s="3636"/>
      <c r="P99" s="3621"/>
      <c r="Q99" s="3597"/>
      <c r="R99" s="3418"/>
      <c r="S99" s="3418"/>
      <c r="T99" s="3418"/>
      <c r="U99" s="3418"/>
      <c r="V99" s="3418"/>
      <c r="W99" s="3418"/>
      <c r="X99" s="3418"/>
      <c r="Y99" s="3418"/>
      <c r="Z99" s="3418"/>
      <c r="AA99" s="3418"/>
      <c r="AB99" s="3418"/>
      <c r="AC99" s="3418"/>
    </row>
    <row r="100" spans="1:29">
      <c r="A100" s="3625" t="s">
        <v>543</v>
      </c>
      <c r="B100" s="3626" t="s">
        <v>764</v>
      </c>
      <c r="C100" s="3698" t="s">
        <v>3205</v>
      </c>
      <c r="D100" s="3698" t="s">
        <v>3206</v>
      </c>
      <c r="E100" s="3628"/>
      <c r="F100" s="3628"/>
      <c r="G100" s="3628"/>
      <c r="H100" s="3628"/>
      <c r="I100" s="3628"/>
      <c r="J100" s="3628"/>
      <c r="K100" s="3629"/>
      <c r="L100" s="3630"/>
      <c r="M100" s="3631"/>
      <c r="N100" s="3632"/>
      <c r="O100" s="3632"/>
      <c r="P100" s="3621"/>
      <c r="Q100" s="3597"/>
      <c r="R100" s="3418"/>
      <c r="S100" s="3418"/>
      <c r="T100" s="3418"/>
      <c r="U100" s="3418"/>
      <c r="V100" s="3418"/>
      <c r="W100" s="3418"/>
      <c r="X100" s="3418"/>
      <c r="Y100" s="3418"/>
      <c r="Z100" s="3418"/>
      <c r="AA100" s="3418"/>
      <c r="AB100" s="3418"/>
      <c r="AC100" s="3418"/>
    </row>
    <row r="101" spans="1:29" ht="15.75" thickBot="1">
      <c r="A101" s="3489"/>
      <c r="B101" s="3642"/>
      <c r="C101" s="3643">
        <v>100</v>
      </c>
      <c r="D101" s="3643">
        <f t="shared" ref="D101:M101" si="21">C101-$K32</f>
        <v>99</v>
      </c>
      <c r="E101" s="3643">
        <f t="shared" si="21"/>
        <v>98</v>
      </c>
      <c r="F101" s="3643">
        <f t="shared" si="21"/>
        <v>97</v>
      </c>
      <c r="G101" s="3643">
        <f t="shared" si="21"/>
        <v>96</v>
      </c>
      <c r="H101" s="3643">
        <f t="shared" si="21"/>
        <v>95</v>
      </c>
      <c r="I101" s="3643">
        <f t="shared" si="21"/>
        <v>94</v>
      </c>
      <c r="J101" s="3643">
        <f t="shared" si="21"/>
        <v>93</v>
      </c>
      <c r="K101" s="3643">
        <f t="shared" si="21"/>
        <v>92</v>
      </c>
      <c r="L101" s="3643">
        <f t="shared" si="21"/>
        <v>91</v>
      </c>
      <c r="M101" s="3644">
        <f t="shared" si="21"/>
        <v>90</v>
      </c>
      <c r="N101" s="3636"/>
      <c r="O101" s="3636"/>
      <c r="P101" s="3621"/>
      <c r="Q101" s="3597"/>
      <c r="R101" s="3418"/>
      <c r="S101" s="3418"/>
      <c r="T101" s="3418"/>
      <c r="U101" s="3418"/>
      <c r="V101" s="3418"/>
      <c r="W101" s="3418"/>
      <c r="X101" s="3418"/>
      <c r="Y101" s="3418"/>
      <c r="Z101" s="3418"/>
      <c r="AA101" s="3418"/>
      <c r="AB101" s="3418"/>
      <c r="AC101" s="3418"/>
    </row>
    <row r="102" spans="1:29" ht="29.25" thickTop="1">
      <c r="A102" s="3489"/>
      <c r="B102" s="3637" t="s">
        <v>740</v>
      </c>
      <c r="C102" s="3677" t="str">
        <f>C103&amp;"(含)"&amp;"-"&amp;D103</f>
        <v>0(含)-500</v>
      </c>
      <c r="D102" s="3677" t="str">
        <f t="shared" ref="D102:L102" si="22">D103&amp;"(含)"&amp;"-"&amp;E103</f>
        <v>500(含)-2000</v>
      </c>
      <c r="E102" s="3677" t="str">
        <f t="shared" si="22"/>
        <v>2000(含)-5000</v>
      </c>
      <c r="F102" s="3677" t="str">
        <f t="shared" si="22"/>
        <v>5000(含)-10000</v>
      </c>
      <c r="G102" s="3677" t="str">
        <f t="shared" si="22"/>
        <v>10000(含)-</v>
      </c>
      <c r="H102" s="3677" t="str">
        <f t="shared" si="22"/>
        <v>(含)-</v>
      </c>
      <c r="I102" s="3677" t="str">
        <f t="shared" si="22"/>
        <v>(含)-</v>
      </c>
      <c r="J102" s="3677" t="str">
        <f t="shared" si="22"/>
        <v>(含)-</v>
      </c>
      <c r="K102" s="3677" t="str">
        <f t="shared" si="22"/>
        <v>(含)-</v>
      </c>
      <c r="L102" s="3677" t="str">
        <f t="shared" si="22"/>
        <v>(含)-</v>
      </c>
      <c r="M102" s="3699" t="str">
        <f>M103&amp;"(含)"&amp;"-"&amp;P103</f>
        <v>(含)-</v>
      </c>
      <c r="N102" s="3621"/>
      <c r="O102" s="3621"/>
      <c r="P102" s="3621"/>
      <c r="Q102" s="3597"/>
      <c r="R102" s="3418"/>
      <c r="S102" s="3418"/>
      <c r="T102" s="3418"/>
      <c r="U102" s="3418"/>
      <c r="V102" s="3418"/>
      <c r="W102" s="3418"/>
      <c r="X102" s="3418"/>
      <c r="Y102" s="3418"/>
      <c r="Z102" s="3418"/>
      <c r="AA102" s="3418"/>
      <c r="AB102" s="3418"/>
      <c r="AC102" s="3418"/>
    </row>
    <row r="103" spans="1:29" s="3540" customFormat="1">
      <c r="A103" s="3531"/>
      <c r="B103" s="3700"/>
      <c r="C103" s="3701">
        <v>0</v>
      </c>
      <c r="D103" s="3701">
        <v>500</v>
      </c>
      <c r="E103" s="3701">
        <v>2000</v>
      </c>
      <c r="F103" s="3701">
        <v>5000</v>
      </c>
      <c r="G103" s="3701">
        <v>10000</v>
      </c>
      <c r="H103" s="3701"/>
      <c r="I103" s="3701"/>
      <c r="J103" s="3702"/>
      <c r="K103" s="3702"/>
      <c r="L103" s="3703"/>
      <c r="M103" s="3704"/>
      <c r="N103" s="3657"/>
      <c r="O103" s="3657"/>
      <c r="P103" s="3657"/>
      <c r="Q103" s="3658"/>
      <c r="R103" s="3533"/>
      <c r="S103" s="3533"/>
      <c r="T103" s="3533"/>
      <c r="U103" s="3533"/>
      <c r="V103" s="3533"/>
      <c r="W103" s="3533"/>
      <c r="X103" s="3533"/>
      <c r="Y103" s="3533"/>
      <c r="Z103" s="3533"/>
      <c r="AA103" s="3533"/>
      <c r="AB103" s="3533"/>
      <c r="AC103" s="3533"/>
    </row>
    <row r="104" spans="1:29" s="3540" customFormat="1" ht="15.75" thickBot="1">
      <c r="A104" s="3652"/>
      <c r="B104" s="3642"/>
      <c r="C104" s="3659">
        <v>100</v>
      </c>
      <c r="D104" s="3634">
        <v>101</v>
      </c>
      <c r="E104" s="3634">
        <v>100</v>
      </c>
      <c r="F104" s="3634">
        <v>99</v>
      </c>
      <c r="G104" s="3634">
        <v>98</v>
      </c>
      <c r="H104" s="3634"/>
      <c r="I104" s="3634"/>
      <c r="J104" s="3634"/>
      <c r="K104" s="3634"/>
      <c r="L104" s="3634"/>
      <c r="M104" s="3635"/>
      <c r="N104" s="3636"/>
      <c r="O104" s="3636"/>
      <c r="P104" s="3657"/>
      <c r="Q104" s="3658"/>
      <c r="R104" s="3533"/>
      <c r="S104" s="3533"/>
      <c r="T104" s="3533"/>
      <c r="U104" s="3533"/>
      <c r="V104" s="3533"/>
      <c r="W104" s="3533"/>
      <c r="X104" s="3533"/>
      <c r="Y104" s="3533"/>
      <c r="Z104" s="3533"/>
      <c r="AA104" s="3533"/>
      <c r="AB104" s="3533"/>
      <c r="AC104" s="3533"/>
    </row>
    <row r="105" spans="1:29" ht="15" thickTop="1">
      <c r="A105" s="3541"/>
      <c r="B105" s="3637" t="s">
        <v>741</v>
      </c>
      <c r="C105" s="3653"/>
      <c r="D105" s="3653"/>
      <c r="E105" s="3688"/>
      <c r="F105" s="3688"/>
      <c r="G105" s="3688"/>
      <c r="H105" s="3688"/>
      <c r="I105" s="3688"/>
      <c r="J105" s="3688"/>
      <c r="K105" s="3689"/>
      <c r="L105" s="3690"/>
      <c r="M105" s="3691"/>
      <c r="N105" s="3632"/>
      <c r="O105" s="3632"/>
      <c r="P105" s="3621"/>
      <c r="Q105" s="3597"/>
      <c r="R105" s="3418"/>
      <c r="S105" s="3418"/>
      <c r="T105" s="3418"/>
      <c r="U105" s="3418"/>
      <c r="V105" s="3418"/>
      <c r="W105" s="3418"/>
      <c r="X105" s="3418"/>
      <c r="Y105" s="3418"/>
      <c r="Z105" s="3418"/>
      <c r="AA105" s="3418"/>
      <c r="AB105" s="3418"/>
      <c r="AC105" s="3418"/>
    </row>
    <row r="106" spans="1:29" ht="15.75" thickBot="1">
      <c r="A106" s="3489"/>
      <c r="B106" s="3642"/>
      <c r="C106" s="3643">
        <v>100</v>
      </c>
      <c r="D106" s="3643">
        <f t="shared" ref="D106:M106" si="23">C106-$K34</f>
        <v>100</v>
      </c>
      <c r="E106" s="3643">
        <f t="shared" si="23"/>
        <v>100</v>
      </c>
      <c r="F106" s="3643">
        <f t="shared" si="23"/>
        <v>100</v>
      </c>
      <c r="G106" s="3643">
        <f t="shared" si="23"/>
        <v>100</v>
      </c>
      <c r="H106" s="3643">
        <f t="shared" si="23"/>
        <v>100</v>
      </c>
      <c r="I106" s="3643">
        <f t="shared" si="23"/>
        <v>100</v>
      </c>
      <c r="J106" s="3643">
        <f t="shared" si="23"/>
        <v>100</v>
      </c>
      <c r="K106" s="3643">
        <f t="shared" si="23"/>
        <v>100</v>
      </c>
      <c r="L106" s="3643">
        <f t="shared" si="23"/>
        <v>100</v>
      </c>
      <c r="M106" s="3644">
        <f t="shared" si="23"/>
        <v>100</v>
      </c>
      <c r="N106" s="3636"/>
      <c r="O106" s="3636"/>
      <c r="P106" s="3621"/>
      <c r="Q106" s="3597"/>
      <c r="R106" s="3418"/>
      <c r="S106" s="3418"/>
      <c r="T106" s="3418"/>
      <c r="U106" s="3418"/>
      <c r="V106" s="3418"/>
      <c r="W106" s="3418"/>
      <c r="X106" s="3418"/>
      <c r="Y106" s="3418"/>
      <c r="Z106" s="3418"/>
      <c r="AA106" s="3418"/>
      <c r="AB106" s="3418"/>
      <c r="AC106" s="3418"/>
    </row>
    <row r="107" spans="1:29" ht="15" thickTop="1">
      <c r="A107" s="3541"/>
      <c r="B107" s="3637" t="s">
        <v>743</v>
      </c>
      <c r="C107" s="3653"/>
      <c r="D107" s="3653"/>
      <c r="E107" s="3653"/>
      <c r="F107" s="3688"/>
      <c r="G107" s="3688"/>
      <c r="H107" s="3688"/>
      <c r="I107" s="3688"/>
      <c r="J107" s="3688"/>
      <c r="K107" s="3689"/>
      <c r="L107" s="3690"/>
      <c r="M107" s="3691"/>
      <c r="N107" s="3632"/>
      <c r="O107" s="3632"/>
      <c r="P107" s="3621"/>
      <c r="Q107" s="3597"/>
      <c r="R107" s="3418"/>
      <c r="S107" s="3418"/>
      <c r="T107" s="3418"/>
      <c r="U107" s="3418"/>
      <c r="V107" s="3418"/>
      <c r="W107" s="3418"/>
      <c r="X107" s="3418"/>
      <c r="Y107" s="3418"/>
      <c r="Z107" s="3418"/>
      <c r="AA107" s="3418"/>
      <c r="AB107" s="3418"/>
      <c r="AC107" s="3418"/>
    </row>
    <row r="108" spans="1:29" ht="15.75" thickBot="1">
      <c r="A108" s="3489"/>
      <c r="B108" s="3642"/>
      <c r="C108" s="3643">
        <v>100</v>
      </c>
      <c r="D108" s="3643">
        <f t="shared" ref="D108:M108" si="24">C108-$K35</f>
        <v>100</v>
      </c>
      <c r="E108" s="3643">
        <f t="shared" si="24"/>
        <v>100</v>
      </c>
      <c r="F108" s="3643">
        <f t="shared" si="24"/>
        <v>100</v>
      </c>
      <c r="G108" s="3643">
        <f t="shared" si="24"/>
        <v>100</v>
      </c>
      <c r="H108" s="3643">
        <f t="shared" si="24"/>
        <v>100</v>
      </c>
      <c r="I108" s="3643">
        <f t="shared" si="24"/>
        <v>100</v>
      </c>
      <c r="J108" s="3643">
        <f t="shared" si="24"/>
        <v>100</v>
      </c>
      <c r="K108" s="3643">
        <f t="shared" si="24"/>
        <v>100</v>
      </c>
      <c r="L108" s="3643">
        <f t="shared" si="24"/>
        <v>100</v>
      </c>
      <c r="M108" s="3644">
        <f t="shared" si="24"/>
        <v>100</v>
      </c>
      <c r="N108" s="3636"/>
      <c r="O108" s="3636"/>
      <c r="P108" s="3621"/>
      <c r="Q108" s="3597"/>
      <c r="R108" s="3418"/>
      <c r="S108" s="3418"/>
      <c r="T108" s="3418"/>
      <c r="U108" s="3418"/>
      <c r="V108" s="3418"/>
      <c r="W108" s="3418"/>
      <c r="X108" s="3418"/>
      <c r="Y108" s="3418"/>
      <c r="Z108" s="3418"/>
      <c r="AA108" s="3418"/>
      <c r="AB108" s="3418"/>
      <c r="AC108" s="3418"/>
    </row>
    <row r="109" spans="1:29" ht="15" thickTop="1">
      <c r="A109" s="3541"/>
      <c r="B109" s="3637" t="s">
        <v>744</v>
      </c>
      <c r="C109" s="3677" t="str">
        <f>C110&amp;"(含)"&amp;"-"&amp;D110</f>
        <v>0.5(含)-0.6</v>
      </c>
      <c r="D109" s="3677" t="str">
        <f>D110&amp;"(含)"&amp;"-"&amp;E110</f>
        <v>0.6(含)-0.7</v>
      </c>
      <c r="E109" s="3677" t="str">
        <f>E110&amp;"(含)"&amp;"-"&amp;F110</f>
        <v>0.7(含)-0.8</v>
      </c>
      <c r="F109" s="3677" t="str">
        <f>F110&amp;"(含)"&amp;"-"&amp;G110</f>
        <v>0.8(含)-0.9</v>
      </c>
      <c r="G109" s="3677" t="str">
        <f>G110&amp;"(含)"&amp;"-"&amp;ROUND(H110,0)</f>
        <v>0.9(含)-1</v>
      </c>
      <c r="H109" s="3677"/>
      <c r="I109" s="3688"/>
      <c r="J109" s="3688"/>
      <c r="K109" s="3689"/>
      <c r="L109" s="3690"/>
      <c r="M109" s="3691"/>
      <c r="N109" s="3632"/>
      <c r="O109" s="3632"/>
      <c r="P109" s="3621"/>
      <c r="Q109" s="3597"/>
      <c r="R109" s="3418"/>
      <c r="S109" s="3418"/>
      <c r="T109" s="3418"/>
      <c r="U109" s="3418"/>
      <c r="V109" s="3418"/>
      <c r="W109" s="3418"/>
      <c r="X109" s="3418"/>
      <c r="Y109" s="3418"/>
      <c r="Z109" s="3418"/>
      <c r="AA109" s="3418"/>
      <c r="AB109" s="3418"/>
      <c r="AC109" s="3418"/>
    </row>
    <row r="110" spans="1:29">
      <c r="A110" s="3541"/>
      <c r="B110" s="3645"/>
      <c r="C110" s="3449">
        <v>0.5</v>
      </c>
      <c r="D110" s="3449">
        <v>0.6</v>
      </c>
      <c r="E110" s="3449">
        <v>0.7</v>
      </c>
      <c r="F110" s="3449">
        <v>0.8</v>
      </c>
      <c r="G110" s="3449">
        <v>0.9</v>
      </c>
      <c r="H110" s="3449">
        <v>1.0001</v>
      </c>
      <c r="I110" s="3705"/>
      <c r="J110" s="3705"/>
      <c r="K110" s="3706"/>
      <c r="L110" s="3707"/>
      <c r="M110" s="3708"/>
      <c r="N110" s="3632"/>
      <c r="O110" s="3632"/>
      <c r="P110" s="3621"/>
      <c r="Q110" s="3597"/>
      <c r="R110" s="3418"/>
      <c r="S110" s="3418"/>
      <c r="T110" s="3418"/>
      <c r="U110" s="3418"/>
      <c r="V110" s="3418"/>
      <c r="W110" s="3418"/>
      <c r="X110" s="3418"/>
      <c r="Y110" s="3418"/>
      <c r="Z110" s="3418"/>
      <c r="AA110" s="3418"/>
      <c r="AB110" s="3418"/>
      <c r="AC110" s="3418"/>
    </row>
    <row r="111" spans="1:29" ht="15.75" thickBot="1">
      <c r="A111" s="3489"/>
      <c r="B111" s="3642"/>
      <c r="C111" s="3686">
        <v>100</v>
      </c>
      <c r="D111" s="3643">
        <f>C111+$K36</f>
        <v>102</v>
      </c>
      <c r="E111" s="3643">
        <f t="shared" ref="E111:M111" si="25">D111+$K36</f>
        <v>104</v>
      </c>
      <c r="F111" s="3643">
        <f t="shared" si="25"/>
        <v>106</v>
      </c>
      <c r="G111" s="3643">
        <f t="shared" si="25"/>
        <v>108</v>
      </c>
      <c r="H111" s="3643">
        <f t="shared" si="25"/>
        <v>110</v>
      </c>
      <c r="I111" s="3643">
        <f t="shared" si="25"/>
        <v>112</v>
      </c>
      <c r="J111" s="3643">
        <f t="shared" si="25"/>
        <v>114</v>
      </c>
      <c r="K111" s="3643">
        <f t="shared" si="25"/>
        <v>116</v>
      </c>
      <c r="L111" s="3643">
        <f t="shared" si="25"/>
        <v>118</v>
      </c>
      <c r="M111" s="3643">
        <f t="shared" si="25"/>
        <v>120</v>
      </c>
      <c r="N111" s="3636"/>
      <c r="O111" s="3636"/>
      <c r="P111" s="3621"/>
      <c r="Q111" s="3597"/>
      <c r="R111" s="3418"/>
      <c r="S111" s="3418"/>
      <c r="T111" s="3418"/>
      <c r="U111" s="3418"/>
      <c r="V111" s="3418"/>
      <c r="W111" s="3418"/>
      <c r="X111" s="3418"/>
      <c r="Y111" s="3418"/>
      <c r="Z111" s="3418"/>
      <c r="AA111" s="3418"/>
      <c r="AB111" s="3418"/>
      <c r="AC111" s="3418"/>
    </row>
    <row r="112" spans="1:29" s="3540" customFormat="1" ht="15" thickTop="1">
      <c r="A112" s="3531"/>
      <c r="B112" s="3678" t="s">
        <v>2535</v>
      </c>
      <c r="C112" s="3653"/>
      <c r="D112" s="3653"/>
      <c r="E112" s="3653"/>
      <c r="F112" s="3653"/>
      <c r="G112" s="3653"/>
      <c r="H112" s="3688"/>
      <c r="I112" s="3688"/>
      <c r="J112" s="3688"/>
      <c r="K112" s="3689"/>
      <c r="L112" s="3690"/>
      <c r="M112" s="3691"/>
      <c r="N112" s="3657"/>
      <c r="O112" s="3657"/>
      <c r="P112" s="3657"/>
      <c r="Q112" s="3658"/>
      <c r="R112" s="3533"/>
      <c r="S112" s="3533"/>
      <c r="T112" s="3533"/>
      <c r="U112" s="3533"/>
      <c r="V112" s="3533"/>
      <c r="W112" s="3533"/>
      <c r="X112" s="3533"/>
      <c r="Y112" s="3533"/>
      <c r="Z112" s="3533"/>
      <c r="AA112" s="3533"/>
      <c r="AB112" s="3533"/>
      <c r="AC112" s="3533"/>
    </row>
    <row r="113" spans="1:29" s="3540" customFormat="1" ht="15.75" thickBot="1">
      <c r="A113" s="3652"/>
      <c r="B113" s="3642"/>
      <c r="C113" s="3643">
        <v>100</v>
      </c>
      <c r="D113" s="3643">
        <f>C113-$K37</f>
        <v>100</v>
      </c>
      <c r="E113" s="3643">
        <f t="shared" ref="E113:M113" si="26">D113-$K37</f>
        <v>100</v>
      </c>
      <c r="F113" s="3643">
        <f t="shared" si="26"/>
        <v>100</v>
      </c>
      <c r="G113" s="3643">
        <f t="shared" si="26"/>
        <v>100</v>
      </c>
      <c r="H113" s="3643">
        <f t="shared" si="26"/>
        <v>100</v>
      </c>
      <c r="I113" s="3643">
        <f t="shared" si="26"/>
        <v>100</v>
      </c>
      <c r="J113" s="3643">
        <f t="shared" si="26"/>
        <v>100</v>
      </c>
      <c r="K113" s="3643">
        <f t="shared" si="26"/>
        <v>100</v>
      </c>
      <c r="L113" s="3643">
        <f t="shared" si="26"/>
        <v>100</v>
      </c>
      <c r="M113" s="3643">
        <f t="shared" si="26"/>
        <v>100</v>
      </c>
      <c r="N113" s="3657"/>
      <c r="O113" s="3657"/>
      <c r="P113" s="3657"/>
      <c r="Q113" s="3658"/>
      <c r="R113" s="3533"/>
      <c r="S113" s="3533"/>
      <c r="T113" s="3533"/>
      <c r="U113" s="3533"/>
      <c r="V113" s="3533"/>
      <c r="W113" s="3533"/>
      <c r="X113" s="3533"/>
      <c r="Y113" s="3533"/>
      <c r="Z113" s="3533"/>
      <c r="AA113" s="3533"/>
      <c r="AB113" s="3533"/>
      <c r="AC113" s="3533"/>
    </row>
    <row r="114" spans="1:29" ht="15" thickTop="1">
      <c r="A114" s="3541"/>
      <c r="B114" s="3637" t="s">
        <v>765</v>
      </c>
      <c r="C114" s="3653"/>
      <c r="D114" s="3653"/>
      <c r="E114" s="3688"/>
      <c r="F114" s="3688"/>
      <c r="G114" s="3688"/>
      <c r="H114" s="3688"/>
      <c r="I114" s="3688"/>
      <c r="J114" s="3688"/>
      <c r="K114" s="3689"/>
      <c r="L114" s="3690"/>
      <c r="M114" s="3691"/>
      <c r="N114" s="3632"/>
      <c r="O114" s="3632"/>
      <c r="P114" s="3621"/>
      <c r="Q114" s="3597"/>
      <c r="R114" s="3418"/>
      <c r="S114" s="3418"/>
      <c r="T114" s="3418"/>
      <c r="U114" s="3418"/>
      <c r="V114" s="3418"/>
      <c r="W114" s="3418"/>
      <c r="X114" s="3418"/>
      <c r="Y114" s="3418"/>
      <c r="Z114" s="3418"/>
      <c r="AA114" s="3418"/>
      <c r="AB114" s="3418"/>
      <c r="AC114" s="3418"/>
    </row>
    <row r="115" spans="1:29" ht="15.75" thickBot="1">
      <c r="A115" s="3489"/>
      <c r="B115" s="3642"/>
      <c r="C115" s="3643">
        <v>100</v>
      </c>
      <c r="D115" s="3643">
        <f t="shared" ref="D115:M115" si="27">C115-$K38</f>
        <v>100</v>
      </c>
      <c r="E115" s="3643">
        <f t="shared" si="27"/>
        <v>100</v>
      </c>
      <c r="F115" s="3643">
        <f t="shared" si="27"/>
        <v>100</v>
      </c>
      <c r="G115" s="3643">
        <f t="shared" si="27"/>
        <v>100</v>
      </c>
      <c r="H115" s="3643">
        <f t="shared" si="27"/>
        <v>100</v>
      </c>
      <c r="I115" s="3643">
        <f t="shared" si="27"/>
        <v>100</v>
      </c>
      <c r="J115" s="3643">
        <f t="shared" si="27"/>
        <v>100</v>
      </c>
      <c r="K115" s="3643">
        <f t="shared" si="27"/>
        <v>100</v>
      </c>
      <c r="L115" s="3643">
        <f t="shared" si="27"/>
        <v>100</v>
      </c>
      <c r="M115" s="3644">
        <f t="shared" si="27"/>
        <v>100</v>
      </c>
      <c r="N115" s="3636"/>
      <c r="O115" s="3636"/>
      <c r="P115" s="3621"/>
      <c r="Q115" s="3597"/>
      <c r="R115" s="3418"/>
      <c r="S115" s="3418"/>
      <c r="T115" s="3418"/>
      <c r="U115" s="3418"/>
      <c r="V115" s="3418"/>
      <c r="W115" s="3418"/>
      <c r="X115" s="3418"/>
      <c r="Y115" s="3418"/>
      <c r="Z115" s="3418"/>
      <c r="AA115" s="3418"/>
      <c r="AB115" s="3418"/>
      <c r="AC115" s="3418"/>
    </row>
    <row r="116" spans="1:29" ht="15" thickTop="1">
      <c r="A116" s="3541"/>
      <c r="B116" s="3637" t="s">
        <v>766</v>
      </c>
      <c r="C116" s="3653"/>
      <c r="D116" s="3653"/>
      <c r="E116" s="3653"/>
      <c r="F116" s="3653"/>
      <c r="G116" s="3653"/>
      <c r="H116" s="3688"/>
      <c r="I116" s="3688"/>
      <c r="J116" s="3688"/>
      <c r="K116" s="3689"/>
      <c r="L116" s="3690"/>
      <c r="M116" s="3691"/>
      <c r="N116" s="3632"/>
      <c r="O116" s="3632"/>
      <c r="P116" s="3621"/>
      <c r="Q116" s="3597"/>
      <c r="R116" s="3418"/>
      <c r="S116" s="3418"/>
      <c r="T116" s="3418"/>
      <c r="U116" s="3418"/>
      <c r="V116" s="3418"/>
      <c r="W116" s="3418"/>
      <c r="X116" s="3418"/>
      <c r="Y116" s="3418"/>
      <c r="Z116" s="3418"/>
      <c r="AA116" s="3418"/>
      <c r="AB116" s="3418"/>
      <c r="AC116" s="3418"/>
    </row>
    <row r="117" spans="1:29" ht="15.75" thickBot="1">
      <c r="A117" s="3489"/>
      <c r="B117" s="3642"/>
      <c r="C117" s="3643">
        <v>100</v>
      </c>
      <c r="D117" s="3643">
        <f>C117-$K39</f>
        <v>100</v>
      </c>
      <c r="E117" s="3643">
        <f>D117-$K39</f>
        <v>100</v>
      </c>
      <c r="F117" s="3643">
        <f>E117-$K39</f>
        <v>100</v>
      </c>
      <c r="G117" s="3643">
        <f>F117-$K39</f>
        <v>100</v>
      </c>
      <c r="H117" s="3643"/>
      <c r="I117" s="3643"/>
      <c r="J117" s="3643"/>
      <c r="K117" s="3643"/>
      <c r="L117" s="3643"/>
      <c r="M117" s="3644"/>
      <c r="N117" s="3636"/>
      <c r="O117" s="3636"/>
      <c r="P117" s="3621"/>
      <c r="Q117" s="3597"/>
      <c r="R117" s="3418"/>
      <c r="S117" s="3418"/>
      <c r="T117" s="3418"/>
      <c r="U117" s="3418"/>
      <c r="V117" s="3418"/>
      <c r="W117" s="3418"/>
      <c r="X117" s="3418"/>
      <c r="Y117" s="3418"/>
      <c r="Z117" s="3418"/>
      <c r="AA117" s="3418"/>
      <c r="AB117" s="3418"/>
      <c r="AC117" s="3418"/>
    </row>
    <row r="118" spans="1:29" ht="15" thickTop="1">
      <c r="A118" s="3541"/>
      <c r="B118" s="3637" t="s">
        <v>767</v>
      </c>
      <c r="C118" s="3709"/>
      <c r="D118" s="3709"/>
      <c r="E118" s="3709"/>
      <c r="F118" s="3709"/>
      <c r="G118" s="3709"/>
      <c r="H118" s="3654"/>
      <c r="I118" s="3654"/>
      <c r="J118" s="3654"/>
      <c r="K118" s="3654"/>
      <c r="L118" s="3655"/>
      <c r="M118" s="3656"/>
      <c r="N118" s="3632"/>
      <c r="O118" s="3632"/>
      <c r="P118" s="3621"/>
      <c r="Q118" s="3597"/>
      <c r="R118" s="3418"/>
      <c r="S118" s="3418"/>
      <c r="T118" s="3418"/>
      <c r="U118" s="3418"/>
      <c r="V118" s="3418"/>
      <c r="W118" s="3418"/>
      <c r="X118" s="3418"/>
      <c r="Y118" s="3418"/>
      <c r="Z118" s="3418"/>
      <c r="AA118" s="3418"/>
      <c r="AB118" s="3418"/>
      <c r="AC118" s="3418"/>
    </row>
    <row r="119" spans="1:29" ht="15.75" thickBot="1">
      <c r="A119" s="3489"/>
      <c r="B119" s="3642"/>
      <c r="C119" s="3659"/>
      <c r="D119" s="3634"/>
      <c r="E119" s="3634"/>
      <c r="F119" s="3634"/>
      <c r="G119" s="3634"/>
      <c r="H119" s="3634"/>
      <c r="I119" s="3634"/>
      <c r="J119" s="3634"/>
      <c r="K119" s="3634"/>
      <c r="L119" s="3634"/>
      <c r="M119" s="3635"/>
      <c r="N119" s="3636"/>
      <c r="O119" s="3636"/>
      <c r="P119" s="3621"/>
      <c r="Q119" s="3597"/>
      <c r="R119" s="3418"/>
      <c r="S119" s="3418"/>
      <c r="T119" s="3418"/>
      <c r="U119" s="3418"/>
      <c r="V119" s="3418"/>
      <c r="W119" s="3418"/>
      <c r="X119" s="3418"/>
      <c r="Y119" s="3418"/>
      <c r="Z119" s="3418"/>
      <c r="AA119" s="3418"/>
      <c r="AB119" s="3418"/>
      <c r="AC119" s="3418"/>
    </row>
    <row r="120" spans="1:29" s="3540" customFormat="1" ht="15" thickTop="1">
      <c r="A120" s="3531"/>
      <c r="B120" s="3637" t="s">
        <v>768</v>
      </c>
      <c r="C120" s="3688"/>
      <c r="D120" s="3688"/>
      <c r="E120" s="3688"/>
      <c r="F120" s="3688"/>
      <c r="G120" s="3654"/>
      <c r="H120" s="3654"/>
      <c r="I120" s="3654"/>
      <c r="J120" s="3654"/>
      <c r="K120" s="3654"/>
      <c r="L120" s="3655"/>
      <c r="M120" s="3656"/>
      <c r="N120" s="3657"/>
      <c r="O120" s="3657"/>
      <c r="P120" s="3657"/>
      <c r="Q120" s="3658"/>
      <c r="R120" s="3533"/>
      <c r="S120" s="3533"/>
      <c r="T120" s="3533"/>
      <c r="U120" s="3533"/>
      <c r="V120" s="3533"/>
      <c r="W120" s="3533"/>
      <c r="X120" s="3533"/>
      <c r="Y120" s="3533"/>
      <c r="Z120" s="3533"/>
      <c r="AA120" s="3533"/>
      <c r="AB120" s="3533"/>
      <c r="AC120" s="3533"/>
    </row>
    <row r="121" spans="1:29" s="3540" customFormat="1" ht="15.75" thickBot="1">
      <c r="A121" s="3652"/>
      <c r="B121" s="3633"/>
      <c r="C121" s="3686">
        <v>100</v>
      </c>
      <c r="D121" s="3643">
        <f>C121-$K41</f>
        <v>100</v>
      </c>
      <c r="E121" s="3643">
        <f t="shared" ref="E121:M121" si="28">D121-$K41</f>
        <v>100</v>
      </c>
      <c r="F121" s="3643">
        <f t="shared" si="28"/>
        <v>100</v>
      </c>
      <c r="G121" s="3643">
        <f t="shared" si="28"/>
        <v>100</v>
      </c>
      <c r="H121" s="3643">
        <f t="shared" si="28"/>
        <v>100</v>
      </c>
      <c r="I121" s="3643">
        <f t="shared" si="28"/>
        <v>100</v>
      </c>
      <c r="J121" s="3643">
        <f t="shared" si="28"/>
        <v>100</v>
      </c>
      <c r="K121" s="3643">
        <f t="shared" si="28"/>
        <v>100</v>
      </c>
      <c r="L121" s="3643">
        <f t="shared" si="28"/>
        <v>100</v>
      </c>
      <c r="M121" s="3644">
        <f t="shared" si="28"/>
        <v>100</v>
      </c>
      <c r="N121" s="3657"/>
      <c r="O121" s="3657"/>
      <c r="P121" s="3657"/>
      <c r="Q121" s="3658"/>
      <c r="R121" s="3533"/>
      <c r="S121" s="3533"/>
      <c r="T121" s="3533"/>
      <c r="U121" s="3533"/>
      <c r="V121" s="3533"/>
      <c r="W121" s="3533"/>
      <c r="X121" s="3533"/>
      <c r="Y121" s="3533"/>
      <c r="Z121" s="3533"/>
      <c r="AA121" s="3533"/>
      <c r="AB121" s="3533"/>
      <c r="AC121" s="3533"/>
    </row>
    <row r="122" spans="1:29" ht="15" thickTop="1">
      <c r="A122" s="3541"/>
      <c r="B122" s="3637" t="s">
        <v>747</v>
      </c>
      <c r="C122" s="3653"/>
      <c r="D122" s="3653"/>
      <c r="E122" s="3653"/>
      <c r="F122" s="3688"/>
      <c r="G122" s="3688"/>
      <c r="H122" s="3688"/>
      <c r="I122" s="3688"/>
      <c r="J122" s="3688"/>
      <c r="K122" s="3689"/>
      <c r="L122" s="3690"/>
      <c r="M122" s="3691"/>
      <c r="N122" s="3632"/>
      <c r="O122" s="3632"/>
      <c r="P122" s="3621"/>
      <c r="Q122" s="3597"/>
      <c r="R122" s="3418"/>
      <c r="S122" s="3418"/>
      <c r="T122" s="3418"/>
      <c r="U122" s="3418"/>
      <c r="V122" s="3418"/>
      <c r="W122" s="3418"/>
      <c r="X122" s="3418"/>
      <c r="Y122" s="3418"/>
      <c r="Z122" s="3418"/>
      <c r="AA122" s="3418"/>
      <c r="AB122" s="3418"/>
      <c r="AC122" s="3418"/>
    </row>
    <row r="123" spans="1:29" ht="15.75" thickBot="1">
      <c r="A123" s="3489"/>
      <c r="B123" s="3642"/>
      <c r="C123" s="3643">
        <v>100</v>
      </c>
      <c r="D123" s="3643">
        <f t="shared" ref="D123:M123" si="29">C123-$K42</f>
        <v>100</v>
      </c>
      <c r="E123" s="3643">
        <f t="shared" si="29"/>
        <v>100</v>
      </c>
      <c r="F123" s="3643">
        <f t="shared" si="29"/>
        <v>100</v>
      </c>
      <c r="G123" s="3643">
        <f t="shared" si="29"/>
        <v>100</v>
      </c>
      <c r="H123" s="3643">
        <f t="shared" si="29"/>
        <v>100</v>
      </c>
      <c r="I123" s="3643">
        <f t="shared" si="29"/>
        <v>100</v>
      </c>
      <c r="J123" s="3643">
        <f t="shared" si="29"/>
        <v>100</v>
      </c>
      <c r="K123" s="3643">
        <f t="shared" si="29"/>
        <v>100</v>
      </c>
      <c r="L123" s="3643">
        <f t="shared" si="29"/>
        <v>100</v>
      </c>
      <c r="M123" s="3644">
        <f t="shared" si="29"/>
        <v>100</v>
      </c>
      <c r="N123" s="3636"/>
      <c r="O123" s="3636"/>
      <c r="P123" s="3621"/>
      <c r="Q123" s="3597"/>
      <c r="R123" s="3418"/>
      <c r="S123" s="3418"/>
      <c r="T123" s="3418"/>
      <c r="U123" s="3418"/>
      <c r="V123" s="3418"/>
      <c r="W123" s="3418"/>
      <c r="X123" s="3418"/>
      <c r="Y123" s="3418"/>
      <c r="Z123" s="3418"/>
      <c r="AA123" s="3418"/>
      <c r="AB123" s="3418"/>
      <c r="AC123" s="3418"/>
    </row>
    <row r="124" spans="1:29" ht="27.75" thickTop="1">
      <c r="A124" s="3541"/>
      <c r="B124" s="3637" t="s">
        <v>748</v>
      </c>
      <c r="C124" s="3677" t="s">
        <v>571</v>
      </c>
      <c r="D124" s="3677" t="s">
        <v>572</v>
      </c>
      <c r="E124" s="3677" t="s">
        <v>573</v>
      </c>
      <c r="F124" s="3677" t="s">
        <v>574</v>
      </c>
      <c r="G124" s="3677" t="s">
        <v>575</v>
      </c>
      <c r="H124" s="3638"/>
      <c r="I124" s="3638"/>
      <c r="J124" s="3638"/>
      <c r="K124" s="3639"/>
      <c r="L124" s="3640"/>
      <c r="M124" s="3641"/>
      <c r="N124" s="3632"/>
      <c r="O124" s="3632"/>
      <c r="P124" s="3657"/>
      <c r="Q124" s="3597"/>
      <c r="R124" s="3418"/>
      <c r="S124" s="3418"/>
      <c r="T124" s="3418"/>
      <c r="U124" s="3418"/>
      <c r="V124" s="3418"/>
      <c r="W124" s="3418"/>
      <c r="X124" s="3418"/>
      <c r="Y124" s="3418"/>
      <c r="Z124" s="3418"/>
      <c r="AA124" s="3418"/>
      <c r="AB124" s="3418"/>
      <c r="AC124" s="3418"/>
    </row>
    <row r="125" spans="1:29" ht="15.75" thickBot="1">
      <c r="A125" s="3489"/>
      <c r="B125" s="3642"/>
      <c r="C125" s="3643">
        <v>100</v>
      </c>
      <c r="D125" s="3643">
        <f>C125-$K43</f>
        <v>100</v>
      </c>
      <c r="E125" s="3643">
        <f>D125-$K43</f>
        <v>100</v>
      </c>
      <c r="F125" s="3643">
        <f>E125-$K43</f>
        <v>100</v>
      </c>
      <c r="G125" s="3643">
        <f>F125-$K43</f>
        <v>100</v>
      </c>
      <c r="H125" s="3643"/>
      <c r="I125" s="3643"/>
      <c r="J125" s="3643"/>
      <c r="K125" s="3643"/>
      <c r="L125" s="3643"/>
      <c r="M125" s="3644"/>
      <c r="N125" s="3636"/>
      <c r="O125" s="3636"/>
      <c r="P125" s="3621"/>
      <c r="Q125" s="3597"/>
      <c r="R125" s="3418"/>
      <c r="S125" s="3418"/>
      <c r="T125" s="3418"/>
      <c r="U125" s="3418"/>
      <c r="V125" s="3418"/>
      <c r="W125" s="3418"/>
      <c r="X125" s="3418"/>
      <c r="Y125" s="3418"/>
      <c r="Z125" s="3418"/>
      <c r="AA125" s="3418"/>
      <c r="AB125" s="3418"/>
      <c r="AC125" s="3418"/>
    </row>
    <row r="126" spans="1:29" s="3540" customFormat="1" ht="15" thickTop="1">
      <c r="A126" s="3531"/>
      <c r="B126" s="3637">
        <f>B44</f>
        <v>111</v>
      </c>
      <c r="C126" s="3653"/>
      <c r="D126" s="3653"/>
      <c r="E126" s="3653"/>
      <c r="F126" s="3653"/>
      <c r="G126" s="3653"/>
      <c r="H126" s="3654"/>
      <c r="I126" s="3654"/>
      <c r="J126" s="3654"/>
      <c r="K126" s="3654"/>
      <c r="L126" s="3655"/>
      <c r="M126" s="3656"/>
      <c r="N126" s="3657"/>
      <c r="O126" s="3657"/>
      <c r="P126" s="3657"/>
      <c r="Q126" s="3658"/>
      <c r="R126" s="3533"/>
      <c r="S126" s="3533"/>
      <c r="T126" s="3533"/>
      <c r="U126" s="3533"/>
      <c r="V126" s="3533"/>
      <c r="W126" s="3533"/>
      <c r="X126" s="3533"/>
      <c r="Y126" s="3533"/>
      <c r="Z126" s="3533"/>
      <c r="AA126" s="3533"/>
      <c r="AB126" s="3533"/>
      <c r="AC126" s="3533"/>
    </row>
    <row r="127" spans="1:29" s="3540" customFormat="1" ht="15.75" thickBot="1">
      <c r="A127" s="3652"/>
      <c r="B127" s="3642"/>
      <c r="C127" s="3659"/>
      <c r="D127" s="3634"/>
      <c r="E127" s="3634"/>
      <c r="F127" s="3634"/>
      <c r="G127" s="3659"/>
      <c r="H127" s="3661"/>
      <c r="I127" s="3661"/>
      <c r="J127" s="3661"/>
      <c r="K127" s="3661"/>
      <c r="L127" s="3661"/>
      <c r="M127" s="3662"/>
      <c r="N127" s="3657"/>
      <c r="O127" s="3657"/>
      <c r="P127" s="3657"/>
      <c r="Q127" s="3658"/>
      <c r="R127" s="3533"/>
      <c r="S127" s="3533"/>
      <c r="T127" s="3533"/>
      <c r="U127" s="3533"/>
      <c r="V127" s="3533"/>
      <c r="W127" s="3533"/>
      <c r="X127" s="3533"/>
      <c r="Y127" s="3533"/>
      <c r="Z127" s="3533"/>
      <c r="AA127" s="3533"/>
      <c r="AB127" s="3533"/>
      <c r="AC127" s="3533"/>
    </row>
    <row r="128" spans="1:29" ht="15" thickTop="1">
      <c r="A128" s="3541"/>
      <c r="B128" s="3637">
        <f>B45</f>
        <v>111</v>
      </c>
      <c r="C128" s="3653"/>
      <c r="D128" s="3653"/>
      <c r="E128" s="3653"/>
      <c r="F128" s="3653"/>
      <c r="G128" s="3688"/>
      <c r="H128" s="3688"/>
      <c r="I128" s="3688"/>
      <c r="J128" s="3688"/>
      <c r="K128" s="3689"/>
      <c r="L128" s="3690"/>
      <c r="M128" s="3691"/>
      <c r="N128" s="3632"/>
      <c r="O128" s="3632"/>
      <c r="P128" s="3621"/>
      <c r="Q128" s="3597"/>
      <c r="R128" s="3418"/>
      <c r="S128" s="3418"/>
      <c r="T128" s="3418"/>
      <c r="U128" s="3418"/>
      <c r="V128" s="3418"/>
      <c r="W128" s="3418"/>
      <c r="X128" s="3418"/>
      <c r="Y128" s="3418"/>
      <c r="Z128" s="3418"/>
      <c r="AA128" s="3418"/>
      <c r="AB128" s="3418"/>
      <c r="AC128" s="3418"/>
    </row>
    <row r="129" spans="1:29" ht="15.75" thickBot="1">
      <c r="A129" s="3489"/>
      <c r="B129" s="3642"/>
      <c r="C129" s="3659"/>
      <c r="D129" s="3634"/>
      <c r="E129" s="3634"/>
      <c r="F129" s="3634"/>
      <c r="G129" s="3634"/>
      <c r="H129" s="3634"/>
      <c r="I129" s="3634"/>
      <c r="J129" s="3634"/>
      <c r="K129" s="3634"/>
      <c r="L129" s="3634"/>
      <c r="M129" s="3635"/>
      <c r="N129" s="3636"/>
      <c r="O129" s="3636"/>
      <c r="P129" s="3621"/>
      <c r="Q129" s="3597"/>
      <c r="R129" s="3418"/>
      <c r="S129" s="3418"/>
      <c r="T129" s="3418"/>
      <c r="U129" s="3418"/>
      <c r="V129" s="3418"/>
      <c r="W129" s="3418"/>
      <c r="X129" s="3418"/>
      <c r="Y129" s="3418"/>
      <c r="Z129" s="3418"/>
      <c r="AA129" s="3418"/>
      <c r="AB129" s="3418"/>
      <c r="AC129" s="3418"/>
    </row>
    <row r="130" spans="1:29" ht="15" thickTop="1">
      <c r="A130" s="3541"/>
      <c r="B130" s="3645">
        <f>B46</f>
        <v>111</v>
      </c>
      <c r="C130" s="3653"/>
      <c r="D130" s="3653"/>
      <c r="E130" s="3653"/>
      <c r="F130" s="3653"/>
      <c r="G130" s="3692"/>
      <c r="H130" s="3692"/>
      <c r="I130" s="3692"/>
      <c r="J130" s="3692"/>
      <c r="K130" s="3618"/>
      <c r="L130" s="3619"/>
      <c r="M130" s="3695"/>
      <c r="N130" s="3632"/>
      <c r="O130" s="3632"/>
      <c r="P130" s="3621"/>
      <c r="Q130" s="3597"/>
      <c r="R130" s="3418"/>
      <c r="S130" s="3418"/>
      <c r="T130" s="3418"/>
      <c r="U130" s="3418"/>
      <c r="V130" s="3418"/>
      <c r="W130" s="3418"/>
      <c r="X130" s="3418"/>
      <c r="Y130" s="3418"/>
      <c r="Z130" s="3418"/>
      <c r="AA130" s="3418"/>
      <c r="AB130" s="3418"/>
      <c r="AC130" s="3418"/>
    </row>
    <row r="131" spans="1:29" ht="15.75" thickBot="1">
      <c r="A131" s="3525"/>
      <c r="B131" s="3668"/>
      <c r="C131" s="3669"/>
      <c r="D131" s="3669"/>
      <c r="E131" s="3669"/>
      <c r="F131" s="3669"/>
      <c r="G131" s="3696"/>
      <c r="H131" s="3696"/>
      <c r="I131" s="3696"/>
      <c r="J131" s="3696"/>
      <c r="K131" s="3696"/>
      <c r="L131" s="3696"/>
      <c r="M131" s="3697"/>
      <c r="N131" s="3636"/>
      <c r="O131" s="3636"/>
      <c r="P131" s="3621"/>
      <c r="Q131" s="3597"/>
      <c r="R131" s="3418"/>
      <c r="S131" s="3418"/>
      <c r="T131" s="3418"/>
      <c r="U131" s="3418"/>
      <c r="V131" s="3418"/>
      <c r="W131" s="3418"/>
      <c r="X131" s="3418"/>
      <c r="Y131" s="3418"/>
      <c r="Z131" s="3418"/>
      <c r="AA131" s="3418"/>
      <c r="AB131" s="3418"/>
      <c r="AC131" s="3418"/>
    </row>
    <row r="132" spans="1:29">
      <c r="A132" s="3710"/>
      <c r="B132" s="3710"/>
      <c r="C132" s="3710"/>
      <c r="D132" s="3710"/>
      <c r="E132" s="3710"/>
      <c r="F132" s="3710"/>
      <c r="G132" s="3710"/>
      <c r="H132" s="3710"/>
      <c r="I132" s="3710"/>
      <c r="J132" s="3710"/>
      <c r="K132" s="3711"/>
      <c r="L132" s="3712"/>
      <c r="M132" s="3710"/>
      <c r="N132" s="3710"/>
      <c r="O132" s="3710"/>
      <c r="P132" s="3710"/>
      <c r="Q132" s="3710"/>
      <c r="R132" s="3710"/>
      <c r="S132" s="3710"/>
      <c r="T132" s="3710"/>
      <c r="U132" s="3710"/>
      <c r="V132" s="3710"/>
      <c r="W132" s="3710"/>
      <c r="X132" s="3710"/>
      <c r="Y132" s="3710"/>
      <c r="Z132" s="3710"/>
      <c r="AA132" s="3710"/>
      <c r="AB132" s="3710"/>
      <c r="AC132" s="3710"/>
    </row>
    <row r="133" spans="1:29">
      <c r="A133" s="3710"/>
      <c r="B133" s="3710"/>
      <c r="C133" s="3710"/>
      <c r="D133" s="3710"/>
      <c r="E133" s="3710"/>
      <c r="F133" s="3710"/>
      <c r="G133" s="3710"/>
      <c r="H133" s="3710"/>
      <c r="I133" s="3710"/>
      <c r="J133" s="3710"/>
      <c r="K133" s="3711"/>
      <c r="L133" s="3712"/>
      <c r="M133" s="3710"/>
      <c r="N133" s="3710"/>
      <c r="O133" s="3710"/>
      <c r="P133" s="3710"/>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10"/>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10"/>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10"/>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10"/>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10"/>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10"/>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10"/>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10"/>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10"/>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10"/>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10"/>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10"/>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10"/>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10"/>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10"/>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10"/>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10"/>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10"/>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10"/>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10"/>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10"/>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10"/>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10"/>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10"/>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10"/>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10"/>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10"/>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10"/>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10"/>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10"/>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10"/>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10"/>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10"/>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10"/>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10"/>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10"/>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10"/>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10"/>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10"/>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10"/>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10"/>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10"/>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10"/>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10"/>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10"/>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10"/>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10"/>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10"/>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10"/>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10"/>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10"/>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10"/>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10"/>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10"/>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10"/>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10"/>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10"/>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10"/>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10"/>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10"/>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10"/>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10"/>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10"/>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10"/>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10"/>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10"/>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10"/>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10"/>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10"/>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10"/>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10"/>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10"/>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10"/>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10"/>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10"/>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10"/>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10"/>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10"/>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10"/>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10"/>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10"/>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10"/>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10"/>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10"/>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10"/>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10"/>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10"/>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10"/>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10"/>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10"/>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10"/>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10"/>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10"/>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10"/>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10"/>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10"/>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10"/>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10"/>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10"/>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10"/>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10"/>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10"/>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10"/>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10"/>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10"/>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10"/>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10"/>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10"/>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10"/>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10"/>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10"/>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10"/>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10"/>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10"/>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10"/>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10"/>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10"/>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10"/>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10"/>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10"/>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10"/>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10"/>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10"/>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10"/>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10"/>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10"/>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10"/>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10"/>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10"/>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10"/>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10"/>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10"/>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10"/>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10"/>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10"/>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10"/>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10"/>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10"/>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10"/>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10"/>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10"/>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10"/>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10"/>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10"/>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10"/>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10"/>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10"/>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10"/>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10"/>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10"/>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10"/>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10"/>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10"/>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10"/>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10"/>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10"/>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10"/>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10"/>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10"/>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10"/>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10"/>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10"/>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10"/>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10"/>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10"/>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10"/>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10"/>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10"/>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10"/>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10"/>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10"/>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10"/>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10"/>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10"/>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10"/>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10"/>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10"/>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10"/>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10"/>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10"/>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10"/>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10"/>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10"/>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10"/>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10"/>
      <c r="Q318" s="3710"/>
      <c r="R318" s="3710"/>
      <c r="S318" s="3710"/>
      <c r="T318" s="3710"/>
      <c r="U318" s="3710"/>
      <c r="V318" s="3710"/>
      <c r="W318" s="3710"/>
      <c r="X318" s="3710"/>
      <c r="Y318" s="3710"/>
      <c r="Z318" s="3710"/>
      <c r="AA318" s="3710"/>
      <c r="AB318" s="3710"/>
      <c r="AC318" s="3710"/>
    </row>
    <row r="319" spans="1:29">
      <c r="N319" s="3710"/>
      <c r="O319" s="3710"/>
      <c r="P319" s="3710"/>
      <c r="Q319" s="3710"/>
      <c r="R319" s="3710"/>
      <c r="S319" s="3710"/>
      <c r="T319" s="3710"/>
      <c r="U319" s="3710"/>
      <c r="V319" s="3710"/>
      <c r="W319" s="3710"/>
      <c r="X319" s="3710"/>
      <c r="Y319" s="3710"/>
      <c r="Z319" s="3710"/>
      <c r="AA319" s="3710"/>
      <c r="AB319" s="3710"/>
      <c r="AC319" s="3710"/>
    </row>
    <row r="320" spans="1:29">
      <c r="AC320" s="3710"/>
    </row>
    <row r="321" spans="29:29">
      <c r="AC321" s="3710"/>
    </row>
    <row r="322" spans="29:29">
      <c r="AC322" s="3710"/>
    </row>
    <row r="323" spans="29:29">
      <c r="AC323" s="3710"/>
    </row>
    <row r="324" spans="29:29">
      <c r="AC324" s="3710"/>
    </row>
    <row r="325" spans="29:29">
      <c r="AC325" s="3710"/>
    </row>
    <row r="326" spans="29:29">
      <c r="AC326" s="3710"/>
    </row>
    <row r="327" spans="29:29">
      <c r="AC327" s="3710"/>
    </row>
    <row r="328" spans="29:29">
      <c r="AC328" s="3710"/>
    </row>
    <row r="329" spans="29:29">
      <c r="AC329" s="3710"/>
    </row>
    <row r="330" spans="29:29">
      <c r="AC330" s="3710"/>
    </row>
    <row r="331" spans="29:29">
      <c r="AC331" s="3710"/>
    </row>
    <row r="332" spans="29:29">
      <c r="AC332" s="3710"/>
    </row>
    <row r="333" spans="29:29">
      <c r="AC333" s="3710"/>
    </row>
    <row r="334" spans="29:29">
      <c r="AC334" s="3710"/>
    </row>
    <row r="335" spans="29:29">
      <c r="AC335" s="3710"/>
    </row>
    <row r="336" spans="29:29">
      <c r="AC336" s="3710"/>
    </row>
    <row r="337" spans="29:29">
      <c r="AC337" s="3710"/>
    </row>
    <row r="338" spans="29:29">
      <c r="AC338" s="3710"/>
    </row>
    <row r="339" spans="29:29">
      <c r="AC339" s="3710"/>
    </row>
    <row r="340" spans="29:29">
      <c r="AC340" s="3710"/>
    </row>
    <row r="341" spans="29:29">
      <c r="AC341" s="3710"/>
    </row>
    <row r="342" spans="29:29">
      <c r="AC342" s="3710"/>
    </row>
    <row r="343" spans="29:29">
      <c r="AC343" s="3710"/>
    </row>
    <row r="344" spans="29:29">
      <c r="AC344" s="3710"/>
    </row>
    <row r="345" spans="29:29">
      <c r="AC345" s="3710"/>
    </row>
    <row r="346" spans="29:29">
      <c r="AC346" s="3710"/>
    </row>
    <row r="347" spans="29:29">
      <c r="AC347" s="3710"/>
    </row>
    <row r="348" spans="29:29">
      <c r="AC348" s="3710"/>
    </row>
    <row r="349" spans="29:29">
      <c r="AC349" s="3710"/>
    </row>
    <row r="350" spans="29:29">
      <c r="AC350" s="3710"/>
    </row>
    <row r="351" spans="29:29">
      <c r="AC351" s="3710"/>
    </row>
    <row r="352" spans="29:29">
      <c r="AC352" s="3710"/>
    </row>
    <row r="353" spans="29:29">
      <c r="AC353" s="3710"/>
    </row>
    <row r="354" spans="29:29">
      <c r="AC354" s="3710"/>
    </row>
    <row r="355" spans="29:29">
      <c r="AC355" s="3710"/>
    </row>
    <row r="356" spans="29:29">
      <c r="AC356" s="3710"/>
    </row>
    <row r="357" spans="29:29">
      <c r="AC357" s="3710"/>
    </row>
    <row r="358" spans="29:29">
      <c r="AC358" s="3710"/>
    </row>
    <row r="359" spans="29:29">
      <c r="AC359" s="3710"/>
    </row>
    <row r="360" spans="29:29">
      <c r="AC360" s="3710"/>
    </row>
    <row r="361" spans="29:29">
      <c r="AC361" s="3710"/>
    </row>
    <row r="362" spans="29:29">
      <c r="AC362" s="3710"/>
    </row>
    <row r="363" spans="29:29">
      <c r="AC363" s="3710"/>
    </row>
    <row r="364" spans="29:29">
      <c r="AC364" s="3710"/>
    </row>
    <row r="365" spans="29:29">
      <c r="AC365" s="3710"/>
    </row>
    <row r="366" spans="29:29">
      <c r="AC366" s="3710"/>
    </row>
    <row r="367" spans="29:29">
      <c r="AC367" s="3710"/>
    </row>
    <row r="368" spans="29:29">
      <c r="AC368" s="3710"/>
    </row>
    <row r="369" spans="29:29">
      <c r="AC369" s="3710"/>
    </row>
    <row r="370" spans="29:29">
      <c r="AC370" s="3710"/>
    </row>
    <row r="371" spans="29:29">
      <c r="AC371" s="3710"/>
    </row>
    <row r="372" spans="29:29">
      <c r="AC372" s="3710"/>
    </row>
    <row r="373" spans="29:29">
      <c r="AC373" s="3710"/>
    </row>
    <row r="374" spans="29:29">
      <c r="AC374" s="3710"/>
    </row>
    <row r="375" spans="29:29">
      <c r="AC375" s="3710"/>
    </row>
    <row r="376" spans="29:29">
      <c r="AC376" s="3710"/>
    </row>
    <row r="377" spans="29:29">
      <c r="AC377" s="3710"/>
    </row>
    <row r="378" spans="29:29">
      <c r="AC378" s="3710"/>
    </row>
    <row r="379" spans="29:29">
      <c r="AC379" s="3710"/>
    </row>
    <row r="380" spans="29:29">
      <c r="AC380" s="3710"/>
    </row>
    <row r="381" spans="29:29">
      <c r="AC381" s="3710"/>
    </row>
    <row r="382" spans="29:29">
      <c r="AC382" s="3710"/>
    </row>
    <row r="383" spans="29:29">
      <c r="AC383" s="3710"/>
    </row>
    <row r="384" spans="29:29">
      <c r="AC384" s="3710"/>
    </row>
    <row r="385" spans="29:29">
      <c r="AC385" s="3710"/>
    </row>
    <row r="386" spans="29:29">
      <c r="AC386" s="3710"/>
    </row>
    <row r="387" spans="29:29">
      <c r="AC387" s="3710"/>
    </row>
    <row r="388" spans="29:29">
      <c r="AC388" s="3710"/>
    </row>
    <row r="389" spans="29:29">
      <c r="AC389" s="3710"/>
    </row>
    <row r="390" spans="29:29">
      <c r="AC390" s="3710"/>
    </row>
    <row r="391" spans="29:29">
      <c r="AC391" s="3710"/>
    </row>
    <row r="392" spans="29:29">
      <c r="AC392" s="3710"/>
    </row>
    <row r="393" spans="29:29">
      <c r="AC393" s="3710"/>
    </row>
    <row r="394" spans="29:29">
      <c r="AC394" s="3710"/>
    </row>
    <row r="395" spans="29:29">
      <c r="AC395" s="3710"/>
    </row>
    <row r="396" spans="29:29">
      <c r="AC396" s="3710"/>
    </row>
    <row r="397" spans="29:29">
      <c r="AC397" s="3710"/>
    </row>
    <row r="398" spans="29:29">
      <c r="AC398" s="3710"/>
    </row>
    <row r="399" spans="29:29">
      <c r="AC399" s="3710"/>
    </row>
    <row r="400" spans="29:29">
      <c r="AC400" s="3710"/>
    </row>
    <row r="401" spans="29:29">
      <c r="AC401" s="3710"/>
    </row>
    <row r="402" spans="29:29">
      <c r="AC402" s="3710"/>
    </row>
    <row r="403" spans="29:29">
      <c r="AC403" s="3710"/>
    </row>
    <row r="404" spans="29:29">
      <c r="AC404" s="3710"/>
    </row>
    <row r="405" spans="29:29">
      <c r="AC405" s="3710"/>
    </row>
    <row r="406" spans="29:29">
      <c r="AC406" s="3710"/>
    </row>
    <row r="407" spans="29:29">
      <c r="AC407" s="3710"/>
    </row>
    <row r="408" spans="29:29">
      <c r="AC408" s="3710"/>
    </row>
    <row r="409" spans="29:29">
      <c r="AC409" s="3710"/>
    </row>
    <row r="410" spans="29:29">
      <c r="AC410" s="3710"/>
    </row>
    <row r="411" spans="29:29">
      <c r="AC411" s="3710"/>
    </row>
    <row r="412" spans="29:29">
      <c r="AC412" s="3710"/>
    </row>
    <row r="413" spans="29:29">
      <c r="AC413" s="3710"/>
    </row>
    <row r="414" spans="29:29">
      <c r="AC414" s="3710"/>
    </row>
    <row r="415" spans="29:29">
      <c r="AC415" s="3710"/>
    </row>
    <row r="416" spans="29:29">
      <c r="AC416" s="3710"/>
    </row>
    <row r="417" spans="29:29">
      <c r="AC417" s="3710"/>
    </row>
    <row r="418" spans="29:29">
      <c r="AC418" s="3710"/>
    </row>
    <row r="419" spans="29:29">
      <c r="AC419" s="3710"/>
    </row>
    <row r="420" spans="29:29">
      <c r="AC420" s="3710"/>
    </row>
    <row r="421" spans="29:29">
      <c r="AC421" s="3710"/>
    </row>
    <row r="422" spans="29:29">
      <c r="AC422" s="3710"/>
    </row>
    <row r="423" spans="29:29">
      <c r="AC423" s="3710"/>
    </row>
    <row r="424" spans="29:29">
      <c r="AC424" s="3710"/>
    </row>
    <row r="425" spans="29:29">
      <c r="AC425" s="3710"/>
    </row>
    <row r="426" spans="29:29">
      <c r="AC426" s="3710"/>
    </row>
    <row r="427" spans="29:29">
      <c r="AC427" s="3710"/>
    </row>
    <row r="428" spans="29:29">
      <c r="AC428" s="3710"/>
    </row>
    <row r="429" spans="29:29">
      <c r="AC429" s="3710"/>
    </row>
    <row r="430" spans="29:29">
      <c r="AC430" s="3710"/>
    </row>
    <row r="431" spans="29:29">
      <c r="AC431" s="3710"/>
    </row>
    <row r="432" spans="29:29">
      <c r="AC432" s="3710"/>
    </row>
    <row r="433" spans="29:29">
      <c r="AC433" s="3710"/>
    </row>
    <row r="434" spans="29:29">
      <c r="AC434" s="3710"/>
    </row>
    <row r="435" spans="29:29">
      <c r="AC435" s="3710"/>
    </row>
    <row r="436" spans="29:29">
      <c r="AC436" s="3710"/>
    </row>
    <row r="437" spans="29:29">
      <c r="AC437" s="3710"/>
    </row>
    <row r="438" spans="29:29">
      <c r="AC438" s="3710"/>
    </row>
    <row r="439" spans="29:29">
      <c r="AC439" s="3710"/>
    </row>
    <row r="440" spans="29:29">
      <c r="AC440" s="3710"/>
    </row>
    <row r="441" spans="29:29">
      <c r="AC441" s="3710"/>
    </row>
    <row r="442" spans="29:29">
      <c r="AC442" s="3710"/>
    </row>
    <row r="443" spans="29:29">
      <c r="AC443" s="3710"/>
    </row>
    <row r="444" spans="29:29">
      <c r="AC444" s="3710"/>
    </row>
    <row r="445" spans="29:29">
      <c r="AC445" s="3710"/>
    </row>
    <row r="446" spans="29:29">
      <c r="AC446" s="3710"/>
    </row>
    <row r="447" spans="29:29">
      <c r="AC447" s="3710"/>
    </row>
    <row r="448" spans="29:29">
      <c r="AC448" s="3710"/>
    </row>
    <row r="449" spans="29:29">
      <c r="AC449" s="3710"/>
    </row>
    <row r="450" spans="29:29">
      <c r="AC450" s="3710"/>
    </row>
    <row r="451" spans="29:29">
      <c r="AC451" s="3710"/>
    </row>
    <row r="452" spans="29:29">
      <c r="AC452" s="3710"/>
    </row>
    <row r="453" spans="29:29">
      <c r="AC453" s="3710"/>
    </row>
    <row r="454" spans="29:29">
      <c r="AC454" s="3710"/>
    </row>
    <row r="455" spans="29:29">
      <c r="AC455" s="3710"/>
    </row>
    <row r="456" spans="29:29">
      <c r="AC456" s="3710"/>
    </row>
    <row r="457" spans="29:29">
      <c r="AC457" s="3710"/>
    </row>
    <row r="458" spans="29:29">
      <c r="AC458" s="3710"/>
    </row>
    <row r="459" spans="29:29">
      <c r="AC459" s="3710"/>
    </row>
    <row r="460" spans="29:29">
      <c r="AC460" s="3710"/>
    </row>
    <row r="461" spans="29:29">
      <c r="AC461" s="3710"/>
    </row>
    <row r="462" spans="29:29">
      <c r="AC462" s="3710"/>
    </row>
    <row r="463" spans="29:29">
      <c r="AC463" s="3710"/>
    </row>
    <row r="464" spans="29:29">
      <c r="AC464" s="3710"/>
    </row>
    <row r="465" spans="29:29">
      <c r="AC465" s="3710"/>
    </row>
    <row r="466" spans="29:29">
      <c r="AC466" s="3710"/>
    </row>
    <row r="467" spans="29:29">
      <c r="AC467" s="3710"/>
    </row>
    <row r="468" spans="29:29">
      <c r="AC468" s="3710"/>
    </row>
    <row r="469" spans="29:29">
      <c r="AC469" s="3710"/>
    </row>
    <row r="470" spans="29:29">
      <c r="AC470" s="3710"/>
    </row>
    <row r="471" spans="29:29">
      <c r="AC471" s="3710"/>
    </row>
    <row r="472" spans="29:29">
      <c r="AC472" s="3710"/>
    </row>
    <row r="473" spans="29:29">
      <c r="AC473" s="3710"/>
    </row>
    <row r="474" spans="29:29">
      <c r="AC474" s="3710"/>
    </row>
    <row r="475" spans="29:29">
      <c r="AC475" s="3710"/>
    </row>
    <row r="476" spans="29:29">
      <c r="AC476" s="3710"/>
    </row>
    <row r="477" spans="29:29">
      <c r="AC477" s="3710"/>
    </row>
    <row r="478" spans="29:29">
      <c r="AC478" s="3710"/>
    </row>
    <row r="479" spans="29:29">
      <c r="AC479" s="3710"/>
    </row>
    <row r="480" spans="29:29">
      <c r="AC480" s="3710"/>
    </row>
    <row r="481" spans="29:29">
      <c r="AC481" s="3710"/>
    </row>
    <row r="482" spans="29:29">
      <c r="AC482" s="3710"/>
    </row>
    <row r="483" spans="29:29">
      <c r="AC483" s="3710"/>
    </row>
    <row r="484" spans="29:29">
      <c r="AC484" s="3710"/>
    </row>
    <row r="485" spans="29:29">
      <c r="AC485" s="3710"/>
    </row>
    <row r="486" spans="29:29">
      <c r="AC486" s="3710"/>
    </row>
    <row r="487" spans="29:29">
      <c r="AC487" s="3710"/>
    </row>
    <row r="488" spans="29:29">
      <c r="AC488" s="3710"/>
    </row>
    <row r="489" spans="29:29">
      <c r="AC489" s="3710"/>
    </row>
    <row r="490" spans="29:29">
      <c r="AC490" s="3710"/>
    </row>
    <row r="491" spans="29:29">
      <c r="AC491" s="3710"/>
    </row>
    <row r="492" spans="29:29">
      <c r="AC492" s="3710"/>
    </row>
    <row r="493" spans="29:29">
      <c r="AC493" s="3710"/>
    </row>
    <row r="494" spans="29:29">
      <c r="AC494" s="3710"/>
    </row>
    <row r="495" spans="29:29">
      <c r="AC495" s="3710"/>
    </row>
    <row r="496" spans="29:29">
      <c r="AC496" s="3710"/>
    </row>
    <row r="497" spans="29:29">
      <c r="AC497" s="3710"/>
    </row>
    <row r="498" spans="29:29">
      <c r="AC498" s="3710"/>
    </row>
    <row r="499" spans="29:29">
      <c r="AC499" s="3710"/>
    </row>
    <row r="500" spans="29:29">
      <c r="AC500" s="3710"/>
    </row>
    <row r="501" spans="29:29">
      <c r="AC501" s="3710"/>
    </row>
    <row r="502" spans="29:29">
      <c r="AC502" s="3710"/>
    </row>
    <row r="503" spans="29:29">
      <c r="AC503" s="3710"/>
    </row>
    <row r="504" spans="29:29">
      <c r="AC504" s="3710"/>
    </row>
    <row r="505" spans="29:29">
      <c r="AC505" s="3710"/>
    </row>
    <row r="506" spans="29:29">
      <c r="AC506" s="3710"/>
    </row>
    <row r="507" spans="29:29">
      <c r="AC507" s="3710"/>
    </row>
    <row r="508" spans="29:29">
      <c r="AC508" s="3710"/>
    </row>
    <row r="509" spans="29:29">
      <c r="AC509" s="3710"/>
    </row>
    <row r="510" spans="29:29">
      <c r="AC510" s="3710"/>
    </row>
    <row r="511" spans="29:29">
      <c r="AC511" s="3710"/>
    </row>
    <row r="512" spans="29:29">
      <c r="AC512" s="3710"/>
    </row>
    <row r="513" spans="29:29">
      <c r="AC513" s="3710"/>
    </row>
    <row r="514" spans="29:29">
      <c r="AC514" s="3710"/>
    </row>
    <row r="515" spans="29:29">
      <c r="AC515" s="3710"/>
    </row>
    <row r="516" spans="29:29">
      <c r="AC516" s="3710"/>
    </row>
    <row r="517" spans="29:29">
      <c r="AC517" s="3710"/>
    </row>
    <row r="518" spans="29:29">
      <c r="AC518" s="3710"/>
    </row>
    <row r="519" spans="29:29">
      <c r="AC519" s="3710"/>
    </row>
    <row r="520" spans="29:29">
      <c r="AC520" s="3710"/>
    </row>
    <row r="521" spans="29:29">
      <c r="AC521" s="3710"/>
    </row>
    <row r="522" spans="29:29">
      <c r="AC522" s="3710"/>
    </row>
    <row r="523" spans="29:29">
      <c r="AC523" s="3710"/>
    </row>
    <row r="524" spans="29:29">
      <c r="AC524" s="3710"/>
    </row>
    <row r="525" spans="29:29">
      <c r="AC525" s="3710"/>
    </row>
    <row r="526" spans="29:29">
      <c r="AC526" s="3710"/>
    </row>
    <row r="527" spans="29:29">
      <c r="AC527" s="3710"/>
    </row>
    <row r="528" spans="29:29">
      <c r="AC528" s="3710"/>
    </row>
    <row r="529" spans="29:29">
      <c r="AC529" s="3710"/>
    </row>
    <row r="530" spans="29:29">
      <c r="AC530" s="3710"/>
    </row>
    <row r="531" spans="29:29">
      <c r="AC531" s="3710"/>
    </row>
    <row r="532" spans="29:29">
      <c r="AC532" s="3710"/>
    </row>
    <row r="533" spans="29:29">
      <c r="AC533" s="3710"/>
    </row>
    <row r="534" spans="29:29">
      <c r="AC534" s="3710"/>
    </row>
    <row r="535" spans="29:29">
      <c r="AC535" s="3710"/>
    </row>
    <row r="536" spans="29:29">
      <c r="AC536" s="3710"/>
    </row>
    <row r="537" spans="29:29">
      <c r="AC537" s="3710"/>
    </row>
    <row r="538" spans="29:29">
      <c r="AC538" s="3710"/>
    </row>
    <row r="539" spans="29:29">
      <c r="AC539" s="3710"/>
    </row>
    <row r="540" spans="29:29">
      <c r="AC540" s="3710"/>
    </row>
    <row r="541" spans="29:29">
      <c r="AC541" s="3710"/>
    </row>
    <row r="542" spans="29:29">
      <c r="AC542" s="3710"/>
    </row>
    <row r="543" spans="29:29">
      <c r="AC543" s="3710"/>
    </row>
    <row r="544" spans="29:29">
      <c r="AC544" s="3710"/>
    </row>
    <row r="545" spans="29:29">
      <c r="AC545" s="3710"/>
    </row>
    <row r="546" spans="29:29">
      <c r="AC546" s="3710"/>
    </row>
    <row r="547" spans="29:29">
      <c r="AC547" s="3710"/>
    </row>
    <row r="548" spans="29:29">
      <c r="AC548" s="3710"/>
    </row>
    <row r="549" spans="29:29">
      <c r="AC549" s="3710"/>
    </row>
    <row r="550" spans="29:29">
      <c r="AC550" s="3710"/>
    </row>
    <row r="551" spans="29:29">
      <c r="AC551" s="3710"/>
    </row>
    <row r="552" spans="29:29">
      <c r="AC552" s="3710"/>
    </row>
    <row r="553" spans="29:29">
      <c r="AC553" s="3710"/>
    </row>
    <row r="554" spans="29:29">
      <c r="AC554" s="3710"/>
    </row>
    <row r="555" spans="29:29">
      <c r="AC555" s="3710"/>
    </row>
    <row r="556" spans="29:29">
      <c r="AC556" s="3710"/>
    </row>
    <row r="557" spans="29:29">
      <c r="AC557" s="3710"/>
    </row>
    <row r="558" spans="29:29">
      <c r="AC558" s="3710"/>
    </row>
    <row r="559" spans="29:29">
      <c r="AC559" s="3710"/>
    </row>
    <row r="560" spans="29:29">
      <c r="AC560" s="3710"/>
    </row>
    <row r="561" spans="29:29">
      <c r="AC561" s="3710"/>
    </row>
    <row r="562" spans="29:29">
      <c r="AC562" s="3710"/>
    </row>
    <row r="563" spans="29:29">
      <c r="AC563" s="3710"/>
    </row>
    <row r="564" spans="29:29">
      <c r="AC564" s="3710"/>
    </row>
    <row r="565" spans="29:29">
      <c r="AC565" s="3710"/>
    </row>
    <row r="566" spans="29:29">
      <c r="AC566" s="3710"/>
    </row>
    <row r="567" spans="29:29">
      <c r="AC567" s="3710"/>
    </row>
    <row r="568" spans="29:29">
      <c r="AC568" s="3710"/>
    </row>
    <row r="569" spans="29:29">
      <c r="AC569" s="3710"/>
    </row>
    <row r="570" spans="29:29">
      <c r="AC570" s="3710"/>
    </row>
    <row r="571" spans="29:29">
      <c r="AC571" s="3710"/>
    </row>
    <row r="572" spans="29:29">
      <c r="AC572" s="3710"/>
    </row>
    <row r="573" spans="29:29">
      <c r="AC573" s="3710"/>
    </row>
    <row r="574" spans="29:29">
      <c r="AC574" s="3710"/>
    </row>
    <row r="575" spans="29:29">
      <c r="AC575" s="3710"/>
    </row>
    <row r="576" spans="29:29">
      <c r="AC576" s="3710"/>
    </row>
    <row r="577" spans="29:29">
      <c r="AC577" s="3710"/>
    </row>
    <row r="578" spans="29:29">
      <c r="AC578" s="3710"/>
    </row>
    <row r="579" spans="29:29">
      <c r="AC579" s="3710"/>
    </row>
    <row r="580" spans="29:29">
      <c r="AC580" s="3710"/>
    </row>
    <row r="581" spans="29:29">
      <c r="AC581" s="3710"/>
    </row>
    <row r="582" spans="29:29">
      <c r="AC582" s="3710"/>
    </row>
    <row r="583" spans="29:29">
      <c r="AC583" s="3710"/>
    </row>
    <row r="584" spans="29:29">
      <c r="AC584" s="3710"/>
    </row>
    <row r="585" spans="29:29">
      <c r="AC585" s="3710"/>
    </row>
    <row r="586" spans="29:29">
      <c r="AC586" s="3710"/>
    </row>
    <row r="587" spans="29:29">
      <c r="AC587" s="3710"/>
    </row>
    <row r="588" spans="29:29">
      <c r="AC588" s="3710"/>
    </row>
    <row r="589" spans="29:29">
      <c r="AC589" s="3710"/>
    </row>
    <row r="590" spans="29:29">
      <c r="AC590" s="3710"/>
    </row>
    <row r="591" spans="29:29">
      <c r="AC591" s="3710"/>
    </row>
    <row r="592" spans="29:29">
      <c r="AC592" s="3710"/>
    </row>
    <row r="593" spans="29:29">
      <c r="AC593" s="3710"/>
    </row>
    <row r="594" spans="29:29">
      <c r="AC594" s="3710"/>
    </row>
    <row r="595" spans="29:29">
      <c r="AC595" s="3710"/>
    </row>
    <row r="596" spans="29:29">
      <c r="AC596" s="3710"/>
    </row>
    <row r="597" spans="29:29">
      <c r="AC597" s="3710"/>
    </row>
    <row r="598" spans="29:29">
      <c r="AC598" s="3710"/>
    </row>
    <row r="599" spans="29:29">
      <c r="AC599" s="3710"/>
    </row>
    <row r="600" spans="29:29">
      <c r="AC600" s="3710"/>
    </row>
    <row r="601" spans="29:29">
      <c r="AC601" s="3710"/>
    </row>
    <row r="602" spans="29:29">
      <c r="AC602" s="3710"/>
    </row>
    <row r="603" spans="29:29">
      <c r="AC603" s="3710"/>
    </row>
    <row r="604" spans="29:29">
      <c r="AC604" s="3710"/>
    </row>
    <row r="605" spans="29:29">
      <c r="AC605" s="3710"/>
    </row>
    <row r="606" spans="29:29">
      <c r="AC606" s="3710"/>
    </row>
    <row r="607" spans="29:29">
      <c r="AC607" s="3710"/>
    </row>
    <row r="608" spans="29:29">
      <c r="AC608" s="3710"/>
    </row>
    <row r="609" spans="29:29">
      <c r="AC609" s="3710"/>
    </row>
    <row r="610" spans="29:29">
      <c r="AC610" s="3710"/>
    </row>
    <row r="611" spans="29:29">
      <c r="AC611" s="3710"/>
    </row>
    <row r="612" spans="29:29">
      <c r="AC612" s="3710"/>
    </row>
    <row r="613" spans="29:29">
      <c r="AC613" s="3710"/>
    </row>
    <row r="614" spans="29:29">
      <c r="AC614" s="3710"/>
    </row>
    <row r="615" spans="29:29">
      <c r="AC615" s="3710"/>
    </row>
    <row r="616" spans="29:29">
      <c r="AC616" s="3710"/>
    </row>
    <row r="617" spans="29:29">
      <c r="AC617" s="3710"/>
    </row>
    <row r="618" spans="29:29">
      <c r="AC618" s="3710"/>
    </row>
    <row r="619" spans="29:29">
      <c r="AC619" s="3710"/>
    </row>
    <row r="620" spans="29:29">
      <c r="AC620" s="3710"/>
    </row>
    <row r="621" spans="29:29">
      <c r="AC621" s="3710"/>
    </row>
    <row r="622" spans="29:29">
      <c r="AC622" s="3710"/>
    </row>
    <row r="623" spans="29:29">
      <c r="AC623" s="3710"/>
    </row>
    <row r="624" spans="29:29">
      <c r="AC624" s="3710"/>
    </row>
    <row r="625" spans="29:29">
      <c r="AC625" s="3710"/>
    </row>
    <row r="626" spans="29:29">
      <c r="AC626" s="3710"/>
    </row>
    <row r="627" spans="29:29">
      <c r="AC627" s="3710"/>
    </row>
    <row r="628" spans="29:29">
      <c r="AC628" s="3710"/>
    </row>
    <row r="629" spans="29:29">
      <c r="AC629" s="3710"/>
    </row>
    <row r="630" spans="29:29">
      <c r="AC630" s="3710"/>
    </row>
    <row r="631" spans="29:29">
      <c r="AC631" s="3710"/>
    </row>
    <row r="632" spans="29:29">
      <c r="AC632" s="3710"/>
    </row>
    <row r="633" spans="29:29">
      <c r="AC633" s="3710"/>
    </row>
    <row r="634" spans="29:29">
      <c r="AC634" s="3710"/>
    </row>
    <row r="635" spans="29:29">
      <c r="AC635" s="3710"/>
    </row>
    <row r="636" spans="29:29">
      <c r="AC636" s="3710"/>
    </row>
    <row r="637" spans="29:29">
      <c r="AC637" s="3710"/>
    </row>
    <row r="638" spans="29:29">
      <c r="AC638" s="3710"/>
    </row>
    <row r="639" spans="29:29">
      <c r="AC639" s="3710"/>
    </row>
    <row r="640" spans="29:29">
      <c r="AC640" s="3710"/>
    </row>
    <row r="641" spans="29:29">
      <c r="AC641" s="3710"/>
    </row>
    <row r="642" spans="29:29">
      <c r="AC642" s="3710"/>
    </row>
    <row r="643" spans="29:29">
      <c r="AC643" s="3710"/>
    </row>
    <row r="644" spans="29:29">
      <c r="AC644" s="3710"/>
    </row>
    <row r="645" spans="29:29">
      <c r="AC645" s="3710"/>
    </row>
    <row r="646" spans="29:29">
      <c r="AC646" s="3710"/>
    </row>
    <row r="647" spans="29:29">
      <c r="AC647" s="3710"/>
    </row>
    <row r="648" spans="29:29">
      <c r="AC648" s="3710"/>
    </row>
    <row r="649" spans="29:29">
      <c r="AC649" s="3710"/>
    </row>
    <row r="650" spans="29:29">
      <c r="AC650" s="3710"/>
    </row>
    <row r="651" spans="29:29">
      <c r="AC651" s="3710"/>
    </row>
    <row r="652" spans="29:29">
      <c r="AC652" s="3710"/>
    </row>
    <row r="653" spans="29:29">
      <c r="AC653" s="3710"/>
    </row>
    <row r="654" spans="29:29">
      <c r="AC654" s="3710"/>
    </row>
    <row r="655" spans="29:29">
      <c r="AC655" s="3710"/>
    </row>
    <row r="656" spans="29:29">
      <c r="AC656" s="3710"/>
    </row>
    <row r="657" spans="29:29">
      <c r="AC657" s="3710"/>
    </row>
    <row r="658" spans="29:29">
      <c r="AC658" s="3710"/>
    </row>
    <row r="659" spans="29:29">
      <c r="AC659" s="3710"/>
    </row>
    <row r="660" spans="29:29">
      <c r="AC660" s="3710"/>
    </row>
    <row r="661" spans="29:29">
      <c r="AC661" s="3710"/>
    </row>
    <row r="662" spans="29:29">
      <c r="AC662" s="3710"/>
    </row>
    <row r="663" spans="29:29">
      <c r="AC663" s="3710"/>
    </row>
    <row r="664" spans="29:29">
      <c r="AC664" s="3710"/>
    </row>
    <row r="665" spans="29:29">
      <c r="AC665" s="3710"/>
    </row>
    <row r="666" spans="29:29">
      <c r="AC666" s="3710"/>
    </row>
    <row r="667" spans="29:29">
      <c r="AC667" s="3710"/>
    </row>
    <row r="668" spans="29:29">
      <c r="AC668" s="3710"/>
    </row>
    <row r="669" spans="29:29">
      <c r="AC669" s="3710"/>
    </row>
    <row r="670" spans="29:29">
      <c r="AC670" s="3710"/>
    </row>
    <row r="671" spans="29:29">
      <c r="AC671" s="3710"/>
    </row>
    <row r="672" spans="29:29">
      <c r="AC672" s="3710"/>
    </row>
    <row r="673" spans="29:29">
      <c r="AC673" s="3710"/>
    </row>
    <row r="674" spans="29:29">
      <c r="AC674" s="3710"/>
    </row>
    <row r="675" spans="29:29">
      <c r="AC675" s="3710"/>
    </row>
    <row r="676" spans="29:29">
      <c r="AC676" s="3710"/>
    </row>
    <row r="677" spans="29:29">
      <c r="AC677" s="3710"/>
    </row>
    <row r="678" spans="29:29">
      <c r="AC678" s="3710"/>
    </row>
    <row r="679" spans="29:29">
      <c r="AC679" s="3710"/>
    </row>
    <row r="680" spans="29:29">
      <c r="AC680" s="3710"/>
    </row>
    <row r="681" spans="29:29">
      <c r="AC681" s="3710"/>
    </row>
    <row r="682" spans="29:29">
      <c r="AC682" s="3710"/>
    </row>
    <row r="683" spans="29:29">
      <c r="AC683" s="3710"/>
    </row>
    <row r="684" spans="29:29">
      <c r="AC684" s="3710"/>
    </row>
    <row r="685" spans="29:29">
      <c r="AC685" s="3710"/>
    </row>
    <row r="686" spans="29:29">
      <c r="AC686" s="3710"/>
    </row>
    <row r="687" spans="29:29">
      <c r="AC687" s="3710"/>
    </row>
    <row r="688" spans="29:29">
      <c r="AC688" s="3710"/>
    </row>
    <row r="689" spans="29:29">
      <c r="AC689" s="3710"/>
    </row>
    <row r="690" spans="29:29">
      <c r="AC690" s="3710"/>
    </row>
    <row r="691" spans="29:29">
      <c r="AC691" s="3710"/>
    </row>
    <row r="692" spans="29:29">
      <c r="AC692" s="3710"/>
    </row>
    <row r="693" spans="29:29">
      <c r="AC693" s="3710"/>
    </row>
    <row r="694" spans="29:29">
      <c r="AC694" s="3710"/>
    </row>
    <row r="695" spans="29:29">
      <c r="AC695" s="3710"/>
    </row>
    <row r="696" spans="29:29">
      <c r="AC696" s="3710"/>
    </row>
    <row r="697" spans="29:29">
      <c r="AC697" s="3710"/>
    </row>
    <row r="698" spans="29:29">
      <c r="AC698" s="3710"/>
    </row>
    <row r="699" spans="29:29">
      <c r="AC699" s="3710"/>
    </row>
    <row r="700" spans="29:29">
      <c r="AC700" s="3710"/>
    </row>
    <row r="701" spans="29:29">
      <c r="AC701" s="3710"/>
    </row>
    <row r="702" spans="29:29">
      <c r="AC702" s="3710"/>
    </row>
    <row r="703" spans="29:29">
      <c r="AC703" s="3710"/>
    </row>
    <row r="704" spans="29:29">
      <c r="AC704" s="3710"/>
    </row>
    <row r="705" spans="29:29">
      <c r="AC705" s="3710"/>
    </row>
    <row r="706" spans="29:29">
      <c r="AC706" s="3710"/>
    </row>
    <row r="707" spans="29:29">
      <c r="AC707" s="3710"/>
    </row>
    <row r="708" spans="29:29">
      <c r="AC708" s="3710"/>
    </row>
    <row r="709" spans="29:29">
      <c r="AC709" s="3710"/>
    </row>
    <row r="710" spans="29:29">
      <c r="AC710" s="3710"/>
    </row>
    <row r="711" spans="29:29">
      <c r="AC711" s="3710"/>
    </row>
    <row r="712" spans="29:29">
      <c r="AC712" s="3710"/>
    </row>
    <row r="713" spans="29:29">
      <c r="AC713" s="3710"/>
    </row>
    <row r="714" spans="29:29">
      <c r="AC714" s="3710"/>
    </row>
    <row r="715" spans="29:29">
      <c r="AC715" s="3710"/>
    </row>
    <row r="716" spans="29:29">
      <c r="AC716" s="3710"/>
    </row>
    <row r="717" spans="29:29">
      <c r="AC717" s="3710"/>
    </row>
    <row r="718" spans="29:29">
      <c r="AC718" s="3710"/>
    </row>
    <row r="719" spans="29:29">
      <c r="AC719" s="3710"/>
    </row>
    <row r="720" spans="29:29">
      <c r="AC720" s="3710"/>
    </row>
    <row r="721" spans="29:29">
      <c r="AC721" s="3710"/>
    </row>
    <row r="722" spans="29:29">
      <c r="AC722" s="3710"/>
    </row>
    <row r="723" spans="29:29">
      <c r="AC723" s="3710"/>
    </row>
    <row r="724" spans="29:29">
      <c r="AC724" s="3710"/>
    </row>
    <row r="725" spans="29:29">
      <c r="AC725" s="3710"/>
    </row>
    <row r="726" spans="29:29">
      <c r="AC726" s="3710"/>
    </row>
    <row r="727" spans="29:29">
      <c r="AC727" s="3710"/>
    </row>
    <row r="728" spans="29:29">
      <c r="AC728" s="3710"/>
    </row>
    <row r="729" spans="29:29">
      <c r="AC729" s="3710"/>
    </row>
    <row r="730" spans="29:29">
      <c r="AC730" s="3710"/>
    </row>
    <row r="731" spans="29:29">
      <c r="AC731" s="3710"/>
    </row>
    <row r="732" spans="29:29">
      <c r="AC732" s="3710"/>
    </row>
    <row r="733" spans="29:29">
      <c r="AC733" s="3710"/>
    </row>
    <row r="734" spans="29:29">
      <c r="AC734" s="3710"/>
    </row>
    <row r="735" spans="29:29">
      <c r="AC735" s="3710"/>
    </row>
    <row r="736" spans="29:29">
      <c r="AC736" s="3710"/>
    </row>
    <row r="737" spans="29:29">
      <c r="AC737" s="3710"/>
    </row>
    <row r="738" spans="29:29">
      <c r="AC738" s="3710"/>
    </row>
    <row r="739" spans="29:29">
      <c r="AC739" s="3710"/>
    </row>
    <row r="740" spans="29:29">
      <c r="AC740" s="3710"/>
    </row>
    <row r="741" spans="29:29">
      <c r="AC741" s="3710"/>
    </row>
    <row r="742" spans="29:29">
      <c r="AC742" s="3710"/>
    </row>
    <row r="743" spans="29:29">
      <c r="AC743" s="3710"/>
    </row>
    <row r="744" spans="29:29">
      <c r="AC744" s="3710"/>
    </row>
    <row r="745" spans="29:29">
      <c r="AC745" s="3710"/>
    </row>
    <row r="746" spans="29:29">
      <c r="AC746" s="3710"/>
    </row>
    <row r="747" spans="29:29">
      <c r="AC747" s="3710"/>
    </row>
    <row r="748" spans="29:29">
      <c r="AC748" s="3710"/>
    </row>
    <row r="749" spans="29:29">
      <c r="AC749" s="3710"/>
    </row>
    <row r="750" spans="29:29">
      <c r="AC750" s="3710"/>
    </row>
    <row r="751" spans="29:29">
      <c r="AC751" s="3710"/>
    </row>
    <row r="752" spans="29:29">
      <c r="AC752" s="3710"/>
    </row>
    <row r="753" spans="29:29">
      <c r="AC753" s="3710"/>
    </row>
    <row r="754" spans="29:29">
      <c r="AC754" s="3710"/>
    </row>
    <row r="755" spans="29:29">
      <c r="AC755" s="3710"/>
    </row>
    <row r="756" spans="29:29">
      <c r="AC756" s="3710"/>
    </row>
    <row r="757" spans="29:29">
      <c r="AC757" s="3710"/>
    </row>
    <row r="758" spans="29:29">
      <c r="AC758" s="3710"/>
    </row>
    <row r="759" spans="29:29">
      <c r="AC759" s="3710"/>
    </row>
    <row r="760" spans="29:29">
      <c r="AC760" s="3710"/>
    </row>
    <row r="761" spans="29:29">
      <c r="AC761" s="3710"/>
    </row>
    <row r="762" spans="29:29">
      <c r="AC762" s="3710"/>
    </row>
    <row r="763" spans="29:29">
      <c r="AC763" s="3710"/>
    </row>
    <row r="764" spans="29:29">
      <c r="AC764" s="3710"/>
    </row>
    <row r="765" spans="29:29">
      <c r="AC765" s="3710"/>
    </row>
    <row r="766" spans="29:29">
      <c r="AC766" s="3710"/>
    </row>
    <row r="767" spans="29:29">
      <c r="AC767" s="3710"/>
    </row>
    <row r="768" spans="29:29">
      <c r="AC768" s="3710"/>
    </row>
    <row r="769" spans="29:29">
      <c r="AC769" s="3710"/>
    </row>
    <row r="770" spans="29:29">
      <c r="AC770" s="3710"/>
    </row>
    <row r="771" spans="29:29">
      <c r="AC771" s="3710"/>
    </row>
    <row r="772" spans="29:29">
      <c r="AC772" s="3710"/>
    </row>
    <row r="773" spans="29:29">
      <c r="AC773" s="3710"/>
    </row>
    <row r="774" spans="29:29">
      <c r="AC774" s="3710"/>
    </row>
    <row r="775" spans="29:29">
      <c r="AC775" s="3710"/>
    </row>
    <row r="776" spans="29:29">
      <c r="AC776" s="3710"/>
    </row>
    <row r="777" spans="29:29">
      <c r="AC777" s="3710"/>
    </row>
    <row r="778" spans="29:29">
      <c r="AC778" s="3710"/>
    </row>
    <row r="779" spans="29:29">
      <c r="AC779" s="3710"/>
    </row>
    <row r="780" spans="29:29">
      <c r="AC780" s="3710"/>
    </row>
    <row r="781" spans="29:29">
      <c r="AC781" s="3710"/>
    </row>
    <row r="782" spans="29:29">
      <c r="AC782" s="3710"/>
    </row>
    <row r="783" spans="29:29">
      <c r="AC783" s="3710"/>
    </row>
    <row r="784" spans="29:29">
      <c r="AC784" s="3710"/>
    </row>
    <row r="785" spans="29:29">
      <c r="AC785" s="3710"/>
    </row>
    <row r="786" spans="29:29">
      <c r="AC786" s="3710"/>
    </row>
    <row r="787" spans="29:29">
      <c r="AC787" s="3710"/>
    </row>
    <row r="788" spans="29:29">
      <c r="AC788" s="3710"/>
    </row>
    <row r="789" spans="29:29">
      <c r="AC789" s="3710"/>
    </row>
    <row r="790" spans="29:29">
      <c r="AC790" s="3710"/>
    </row>
    <row r="791" spans="29:29">
      <c r="AC791" s="3710"/>
    </row>
    <row r="792" spans="29:29">
      <c r="AC792" s="3710"/>
    </row>
    <row r="793" spans="29:29">
      <c r="AC793" s="3710"/>
    </row>
    <row r="794" spans="29:29">
      <c r="AC794" s="37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workbookViewId="0">
      <selection activeCell="F36" sqref="F36"/>
    </sheetView>
  </sheetViews>
  <sheetFormatPr defaultRowHeight="13.5"/>
  <cols>
    <col min="1" max="16384" width="9" style="3361"/>
  </cols>
  <sheetData>
    <row r="2" spans="1:1">
      <c r="A2" s="3361" t="s">
        <v>3207</v>
      </c>
    </row>
    <row r="3" spans="1:1">
      <c r="A3" s="3361">
        <v>31000</v>
      </c>
    </row>
    <row r="37" spans="1:1">
      <c r="A37" s="3361" t="s">
        <v>3208</v>
      </c>
    </row>
    <row r="39" spans="1:1">
      <c r="A39" s="3361">
        <v>30958</v>
      </c>
    </row>
    <row r="73" spans="1:1">
      <c r="A73" s="3361" t="s">
        <v>3209</v>
      </c>
    </row>
    <row r="75" spans="1:1">
      <c r="A75" s="3361">
        <v>30000</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6.7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753"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3210</v>
      </c>
      <c r="C1" s="3392" t="s">
        <v>3177</v>
      </c>
      <c r="D1" s="3715" t="s">
        <v>1665</v>
      </c>
      <c r="E1" s="3394"/>
      <c r="F1" s="3395"/>
      <c r="G1" s="3396" t="s">
        <v>3178</v>
      </c>
      <c r="H1" s="3394"/>
      <c r="I1" s="3394"/>
      <c r="J1" s="3394"/>
      <c r="K1" s="3397"/>
      <c r="L1" s="3398"/>
      <c r="M1" s="3399"/>
      <c r="N1" s="3399"/>
      <c r="O1" s="3399"/>
      <c r="P1" s="3716"/>
      <c r="Q1" s="3400"/>
      <c r="R1" s="3400"/>
      <c r="S1" s="3400"/>
      <c r="T1" s="3400"/>
      <c r="U1" s="3400"/>
      <c r="V1" s="3400"/>
      <c r="W1" s="3400"/>
      <c r="X1" s="3400"/>
      <c r="Y1" s="3400"/>
      <c r="Z1" s="3400"/>
      <c r="AA1" s="3400"/>
      <c r="AB1" s="3400"/>
      <c r="AC1" s="3401"/>
    </row>
    <row r="2" spans="1:29" s="3402" customFormat="1" ht="28.5" customHeight="1">
      <c r="A2" s="3403" t="s">
        <v>3179</v>
      </c>
      <c r="B2" s="3404">
        <f>ROUND(B3*D3/10000,0)</f>
        <v>1257795</v>
      </c>
      <c r="C2" s="3405"/>
      <c r="D2" s="3405"/>
      <c r="E2" s="3401"/>
      <c r="F2" s="3406"/>
      <c r="G2" s="3407"/>
      <c r="H2" s="3407"/>
      <c r="I2" s="3407"/>
      <c r="J2" s="3407"/>
      <c r="K2" s="3407"/>
      <c r="L2" s="3408"/>
      <c r="M2" s="3400"/>
      <c r="N2" s="3400"/>
      <c r="O2" s="3400"/>
      <c r="P2" s="3716"/>
      <c r="Q2" s="3400"/>
      <c r="R2" s="3400"/>
      <c r="S2" s="3400"/>
      <c r="T2" s="3400"/>
      <c r="U2" s="3400"/>
      <c r="V2" s="3400"/>
      <c r="W2" s="3400"/>
      <c r="X2" s="3400"/>
      <c r="Y2" s="3400"/>
      <c r="Z2" s="3400"/>
      <c r="AA2" s="3400"/>
      <c r="AB2" s="3400"/>
      <c r="AC2" s="3401"/>
    </row>
    <row r="3" spans="1:29" s="3402" customFormat="1" ht="28.5" customHeight="1" thickBot="1">
      <c r="A3" s="3409" t="s">
        <v>3180</v>
      </c>
      <c r="B3" s="3410">
        <f>C50</f>
        <v>34650</v>
      </c>
      <c r="C3" s="3411" t="s">
        <v>3181</v>
      </c>
      <c r="D3" s="3412">
        <f>SUMIF('数据-汇总表'!$C19:$C33,D1,'数据-汇总表'!$E19:$E33)</f>
        <v>363000</v>
      </c>
      <c r="E3" s="3401"/>
      <c r="F3" s="3406"/>
      <c r="G3" s="3407"/>
      <c r="H3" s="3407"/>
      <c r="I3" s="3407"/>
      <c r="J3" s="3407"/>
      <c r="K3" s="3413"/>
      <c r="L3" s="3408"/>
      <c r="M3" s="3400"/>
      <c r="N3" s="3400"/>
      <c r="O3" s="3400"/>
      <c r="P3" s="3716"/>
      <c r="Q3" s="3400"/>
      <c r="R3" s="3400"/>
      <c r="S3" s="3400"/>
      <c r="T3" s="3400"/>
      <c r="U3" s="3400"/>
      <c r="V3" s="3400"/>
      <c r="W3" s="3400"/>
      <c r="X3" s="3400"/>
      <c r="Y3" s="3400"/>
      <c r="Z3" s="3400"/>
      <c r="AA3" s="3400"/>
      <c r="AB3" s="3400"/>
      <c r="AC3" s="3401"/>
    </row>
    <row r="4" spans="1:29" ht="15">
      <c r="A4" s="3414" t="s">
        <v>513</v>
      </c>
      <c r="B4" s="3415"/>
      <c r="C4" s="4094" t="s">
        <v>514</v>
      </c>
      <c r="D4" s="4095"/>
      <c r="E4" s="4096" t="s">
        <v>515</v>
      </c>
      <c r="F4" s="4097"/>
      <c r="G4" s="4094" t="s">
        <v>516</v>
      </c>
      <c r="H4" s="4095"/>
      <c r="I4" s="4094" t="s">
        <v>517</v>
      </c>
      <c r="J4" s="4095"/>
      <c r="K4" s="3416" t="s">
        <v>518</v>
      </c>
      <c r="L4" s="3417"/>
      <c r="M4" s="3418"/>
      <c r="N4" s="3418"/>
      <c r="O4" s="3418"/>
      <c r="P4" s="4132" t="s">
        <v>519</v>
      </c>
      <c r="Q4" s="4099"/>
      <c r="R4" s="4104" t="s">
        <v>515</v>
      </c>
      <c r="S4" s="4105"/>
      <c r="T4" s="4104" t="s">
        <v>516</v>
      </c>
      <c r="U4" s="4105"/>
      <c r="V4" s="4118" t="s">
        <v>517</v>
      </c>
      <c r="W4" s="4118"/>
      <c r="X4" s="3419"/>
      <c r="Y4" s="4104" t="s">
        <v>519</v>
      </c>
      <c r="Z4" s="4105"/>
      <c r="AA4" s="4091" t="s">
        <v>515</v>
      </c>
      <c r="AB4" s="4091" t="s">
        <v>516</v>
      </c>
      <c r="AC4" s="4091" t="s">
        <v>517</v>
      </c>
    </row>
    <row r="5" spans="1:29" ht="15">
      <c r="A5" s="3421"/>
      <c r="B5" s="3422"/>
      <c r="C5" s="4108" t="s">
        <v>2892</v>
      </c>
      <c r="D5" s="4109"/>
      <c r="E5" s="4110" t="str">
        <f>办公案例截图及地图!$A$1</f>
        <v>金融街园中园</v>
      </c>
      <c r="F5" s="4111"/>
      <c r="G5" s="4135" t="s">
        <v>3211</v>
      </c>
      <c r="H5" s="4109"/>
      <c r="I5" s="4108" t="str">
        <f>办公案例截图及地图!$A$86</f>
        <v>万方大厦</v>
      </c>
      <c r="J5" s="4109"/>
      <c r="K5" s="3416"/>
      <c r="L5" s="3417"/>
      <c r="M5" s="3418"/>
      <c r="N5" s="3418"/>
      <c r="O5" s="3418"/>
      <c r="P5" s="4133"/>
      <c r="Q5" s="4101"/>
      <c r="R5" s="4106"/>
      <c r="S5" s="4107"/>
      <c r="T5" s="4106"/>
      <c r="U5" s="4107"/>
      <c r="V5" s="4118"/>
      <c r="W5" s="4118"/>
      <c r="X5" s="3419"/>
      <c r="Y5" s="4106"/>
      <c r="Z5" s="4107"/>
      <c r="AA5" s="4092"/>
      <c r="AB5" s="4092"/>
      <c r="AC5" s="4092"/>
    </row>
    <row r="6" spans="1:29" ht="15.75" thickBot="1">
      <c r="A6" s="3423"/>
      <c r="B6" s="3424"/>
      <c r="C6" s="4112" t="s">
        <v>2896</v>
      </c>
      <c r="D6" s="4113"/>
      <c r="E6" s="4114" t="s">
        <v>2896</v>
      </c>
      <c r="F6" s="4115"/>
      <c r="G6" s="4112" t="s">
        <v>2896</v>
      </c>
      <c r="H6" s="4113"/>
      <c r="I6" s="4112" t="s">
        <v>2896</v>
      </c>
      <c r="J6" s="4113"/>
      <c r="K6" s="3416" t="s">
        <v>520</v>
      </c>
      <c r="L6" s="3417"/>
      <c r="M6" s="3418"/>
      <c r="N6" s="3418"/>
      <c r="O6" s="3418"/>
      <c r="P6" s="4134"/>
      <c r="Q6" s="4103"/>
      <c r="R6" s="4106"/>
      <c r="S6" s="4107"/>
      <c r="T6" s="4116"/>
      <c r="U6" s="4117"/>
      <c r="V6" s="4118"/>
      <c r="W6" s="4118"/>
      <c r="X6" s="3419"/>
      <c r="Y6" s="4116"/>
      <c r="Z6" s="4117"/>
      <c r="AA6" s="4093"/>
      <c r="AB6" s="4093"/>
      <c r="AC6" s="4093"/>
    </row>
    <row r="7" spans="1:29" s="3438" customFormat="1" ht="15.75" thickBot="1">
      <c r="A7" s="3425"/>
      <c r="B7" s="3426" t="s">
        <v>521</v>
      </c>
      <c r="C7" s="3427">
        <f>'[3]数据-取费表'!B2</f>
        <v>44498</v>
      </c>
      <c r="D7" s="3428">
        <v>100</v>
      </c>
      <c r="E7" s="3429">
        <v>44470</v>
      </c>
      <c r="F7" s="3430">
        <f>SUMIF(59:59,YEAR(E7)&amp;"-"&amp;MONTH(E7),60:60)</f>
        <v>100</v>
      </c>
      <c r="G7" s="3429">
        <v>44470</v>
      </c>
      <c r="H7" s="3428">
        <f>SUMIF(59:59,YEAR(G7)&amp;"-"&amp;MONTH(G7),60:60)</f>
        <v>100</v>
      </c>
      <c r="I7" s="3429">
        <v>44440</v>
      </c>
      <c r="J7" s="3428">
        <f>SUMIF(59:59,YEAR(I7)&amp;"-"&amp;MONTH(I7),60:60)</f>
        <v>100</v>
      </c>
      <c r="K7" s="3431"/>
      <c r="L7" s="3432"/>
      <c r="M7" s="3433"/>
      <c r="N7" s="3433"/>
      <c r="O7" s="3433"/>
      <c r="P7" s="4120" t="s">
        <v>522</v>
      </c>
      <c r="Q7" s="4120"/>
      <c r="R7" s="3434" t="s">
        <v>8</v>
      </c>
      <c r="S7" s="3435">
        <f t="shared" ref="S7:S15" si="0">F7</f>
        <v>100</v>
      </c>
      <c r="T7" s="3434" t="s">
        <v>8</v>
      </c>
      <c r="U7" s="3435">
        <f t="shared" ref="U7:U15" si="1">H7</f>
        <v>100</v>
      </c>
      <c r="V7" s="3434" t="s">
        <v>8</v>
      </c>
      <c r="W7" s="3435">
        <f t="shared" ref="W7:W15" si="2">J7</f>
        <v>100</v>
      </c>
      <c r="X7" s="3436"/>
      <c r="Y7" s="4119" t="s">
        <v>522</v>
      </c>
      <c r="Z7" s="4121"/>
      <c r="AA7" s="3437">
        <f>D7/F7</f>
        <v>1</v>
      </c>
      <c r="AB7" s="3437">
        <f>D7/H7</f>
        <v>1</v>
      </c>
      <c r="AC7" s="3437">
        <f>D7/J7</f>
        <v>1</v>
      </c>
    </row>
    <row r="8" spans="1:29" s="3438" customFormat="1" ht="15.75" thickBot="1">
      <c r="A8" s="3439"/>
      <c r="B8" s="3440" t="s">
        <v>523</v>
      </c>
      <c r="C8" s="3441" t="s">
        <v>3182</v>
      </c>
      <c r="D8" s="3428">
        <v>100</v>
      </c>
      <c r="E8" s="3441" t="s">
        <v>3212</v>
      </c>
      <c r="F8" s="3430">
        <f>SUMIF(62:62,E8,63:63)-SUMIF(62:62,C8,63:63)+100</f>
        <v>103</v>
      </c>
      <c r="G8" s="3441" t="s">
        <v>3212</v>
      </c>
      <c r="H8" s="3428">
        <f>SUMIF(62:62,G8,63:63)-SUMIF(62:62,C8,63:63)+100</f>
        <v>103</v>
      </c>
      <c r="I8" s="3441" t="s">
        <v>3212</v>
      </c>
      <c r="J8" s="3428">
        <f>SUMIF(62:62,I8,63:63)-SUMIF(62:62,C8,63:63)+100</f>
        <v>103</v>
      </c>
      <c r="K8" s="3431"/>
      <c r="L8" s="3432"/>
      <c r="M8" s="3433"/>
      <c r="N8" s="3433"/>
      <c r="O8" s="3433"/>
      <c r="P8" s="4120" t="s">
        <v>525</v>
      </c>
      <c r="Q8" s="4121"/>
      <c r="R8" s="3434" t="s">
        <v>8</v>
      </c>
      <c r="S8" s="3435">
        <f t="shared" si="0"/>
        <v>103</v>
      </c>
      <c r="T8" s="3434" t="s">
        <v>8</v>
      </c>
      <c r="U8" s="3435">
        <f t="shared" si="1"/>
        <v>103</v>
      </c>
      <c r="V8" s="3434" t="s">
        <v>8</v>
      </c>
      <c r="W8" s="3435">
        <f t="shared" si="2"/>
        <v>103</v>
      </c>
      <c r="X8" s="3436"/>
      <c r="Y8" s="4119" t="s">
        <v>525</v>
      </c>
      <c r="Z8" s="4121"/>
      <c r="AA8" s="3437">
        <f t="shared" ref="AA8:AA47" si="3">D8/F8</f>
        <v>0.970873786407767</v>
      </c>
      <c r="AB8" s="3437">
        <f t="shared" ref="AB8:AB47" si="4">D8/H8</f>
        <v>0.970873786407767</v>
      </c>
      <c r="AC8" s="3437">
        <f t="shared" ref="AC8:AC47" si="5">D8/J8</f>
        <v>0.970873786407767</v>
      </c>
    </row>
    <row r="9" spans="1:29" s="3438" customFormat="1" ht="15">
      <c r="A9" s="3442"/>
      <c r="B9" s="3443" t="s">
        <v>2734</v>
      </c>
      <c r="C9" s="3444"/>
      <c r="D9" s="3445">
        <v>100</v>
      </c>
      <c r="E9" s="3446"/>
      <c r="F9" s="3445">
        <f>SUMIF(64:64,E9,65:65)-SUMIF(64:64,C9,65:65)+100</f>
        <v>100</v>
      </c>
      <c r="G9" s="3447"/>
      <c r="H9" s="3445">
        <f>SUMIF(64:64,G9,65:65)-SUMIF(64:64,C9,65:65)+100</f>
        <v>100</v>
      </c>
      <c r="I9" s="3447"/>
      <c r="J9" s="3445">
        <f>SUMIF(64:64,I9,65:65)-SUMIF(64:64,C9,65:65)+100</f>
        <v>100</v>
      </c>
      <c r="K9" s="3431"/>
      <c r="L9" s="3432"/>
      <c r="M9" s="3433"/>
      <c r="N9" s="3433"/>
      <c r="O9" s="3433"/>
      <c r="P9" s="4122" t="s">
        <v>527</v>
      </c>
      <c r="Q9" s="3449" t="str">
        <f t="shared" ref="Q9:Q15" si="6">B9</f>
        <v>用途</v>
      </c>
      <c r="R9" s="3434" t="s">
        <v>8</v>
      </c>
      <c r="S9" s="3435">
        <f t="shared" si="0"/>
        <v>100</v>
      </c>
      <c r="T9" s="3434" t="s">
        <v>8</v>
      </c>
      <c r="U9" s="3435">
        <f t="shared" si="1"/>
        <v>100</v>
      </c>
      <c r="V9" s="3434" t="s">
        <v>8</v>
      </c>
      <c r="W9" s="3435">
        <f t="shared" si="2"/>
        <v>100</v>
      </c>
      <c r="X9" s="3436"/>
      <c r="Y9" s="4123" t="s">
        <v>528</v>
      </c>
      <c r="Z9" s="3437" t="str">
        <f t="shared" ref="Z9:Z15" si="7">Q9</f>
        <v>用途</v>
      </c>
      <c r="AA9" s="3437">
        <f t="shared" si="3"/>
        <v>1</v>
      </c>
      <c r="AB9" s="3437">
        <f t="shared" si="4"/>
        <v>1</v>
      </c>
      <c r="AC9" s="3437">
        <f t="shared" si="5"/>
        <v>1</v>
      </c>
    </row>
    <row r="10" spans="1:29" s="3458" customFormat="1" ht="27">
      <c r="A10" s="3450"/>
      <c r="B10" s="3440" t="s">
        <v>2735</v>
      </c>
      <c r="C10" s="3451" t="s">
        <v>3135</v>
      </c>
      <c r="D10" s="3452">
        <v>100</v>
      </c>
      <c r="E10" s="3451" t="s">
        <v>3129</v>
      </c>
      <c r="F10" s="3452">
        <f>SUMIF(66:66,E10,67:67)-SUMIF(66:66,C10,67:67)+100</f>
        <v>99.5</v>
      </c>
      <c r="G10" s="3453" t="s">
        <v>3135</v>
      </c>
      <c r="H10" s="3452">
        <f>SUMIF(66:66,G10,67:67)-SUMIF(66:66,C10,67:67)+100</f>
        <v>100</v>
      </c>
      <c r="I10" s="3451" t="s">
        <v>3129</v>
      </c>
      <c r="J10" s="3452">
        <f>SUMIF(66:66,I10,67:67)-SUMIF(66:66,C10,67:67)+100</f>
        <v>99.5</v>
      </c>
      <c r="K10" s="3454">
        <v>0.5</v>
      </c>
      <c r="L10" s="3455"/>
      <c r="M10" s="3456"/>
      <c r="N10" s="3456"/>
      <c r="O10" s="3456"/>
      <c r="P10" s="4122"/>
      <c r="Q10" s="3449" t="str">
        <f t="shared" si="6"/>
        <v>土地使用年限（年）</v>
      </c>
      <c r="R10" s="3434" t="s">
        <v>8</v>
      </c>
      <c r="S10" s="3435">
        <f t="shared" si="0"/>
        <v>99.5</v>
      </c>
      <c r="T10" s="3434" t="s">
        <v>8</v>
      </c>
      <c r="U10" s="3435">
        <f t="shared" si="1"/>
        <v>100</v>
      </c>
      <c r="V10" s="3434" t="s">
        <v>8</v>
      </c>
      <c r="W10" s="3435">
        <f t="shared" si="2"/>
        <v>99.5</v>
      </c>
      <c r="X10" s="3436"/>
      <c r="Y10" s="4123"/>
      <c r="Z10" s="3437" t="str">
        <f t="shared" si="7"/>
        <v>土地使用年限（年）</v>
      </c>
      <c r="AA10" s="3437">
        <f t="shared" si="3"/>
        <v>1.0050251256281406</v>
      </c>
      <c r="AB10" s="3437">
        <f t="shared" si="4"/>
        <v>1</v>
      </c>
      <c r="AC10" s="3437">
        <f t="shared" si="5"/>
        <v>1.0050251256281406</v>
      </c>
    </row>
    <row r="11" spans="1:29" ht="15">
      <c r="A11" s="3459"/>
      <c r="B11" s="3440" t="s">
        <v>2736</v>
      </c>
      <c r="C11" s="3460">
        <f>'数据-汇总表'!I7</f>
        <v>6.35</v>
      </c>
      <c r="D11" s="3452">
        <v>100</v>
      </c>
      <c r="E11" s="3460">
        <v>1.8</v>
      </c>
      <c r="F11" s="3452">
        <f>LOOKUP(E11,69:69,70:70)-LOOKUP(C11,69:69,70:70)+100</f>
        <v>100</v>
      </c>
      <c r="G11" s="3461">
        <v>1.8</v>
      </c>
      <c r="H11" s="3452">
        <f>LOOKUP(G11,69:69,70:70)-LOOKUP(C11,69:69,70:70)+100</f>
        <v>100</v>
      </c>
      <c r="I11" s="3460">
        <v>1.8</v>
      </c>
      <c r="J11" s="3452">
        <f>LOOKUP(I11,69:69,70:70)-LOOKUP(C11,69:69,70:70)+100</f>
        <v>100</v>
      </c>
      <c r="K11" s="3454"/>
      <c r="L11" s="3462"/>
      <c r="M11" s="3418"/>
      <c r="N11" s="3418"/>
      <c r="O11" s="3418"/>
      <c r="P11" s="4122"/>
      <c r="Q11" s="3449" t="str">
        <f t="shared" si="6"/>
        <v>容积率</v>
      </c>
      <c r="R11" s="3434" t="s">
        <v>8</v>
      </c>
      <c r="S11" s="3435">
        <f t="shared" si="0"/>
        <v>100</v>
      </c>
      <c r="T11" s="3434" t="s">
        <v>8</v>
      </c>
      <c r="U11" s="3435">
        <f t="shared" si="1"/>
        <v>100</v>
      </c>
      <c r="V11" s="3434" t="s">
        <v>8</v>
      </c>
      <c r="W11" s="3435">
        <f t="shared" si="2"/>
        <v>100</v>
      </c>
      <c r="X11" s="3436"/>
      <c r="Y11" s="4123"/>
      <c r="Z11" s="3437" t="str">
        <f t="shared" si="7"/>
        <v>容积率</v>
      </c>
      <c r="AA11" s="3437">
        <f t="shared" si="3"/>
        <v>1</v>
      </c>
      <c r="AB11" s="3437">
        <f t="shared" si="4"/>
        <v>1</v>
      </c>
      <c r="AC11" s="3437">
        <f t="shared" si="5"/>
        <v>1</v>
      </c>
    </row>
    <row r="12" spans="1:29" s="3438" customFormat="1" ht="15">
      <c r="A12" s="3464"/>
      <c r="B12" s="3465">
        <v>111</v>
      </c>
      <c r="C12" s="3466"/>
      <c r="D12" s="3467">
        <v>100</v>
      </c>
      <c r="E12" s="3466"/>
      <c r="F12" s="3452">
        <f>SUMIF(71:71,E12,72:72)-SUMIF(71:71,C12,72:72)+100</f>
        <v>100</v>
      </c>
      <c r="G12" s="3717"/>
      <c r="H12" s="3452">
        <f>SUMIF(71:71,G12,72:72)-SUMIF(71:71,C12,72:72)+100</f>
        <v>100</v>
      </c>
      <c r="I12" s="3466"/>
      <c r="J12" s="3452">
        <f>SUMIF(71:71,I12,72:72)-SUMIF(71:71,C12,72:72)+100</f>
        <v>100</v>
      </c>
      <c r="K12" s="3470"/>
      <c r="L12" s="3432"/>
      <c r="M12" s="3433"/>
      <c r="N12" s="3433"/>
      <c r="O12" s="3433"/>
      <c r="P12" s="4122"/>
      <c r="Q12" s="3449">
        <f t="shared" si="6"/>
        <v>111</v>
      </c>
      <c r="R12" s="3434" t="s">
        <v>8</v>
      </c>
      <c r="S12" s="3435">
        <f t="shared" si="0"/>
        <v>100</v>
      </c>
      <c r="T12" s="3434" t="s">
        <v>8</v>
      </c>
      <c r="U12" s="3435">
        <f t="shared" si="1"/>
        <v>100</v>
      </c>
      <c r="V12" s="3434" t="s">
        <v>8</v>
      </c>
      <c r="W12" s="3435">
        <f t="shared" si="2"/>
        <v>100</v>
      </c>
      <c r="X12" s="3436"/>
      <c r="Y12" s="4123"/>
      <c r="Z12" s="3437">
        <f t="shared" si="7"/>
        <v>111</v>
      </c>
      <c r="AA12" s="3437">
        <f>D12/F12</f>
        <v>1</v>
      </c>
      <c r="AB12" s="3437">
        <f>D12/H12</f>
        <v>1</v>
      </c>
      <c r="AC12" s="3437">
        <f>D12/J12</f>
        <v>1</v>
      </c>
    </row>
    <row r="13" spans="1:29" ht="15">
      <c r="A13" s="3464"/>
      <c r="B13" s="3465">
        <v>111</v>
      </c>
      <c r="C13" s="3468"/>
      <c r="D13" s="3471">
        <v>100</v>
      </c>
      <c r="E13" s="3466"/>
      <c r="F13" s="3452">
        <f>SUMIF(73:73,E13,74:74)-SUMIF(73:73,C13,74:74)+100</f>
        <v>100</v>
      </c>
      <c r="G13" s="3717"/>
      <c r="H13" s="3471">
        <f>SUMIF(73:73,G13,74:74)-SUMIF(73:73,C13,74:74)+100</f>
        <v>100</v>
      </c>
      <c r="I13" s="3466"/>
      <c r="J13" s="3471">
        <f>SUMIF(73:73,I13,74:74)-SUMIF(73:73,C13,74:74)+100</f>
        <v>100</v>
      </c>
      <c r="K13" s="3470"/>
      <c r="L13" s="3472"/>
      <c r="M13" s="3418"/>
      <c r="N13" s="3418"/>
      <c r="O13" s="3418"/>
      <c r="P13" s="4122"/>
      <c r="Q13" s="3449">
        <f t="shared" si="6"/>
        <v>111</v>
      </c>
      <c r="R13" s="3434" t="s">
        <v>8</v>
      </c>
      <c r="S13" s="3435">
        <f t="shared" si="0"/>
        <v>100</v>
      </c>
      <c r="T13" s="3434" t="s">
        <v>8</v>
      </c>
      <c r="U13" s="3435">
        <f t="shared" si="1"/>
        <v>100</v>
      </c>
      <c r="V13" s="3434" t="s">
        <v>8</v>
      </c>
      <c r="W13" s="3435">
        <f t="shared" si="2"/>
        <v>100</v>
      </c>
      <c r="X13" s="3436"/>
      <c r="Y13" s="4123"/>
      <c r="Z13" s="3437">
        <f t="shared" si="7"/>
        <v>111</v>
      </c>
      <c r="AA13" s="3437">
        <f t="shared" si="3"/>
        <v>1</v>
      </c>
      <c r="AB13" s="3437">
        <f t="shared" si="4"/>
        <v>1</v>
      </c>
      <c r="AC13" s="3437">
        <f t="shared" si="5"/>
        <v>1</v>
      </c>
    </row>
    <row r="14" spans="1:29" ht="15.75" thickBot="1">
      <c r="A14" s="3473"/>
      <c r="B14" s="3474">
        <v>111</v>
      </c>
      <c r="C14" s="3475"/>
      <c r="D14" s="3476">
        <v>100</v>
      </c>
      <c r="E14" s="3718"/>
      <c r="F14" s="3476">
        <f>SUMIF(75:75,E14,76:76)-SUMIF(75:75,C14,76:76)+100</f>
        <v>100</v>
      </c>
      <c r="G14" s="3717"/>
      <c r="H14" s="3476">
        <f>SUMIF(75:75,G14,76:76)-SUMIF(75:75,C14,76:76)+100</f>
        <v>100</v>
      </c>
      <c r="I14" s="3466"/>
      <c r="J14" s="3476">
        <f>SUMIF(75:75,I14,76:76)-SUMIF(75:75,C14,76:76)+100</f>
        <v>100</v>
      </c>
      <c r="K14" s="3470"/>
      <c r="L14" s="3472"/>
      <c r="M14" s="3418"/>
      <c r="N14" s="3418"/>
      <c r="O14" s="3418"/>
      <c r="P14" s="4122"/>
      <c r="Q14" s="3449">
        <f t="shared" si="6"/>
        <v>111</v>
      </c>
      <c r="R14" s="3434" t="s">
        <v>8</v>
      </c>
      <c r="S14" s="3435">
        <f t="shared" si="0"/>
        <v>100</v>
      </c>
      <c r="T14" s="3434" t="s">
        <v>8</v>
      </c>
      <c r="U14" s="3435">
        <f t="shared" si="1"/>
        <v>100</v>
      </c>
      <c r="V14" s="3434" t="s">
        <v>8</v>
      </c>
      <c r="W14" s="3435">
        <f t="shared" si="2"/>
        <v>100</v>
      </c>
      <c r="X14" s="3436"/>
      <c r="Y14" s="4123"/>
      <c r="Z14" s="3437">
        <f t="shared" si="7"/>
        <v>111</v>
      </c>
      <c r="AA14" s="3437">
        <f t="shared" si="3"/>
        <v>1</v>
      </c>
      <c r="AB14" s="3437">
        <f t="shared" si="4"/>
        <v>1</v>
      </c>
      <c r="AC14" s="3437">
        <f t="shared" si="5"/>
        <v>1</v>
      </c>
    </row>
    <row r="15" spans="1:29" ht="71.25">
      <c r="A15" s="3477" t="s">
        <v>3183</v>
      </c>
      <c r="B15" s="3719" t="s">
        <v>577</v>
      </c>
      <c r="C15" s="3720" t="str">
        <f>[3]估价对象房地状况!C5</f>
        <v>估价对象位于XX商圈，周边办公楼项目较多，入驻率高，办公集聚程度较好</v>
      </c>
      <c r="D15" s="3480">
        <v>100</v>
      </c>
      <c r="E15" s="3483"/>
      <c r="F15" s="3480">
        <f>SUMIF(77:77,E16,78:78)-SUMIF(77:77,C16,78:78)+100</f>
        <v>97</v>
      </c>
      <c r="G15" s="3481"/>
      <c r="H15" s="3480">
        <f>SUMIF(77:77,G16,78:78)-SUMIF(77:77,C16,78:78)+100</f>
        <v>97</v>
      </c>
      <c r="I15" s="3481"/>
      <c r="J15" s="3480">
        <f>SUMIF(77:77,I16,78:78)-SUMIF(77:77,C16,78:78)+100</f>
        <v>97</v>
      </c>
      <c r="K15" s="3484">
        <v>3</v>
      </c>
      <c r="L15" s="3472"/>
      <c r="M15" s="3418"/>
      <c r="N15" s="3418"/>
      <c r="O15" s="3418"/>
      <c r="P15" s="4124" t="s">
        <v>532</v>
      </c>
      <c r="Q15" s="3485" t="str">
        <f t="shared" si="6"/>
        <v>办公集聚程度</v>
      </c>
      <c r="R15" s="3486" t="s">
        <v>8</v>
      </c>
      <c r="S15" s="3487">
        <f t="shared" si="0"/>
        <v>97</v>
      </c>
      <c r="T15" s="3486" t="s">
        <v>8</v>
      </c>
      <c r="U15" s="3487">
        <f t="shared" si="1"/>
        <v>97</v>
      </c>
      <c r="V15" s="3486" t="s">
        <v>8</v>
      </c>
      <c r="W15" s="3487">
        <f t="shared" si="2"/>
        <v>97</v>
      </c>
      <c r="X15" s="3419"/>
      <c r="Y15" s="4124" t="s">
        <v>532</v>
      </c>
      <c r="Z15" s="3488" t="str">
        <f t="shared" si="7"/>
        <v>办公集聚程度</v>
      </c>
      <c r="AA15" s="3488">
        <f t="shared" si="3"/>
        <v>1.0309278350515463</v>
      </c>
      <c r="AB15" s="3488">
        <f t="shared" si="4"/>
        <v>1.0309278350515463</v>
      </c>
      <c r="AC15" s="3488">
        <f t="shared" si="5"/>
        <v>1.0309278350515463</v>
      </c>
    </row>
    <row r="16" spans="1:29" ht="15">
      <c r="A16" s="3489"/>
      <c r="B16" s="3721"/>
      <c r="C16" s="3722" t="s">
        <v>3076</v>
      </c>
      <c r="D16" s="3492"/>
      <c r="E16" s="3491" t="s">
        <v>3075</v>
      </c>
      <c r="F16" s="3492"/>
      <c r="G16" s="3722" t="s">
        <v>3075</v>
      </c>
      <c r="H16" s="3494"/>
      <c r="I16" s="3491" t="s">
        <v>3075</v>
      </c>
      <c r="J16" s="3492"/>
      <c r="K16" s="3495"/>
      <c r="L16" s="3472"/>
      <c r="M16" s="3418"/>
      <c r="N16" s="3418"/>
      <c r="O16" s="3418"/>
      <c r="P16" s="4125"/>
      <c r="Q16" s="3485"/>
      <c r="R16" s="3486"/>
      <c r="S16" s="3487"/>
      <c r="T16" s="3486"/>
      <c r="U16" s="3487"/>
      <c r="V16" s="3486"/>
      <c r="W16" s="3487"/>
      <c r="X16" s="3419"/>
      <c r="Y16" s="4125"/>
      <c r="Z16" s="3488"/>
      <c r="AA16" s="3488">
        <v>1</v>
      </c>
      <c r="AB16" s="3488">
        <v>1</v>
      </c>
      <c r="AC16" s="3488">
        <v>1</v>
      </c>
    </row>
    <row r="17" spans="1:29" ht="71.25">
      <c r="A17" s="3489"/>
      <c r="B17" s="3723" t="s">
        <v>294</v>
      </c>
      <c r="C17" s="3724" t="str">
        <f>[3]估价对象房地状况!C6</f>
        <v>估价对象周边道路状况、公共交通通达情况、停车便捷程度，综合评价交通便捷度较好</v>
      </c>
      <c r="D17" s="3494">
        <v>100</v>
      </c>
      <c r="E17" s="3500"/>
      <c r="F17" s="3494">
        <f>SUMIF(79:79,E18,80:80)-SUMIF(79:79,C18,80:80)+100</f>
        <v>102</v>
      </c>
      <c r="G17" s="3498"/>
      <c r="H17" s="3501">
        <f>SUMIF(79:79,G18,80:80)-SUMIF(79:79,C18,80:80)+100</f>
        <v>102</v>
      </c>
      <c r="I17" s="3498"/>
      <c r="J17" s="3501">
        <f>SUMIF(79:79,I18,80:80)-SUMIF(79:79,C18,80:80)+100</f>
        <v>104</v>
      </c>
      <c r="K17" s="3484">
        <v>2</v>
      </c>
      <c r="L17" s="3472"/>
      <c r="M17" s="3418"/>
      <c r="N17" s="3418"/>
      <c r="O17" s="3418"/>
      <c r="P17" s="4125"/>
      <c r="Q17" s="3485" t="str">
        <f>B17</f>
        <v>交通便捷度</v>
      </c>
      <c r="R17" s="3486" t="s">
        <v>8</v>
      </c>
      <c r="S17" s="3487">
        <f>F17</f>
        <v>102</v>
      </c>
      <c r="T17" s="3486" t="s">
        <v>8</v>
      </c>
      <c r="U17" s="3487">
        <f>H17</f>
        <v>102</v>
      </c>
      <c r="V17" s="3486" t="s">
        <v>8</v>
      </c>
      <c r="W17" s="3487">
        <f>J17</f>
        <v>104</v>
      </c>
      <c r="X17" s="3419"/>
      <c r="Y17" s="4125"/>
      <c r="Z17" s="3488" t="str">
        <f>Q17</f>
        <v>交通便捷度</v>
      </c>
      <c r="AA17" s="3488">
        <f t="shared" si="3"/>
        <v>0.98039215686274506</v>
      </c>
      <c r="AB17" s="3488">
        <f t="shared" si="4"/>
        <v>0.98039215686274506</v>
      </c>
      <c r="AC17" s="3488">
        <f t="shared" si="5"/>
        <v>0.96153846153846156</v>
      </c>
    </row>
    <row r="18" spans="1:29" ht="15">
      <c r="A18" s="3489"/>
      <c r="B18" s="3522"/>
      <c r="C18" s="3725" t="s">
        <v>3075</v>
      </c>
      <c r="D18" s="3494"/>
      <c r="E18" s="3505" t="s">
        <v>3076</v>
      </c>
      <c r="F18" s="3494"/>
      <c r="G18" s="3504" t="s">
        <v>3076</v>
      </c>
      <c r="H18" s="3492"/>
      <c r="I18" s="3504" t="s">
        <v>3082</v>
      </c>
      <c r="J18" s="3492"/>
      <c r="K18" s="3495"/>
      <c r="L18" s="3472"/>
      <c r="M18" s="3418"/>
      <c r="N18" s="3418"/>
      <c r="O18" s="3418"/>
      <c r="P18" s="4125"/>
      <c r="Q18" s="3485"/>
      <c r="R18" s="3486"/>
      <c r="S18" s="3487"/>
      <c r="T18" s="3486"/>
      <c r="U18" s="3487"/>
      <c r="V18" s="3486"/>
      <c r="W18" s="3487"/>
      <c r="X18" s="3419"/>
      <c r="Y18" s="4125"/>
      <c r="Z18" s="3488"/>
      <c r="AA18" s="3488">
        <v>1</v>
      </c>
      <c r="AB18" s="3488">
        <v>1</v>
      </c>
      <c r="AC18" s="3488">
        <v>1</v>
      </c>
    </row>
    <row r="19" spans="1:29" ht="42.75">
      <c r="A19" s="3489"/>
      <c r="B19" s="3726" t="s">
        <v>2302</v>
      </c>
      <c r="C19" s="3724" t="str">
        <f>[3]估价对象房地状况!C7</f>
        <v>估价对象所在区域公共配套设施齐备情况</v>
      </c>
      <c r="D19" s="3501">
        <v>100</v>
      </c>
      <c r="E19" s="3509"/>
      <c r="F19" s="3501">
        <f>SUMIF(81:81,E20,82:82)-SUMIF(81:81,C20,82:82)+100</f>
        <v>99</v>
      </c>
      <c r="G19" s="3507"/>
      <c r="H19" s="3494">
        <f>SUMIF(81:81,G20,82:82)-SUMIF(81:81,C20,82:82)+100</f>
        <v>100</v>
      </c>
      <c r="I19" s="3507"/>
      <c r="J19" s="3494">
        <f>SUMIF(81:81,I20,82:82)-SUMIF(81:81,C20,82:82)+100</f>
        <v>100</v>
      </c>
      <c r="K19" s="3484">
        <v>1</v>
      </c>
      <c r="L19" s="3472"/>
      <c r="M19" s="3418"/>
      <c r="N19" s="3418"/>
      <c r="O19" s="3418"/>
      <c r="P19" s="4125"/>
      <c r="Q19" s="3485" t="str">
        <f>B19</f>
        <v>公共配套设施</v>
      </c>
      <c r="R19" s="3486" t="s">
        <v>8</v>
      </c>
      <c r="S19" s="3487">
        <f>F19</f>
        <v>99</v>
      </c>
      <c r="T19" s="3486" t="s">
        <v>8</v>
      </c>
      <c r="U19" s="3487">
        <f>H19</f>
        <v>100</v>
      </c>
      <c r="V19" s="3486" t="s">
        <v>8</v>
      </c>
      <c r="W19" s="3487">
        <f>J19</f>
        <v>100</v>
      </c>
      <c r="X19" s="3419"/>
      <c r="Y19" s="4125"/>
      <c r="Z19" s="3488" t="str">
        <f>Q19</f>
        <v>公共配套设施</v>
      </c>
      <c r="AA19" s="3488">
        <f t="shared" si="3"/>
        <v>1.0101010101010102</v>
      </c>
      <c r="AB19" s="3488">
        <f t="shared" si="4"/>
        <v>1</v>
      </c>
      <c r="AC19" s="3488">
        <f t="shared" si="5"/>
        <v>1</v>
      </c>
    </row>
    <row r="20" spans="1:29" ht="15">
      <c r="A20" s="3489"/>
      <c r="B20" s="3522"/>
      <c r="C20" s="3722" t="s">
        <v>3076</v>
      </c>
      <c r="D20" s="3492"/>
      <c r="E20" s="3511" t="s">
        <v>3075</v>
      </c>
      <c r="F20" s="3492"/>
      <c r="G20" s="3510" t="s">
        <v>3076</v>
      </c>
      <c r="H20" s="3492"/>
      <c r="I20" s="3510" t="s">
        <v>3076</v>
      </c>
      <c r="J20" s="3492"/>
      <c r="K20" s="3495"/>
      <c r="L20" s="3472"/>
      <c r="M20" s="3418"/>
      <c r="N20" s="3418"/>
      <c r="O20" s="3418"/>
      <c r="P20" s="4125"/>
      <c r="Q20" s="3485"/>
      <c r="R20" s="3486"/>
      <c r="S20" s="3487"/>
      <c r="T20" s="3486"/>
      <c r="U20" s="3487"/>
      <c r="V20" s="3486"/>
      <c r="W20" s="3487"/>
      <c r="X20" s="3419"/>
      <c r="Y20" s="4125"/>
      <c r="Z20" s="3488"/>
      <c r="AA20" s="3488">
        <v>1</v>
      </c>
      <c r="AB20" s="3488">
        <v>1</v>
      </c>
      <c r="AC20" s="3488">
        <v>1</v>
      </c>
    </row>
    <row r="21" spans="1:29" ht="28.5">
      <c r="A21" s="3489"/>
      <c r="B21" s="3727" t="s">
        <v>3184</v>
      </c>
      <c r="C21" s="3724" t="str">
        <f>[3]估价对象房地状况!C8</f>
        <v>估价对象所在区域基础设施水平</v>
      </c>
      <c r="D21" s="3501">
        <v>100</v>
      </c>
      <c r="E21" s="3509"/>
      <c r="F21" s="3501">
        <f>SUMIF(83:83,E22,84:84)-SUMIF(83:83,C22,84:84)+100</f>
        <v>98</v>
      </c>
      <c r="G21" s="3507"/>
      <c r="H21" s="3501">
        <f>SUMIF(83:83,G22,84:84)-SUMIF(83:83,C22,84:84)+100</f>
        <v>99</v>
      </c>
      <c r="I21" s="3507"/>
      <c r="J21" s="3501">
        <f>SUMIF(83:83,I22,84:84)-SUMIF(83:83,C22,84:84)+100</f>
        <v>99</v>
      </c>
      <c r="K21" s="3484">
        <v>1</v>
      </c>
      <c r="L21" s="3472"/>
      <c r="M21" s="3418"/>
      <c r="N21" s="3418"/>
      <c r="O21" s="3418"/>
      <c r="P21" s="4125"/>
      <c r="Q21" s="3485" t="str">
        <f>B21</f>
        <v>基础设施水平</v>
      </c>
      <c r="R21" s="3486" t="s">
        <v>8</v>
      </c>
      <c r="S21" s="3487">
        <f>F21</f>
        <v>98</v>
      </c>
      <c r="T21" s="3486" t="s">
        <v>8</v>
      </c>
      <c r="U21" s="3487">
        <f>H21</f>
        <v>99</v>
      </c>
      <c r="V21" s="3486" t="s">
        <v>8</v>
      </c>
      <c r="W21" s="3487">
        <f>J21</f>
        <v>99</v>
      </c>
      <c r="X21" s="3419"/>
      <c r="Y21" s="4125"/>
      <c r="Z21" s="3488" t="str">
        <f>Q21</f>
        <v>基础设施水平</v>
      </c>
      <c r="AA21" s="3488">
        <f t="shared" ref="AA21" si="8">D21/F21</f>
        <v>1.0204081632653061</v>
      </c>
      <c r="AB21" s="3488">
        <f t="shared" ref="AB21" si="9">D21/H21</f>
        <v>1.0101010101010102</v>
      </c>
      <c r="AC21" s="3488">
        <f t="shared" ref="AC21" si="10">D21/J21</f>
        <v>1.0101010101010102</v>
      </c>
    </row>
    <row r="22" spans="1:29" ht="15">
      <c r="A22" s="3489"/>
      <c r="B22" s="3728"/>
      <c r="C22" s="3725" t="s">
        <v>3083</v>
      </c>
      <c r="D22" s="3492"/>
      <c r="E22" s="3491" t="s">
        <v>3185</v>
      </c>
      <c r="F22" s="3492"/>
      <c r="G22" s="3722" t="s">
        <v>3213</v>
      </c>
      <c r="H22" s="3492"/>
      <c r="I22" s="3722" t="s">
        <v>3213</v>
      </c>
      <c r="J22" s="3492"/>
      <c r="K22" s="3514"/>
      <c r="L22" s="3472"/>
      <c r="M22" s="3418"/>
      <c r="N22" s="3418"/>
      <c r="O22" s="3418"/>
      <c r="P22" s="4125"/>
      <c r="Q22" s="3485"/>
      <c r="R22" s="3486"/>
      <c r="S22" s="3487"/>
      <c r="T22" s="3486"/>
      <c r="U22" s="3487"/>
      <c r="V22" s="3486"/>
      <c r="W22" s="3487"/>
      <c r="X22" s="3419"/>
      <c r="Y22" s="4125"/>
      <c r="Z22" s="3488"/>
      <c r="AA22" s="3488">
        <v>1</v>
      </c>
      <c r="AB22" s="3488">
        <v>1</v>
      </c>
      <c r="AC22" s="3488">
        <v>1</v>
      </c>
    </row>
    <row r="23" spans="1:29" ht="42.75">
      <c r="A23" s="3489"/>
      <c r="B23" s="3723" t="s">
        <v>776</v>
      </c>
      <c r="C23" s="3724" t="str">
        <f>[3]估价对象房地状况!C9</f>
        <v>区域自然环境：；人文环境；综合评价环境状况一般</v>
      </c>
      <c r="D23" s="3494">
        <v>100</v>
      </c>
      <c r="E23" s="3500"/>
      <c r="F23" s="3494">
        <f>SUMIF(85:85,E24,86:86)-SUMIF(85:85,C24,86:86)+100</f>
        <v>99</v>
      </c>
      <c r="G23" s="3498"/>
      <c r="H23" s="3494">
        <f>SUMIF(85:85,G24,86:86)-SUMIF(85:85,C24,86:86)+100</f>
        <v>99</v>
      </c>
      <c r="I23" s="3498"/>
      <c r="J23" s="3494">
        <f>SUMIF(85:85,I24,86:86)-SUMIF(85:85,C24,86:86)+100</f>
        <v>99</v>
      </c>
      <c r="K23" s="3484">
        <v>1</v>
      </c>
      <c r="L23" s="3472"/>
      <c r="M23" s="3418"/>
      <c r="N23" s="3418"/>
      <c r="O23" s="3418"/>
      <c r="P23" s="4125"/>
      <c r="Q23" s="3485" t="str">
        <f>B23</f>
        <v>环境质量</v>
      </c>
      <c r="R23" s="3486" t="s">
        <v>8</v>
      </c>
      <c r="S23" s="3487">
        <f>F23</f>
        <v>99</v>
      </c>
      <c r="T23" s="3486" t="s">
        <v>8</v>
      </c>
      <c r="U23" s="3487">
        <f>H23</f>
        <v>99</v>
      </c>
      <c r="V23" s="3486" t="s">
        <v>8</v>
      </c>
      <c r="W23" s="3487">
        <f>J23</f>
        <v>99</v>
      </c>
      <c r="X23" s="3419"/>
      <c r="Y23" s="4125"/>
      <c r="Z23" s="3488" t="str">
        <f>Q23</f>
        <v>环境质量</v>
      </c>
      <c r="AA23" s="3488">
        <f t="shared" si="3"/>
        <v>1.0101010101010102</v>
      </c>
      <c r="AB23" s="3488">
        <f t="shared" si="4"/>
        <v>1.0101010101010102</v>
      </c>
      <c r="AC23" s="3488">
        <f t="shared" si="5"/>
        <v>1.0101010101010102</v>
      </c>
    </row>
    <row r="24" spans="1:29" ht="15">
      <c r="A24" s="3489"/>
      <c r="B24" s="3728"/>
      <c r="C24" s="3722" t="s">
        <v>3082</v>
      </c>
      <c r="D24" s="3492"/>
      <c r="E24" s="3511" t="s">
        <v>3076</v>
      </c>
      <c r="F24" s="3492"/>
      <c r="G24" s="3510" t="s">
        <v>3076</v>
      </c>
      <c r="H24" s="3492"/>
      <c r="I24" s="3510" t="s">
        <v>3076</v>
      </c>
      <c r="J24" s="3492"/>
      <c r="K24" s="3495"/>
      <c r="L24" s="3472"/>
      <c r="M24" s="3418"/>
      <c r="N24" s="3418"/>
      <c r="O24" s="3418"/>
      <c r="P24" s="4125"/>
      <c r="Q24" s="3485"/>
      <c r="R24" s="3486"/>
      <c r="S24" s="3487"/>
      <c r="T24" s="3486"/>
      <c r="U24" s="3487"/>
      <c r="V24" s="3486"/>
      <c r="W24" s="3487"/>
      <c r="X24" s="3419"/>
      <c r="Y24" s="4125"/>
      <c r="Z24" s="3488"/>
      <c r="AA24" s="3488">
        <v>1</v>
      </c>
      <c r="AB24" s="3488">
        <v>1</v>
      </c>
      <c r="AC24" s="3488">
        <v>1</v>
      </c>
    </row>
    <row r="25" spans="1:29" ht="27.75">
      <c r="A25" s="3421"/>
      <c r="B25" s="3723" t="s">
        <v>777</v>
      </c>
      <c r="C25" s="3469" t="s">
        <v>3214</v>
      </c>
      <c r="D25" s="3471">
        <v>100</v>
      </c>
      <c r="E25" s="3468" t="s">
        <v>3215</v>
      </c>
      <c r="F25" s="3471">
        <f>SUMIF(87:87,E26,88:88)-SUMIF(87:87,C26,88:88)+100</f>
        <v>100</v>
      </c>
      <c r="G25" s="3468" t="s">
        <v>3216</v>
      </c>
      <c r="H25" s="3471">
        <f>SUMIF(87:87,G26,88:88)-SUMIF(87:87,C26,88:88)+100</f>
        <v>101</v>
      </c>
      <c r="I25" s="3468" t="s">
        <v>3217</v>
      </c>
      <c r="J25" s="3471">
        <f>SUMIF(87:87,I26,88:88)-SUMIF(87:87,C26,88:88)+100</f>
        <v>101</v>
      </c>
      <c r="K25" s="3484">
        <v>1</v>
      </c>
      <c r="L25" s="3472"/>
      <c r="M25" s="3418"/>
      <c r="N25" s="3418"/>
      <c r="O25" s="3418"/>
      <c r="P25" s="4125"/>
      <c r="Q25" s="3485" t="str">
        <f>B25</f>
        <v>毗邻道路的类型与等级</v>
      </c>
      <c r="R25" s="3486" t="s">
        <v>8</v>
      </c>
      <c r="S25" s="3487">
        <f>F25</f>
        <v>100</v>
      </c>
      <c r="T25" s="3486" t="s">
        <v>8</v>
      </c>
      <c r="U25" s="3487">
        <f>H25</f>
        <v>101</v>
      </c>
      <c r="V25" s="3486" t="s">
        <v>8</v>
      </c>
      <c r="W25" s="3487">
        <f>J25</f>
        <v>101</v>
      </c>
      <c r="X25" s="3419"/>
      <c r="Y25" s="4125"/>
      <c r="Z25" s="3488" t="str">
        <f>Q25</f>
        <v>毗邻道路的类型与等级</v>
      </c>
      <c r="AA25" s="3488">
        <f t="shared" si="3"/>
        <v>1</v>
      </c>
      <c r="AB25" s="3488">
        <f t="shared" si="4"/>
        <v>0.99009900990099009</v>
      </c>
      <c r="AC25" s="3488">
        <f t="shared" si="5"/>
        <v>0.99009900990099009</v>
      </c>
    </row>
    <row r="26" spans="1:29" ht="15">
      <c r="A26" s="3421"/>
      <c r="B26" s="3522"/>
      <c r="C26" s="3729" t="s">
        <v>3088</v>
      </c>
      <c r="D26" s="3471"/>
      <c r="E26" s="3517" t="s">
        <v>3088</v>
      </c>
      <c r="F26" s="3471"/>
      <c r="G26" s="3729" t="s">
        <v>3086</v>
      </c>
      <c r="H26" s="3471"/>
      <c r="I26" s="3517" t="s">
        <v>3086</v>
      </c>
      <c r="J26" s="3471"/>
      <c r="K26" s="3495"/>
      <c r="L26" s="3472"/>
      <c r="M26" s="3418"/>
      <c r="N26" s="3418"/>
      <c r="O26" s="3418"/>
      <c r="P26" s="4125"/>
      <c r="Q26" s="3485"/>
      <c r="R26" s="3486"/>
      <c r="S26" s="3487"/>
      <c r="T26" s="3486"/>
      <c r="U26" s="3487"/>
      <c r="V26" s="3486"/>
      <c r="W26" s="3487"/>
      <c r="X26" s="3419"/>
      <c r="Y26" s="4125"/>
      <c r="Z26" s="3488"/>
      <c r="AA26" s="3488">
        <v>1</v>
      </c>
      <c r="AB26" s="3488">
        <v>1</v>
      </c>
      <c r="AC26" s="3488">
        <v>1</v>
      </c>
    </row>
    <row r="27" spans="1:29" ht="15">
      <c r="A27" s="3489"/>
      <c r="B27" s="3522" t="s">
        <v>737</v>
      </c>
      <c r="C27" s="3729" t="s">
        <v>3218</v>
      </c>
      <c r="D27" s="3471">
        <v>100</v>
      </c>
      <c r="E27" s="3517" t="s">
        <v>3218</v>
      </c>
      <c r="F27" s="3471">
        <f>SUMIF(89:89,E27,90:90)-SUMIF(89:89,C27,90:90)+100</f>
        <v>100</v>
      </c>
      <c r="G27" s="3729" t="s">
        <v>3218</v>
      </c>
      <c r="H27" s="3471">
        <f>SUMIF(89:89,G27,90:90)-SUMIF(89:89,C27,90:90)+100</f>
        <v>100</v>
      </c>
      <c r="I27" s="3517" t="s">
        <v>3219</v>
      </c>
      <c r="J27" s="3471">
        <f>SUMIF(89:89,I27,90:90)-SUMIF(89:89,C27,90:90)+100</f>
        <v>102</v>
      </c>
      <c r="K27" s="3454">
        <v>1</v>
      </c>
      <c r="L27" s="3472"/>
      <c r="M27" s="3418"/>
      <c r="N27" s="3418"/>
      <c r="O27" s="3418"/>
      <c r="P27" s="4125"/>
      <c r="Q27" s="3485" t="str">
        <f t="shared" ref="Q27:Q47" si="11">B27</f>
        <v>楼层</v>
      </c>
      <c r="R27" s="3486" t="s">
        <v>8</v>
      </c>
      <c r="S27" s="3487">
        <f>F27</f>
        <v>100</v>
      </c>
      <c r="T27" s="3486" t="s">
        <v>8</v>
      </c>
      <c r="U27" s="3487">
        <f>H27</f>
        <v>100</v>
      </c>
      <c r="V27" s="3486" t="s">
        <v>8</v>
      </c>
      <c r="W27" s="3487">
        <f>J27</f>
        <v>102</v>
      </c>
      <c r="X27" s="3419"/>
      <c r="Y27" s="4125"/>
      <c r="Z27" s="3488" t="str">
        <f>Q27</f>
        <v>楼层</v>
      </c>
      <c r="AA27" s="3488">
        <f t="shared" si="3"/>
        <v>1</v>
      </c>
      <c r="AB27" s="3488">
        <f t="shared" si="4"/>
        <v>1</v>
      </c>
      <c r="AC27" s="3488">
        <f t="shared" si="5"/>
        <v>0.98039215686274506</v>
      </c>
    </row>
    <row r="28" spans="1:29" s="3438" customFormat="1" ht="15">
      <c r="A28" s="3520"/>
      <c r="B28" s="3723" t="s">
        <v>738</v>
      </c>
      <c r="C28" s="3730"/>
      <c r="D28" s="3522">
        <v>100</v>
      </c>
      <c r="E28" s="3521"/>
      <c r="F28" s="3522">
        <f>SUMIF(91:91,E28,92:92)-SUMIF(91:91,C28,92:92)+100</f>
        <v>100</v>
      </c>
      <c r="G28" s="3730"/>
      <c r="H28" s="3522">
        <f>SUMIF(91:91,G28,92:92)-SUMIF(91:91,C28,92:92)+100</f>
        <v>100</v>
      </c>
      <c r="I28" s="3521"/>
      <c r="J28" s="3522">
        <f>SUMIF(91:91,I28,92:92)-SUMIF(91:91,C28,92:92)+100</f>
        <v>100</v>
      </c>
      <c r="K28" s="3454"/>
      <c r="L28" s="3432"/>
      <c r="M28" s="3433"/>
      <c r="N28" s="3433"/>
      <c r="O28" s="3433"/>
      <c r="P28" s="4125"/>
      <c r="Q28" s="3449" t="str">
        <f t="shared" si="11"/>
        <v>朝向</v>
      </c>
      <c r="R28" s="3434" t="s">
        <v>8</v>
      </c>
      <c r="S28" s="3435">
        <f>F28</f>
        <v>100</v>
      </c>
      <c r="T28" s="3434" t="s">
        <v>8</v>
      </c>
      <c r="U28" s="3435">
        <f>H28</f>
        <v>100</v>
      </c>
      <c r="V28" s="3434" t="s">
        <v>8</v>
      </c>
      <c r="W28" s="3435">
        <f>J28</f>
        <v>100</v>
      </c>
      <c r="X28" s="3436"/>
      <c r="Y28" s="4125"/>
      <c r="Z28" s="3437" t="str">
        <f>Q28</f>
        <v>朝向</v>
      </c>
      <c r="AA28" s="3488">
        <f>D28/F28</f>
        <v>1</v>
      </c>
      <c r="AB28" s="3488">
        <f>D28/H28</f>
        <v>1</v>
      </c>
      <c r="AC28" s="3488">
        <f>D28/J28</f>
        <v>1</v>
      </c>
    </row>
    <row r="29" spans="1:29" ht="15">
      <c r="A29" s="3489"/>
      <c r="B29" s="3731">
        <v>111</v>
      </c>
      <c r="C29" s="3469"/>
      <c r="D29" s="3471">
        <v>100</v>
      </c>
      <c r="E29" s="3466"/>
      <c r="F29" s="3471">
        <f>SUMIF(93:93,E29,94:94)-SUMIF(93:93,C29,94:94)+100</f>
        <v>100</v>
      </c>
      <c r="G29" s="3717"/>
      <c r="H29" s="3471">
        <f>SUMIF(93:93,G29,94:94)-SUMIF(93:93,C29,94:94)+100</f>
        <v>100</v>
      </c>
      <c r="I29" s="3466"/>
      <c r="J29" s="3471">
        <f>SUMIF(93:93,I29,94:94)-SUMIF(93:93,C29,94:94)+100</f>
        <v>100</v>
      </c>
      <c r="K29" s="3470"/>
      <c r="L29" s="3472"/>
      <c r="M29" s="3418"/>
      <c r="N29" s="3418"/>
      <c r="O29" s="3418"/>
      <c r="P29" s="4125"/>
      <c r="Q29" s="3485">
        <f t="shared" si="11"/>
        <v>111</v>
      </c>
      <c r="R29" s="3486" t="s">
        <v>8</v>
      </c>
      <c r="S29" s="3487">
        <f t="shared" ref="S29:S47" si="12">F29</f>
        <v>100</v>
      </c>
      <c r="T29" s="3486" t="s">
        <v>8</v>
      </c>
      <c r="U29" s="3487">
        <f t="shared" ref="U29:U47" si="13">H29</f>
        <v>100</v>
      </c>
      <c r="V29" s="3486" t="s">
        <v>8</v>
      </c>
      <c r="W29" s="3487">
        <f t="shared" ref="W29:W47" si="14">J29</f>
        <v>100</v>
      </c>
      <c r="X29" s="3419"/>
      <c r="Y29" s="4125"/>
      <c r="Z29" s="3488">
        <f t="shared" ref="Z29:Z47" si="15">Q29</f>
        <v>111</v>
      </c>
      <c r="AA29" s="3488">
        <f t="shared" si="3"/>
        <v>1</v>
      </c>
      <c r="AB29" s="3488">
        <f t="shared" si="4"/>
        <v>1</v>
      </c>
      <c r="AC29" s="3488">
        <f t="shared" si="5"/>
        <v>1</v>
      </c>
    </row>
    <row r="30" spans="1:29" ht="15">
      <c r="A30" s="3489"/>
      <c r="B30" s="3731">
        <v>111</v>
      </c>
      <c r="C30" s="3469"/>
      <c r="D30" s="3471">
        <v>100</v>
      </c>
      <c r="E30" s="3466"/>
      <c r="F30" s="3471">
        <f>SUMIF(95:95,E30,96:96)-SUMIF(95:95,C30,96:96)+100</f>
        <v>100</v>
      </c>
      <c r="G30" s="3717"/>
      <c r="H30" s="3471">
        <f>SUMIF(95:95,G30,96:96)-SUMIF(95:95,C30,96:96)+100</f>
        <v>100</v>
      </c>
      <c r="I30" s="3466"/>
      <c r="J30" s="3471">
        <f>SUMIF(95:95,I30,96:96)-SUMIF(95:95,C30,96:96)+100</f>
        <v>100</v>
      </c>
      <c r="K30" s="3470"/>
      <c r="L30" s="3472"/>
      <c r="M30" s="3418"/>
      <c r="N30" s="3418"/>
      <c r="O30" s="3418"/>
      <c r="P30" s="4125"/>
      <c r="Q30" s="3485">
        <f t="shared" si="11"/>
        <v>111</v>
      </c>
      <c r="R30" s="3486" t="s">
        <v>8</v>
      </c>
      <c r="S30" s="3487">
        <f t="shared" si="12"/>
        <v>100</v>
      </c>
      <c r="T30" s="3486" t="s">
        <v>8</v>
      </c>
      <c r="U30" s="3487">
        <f t="shared" si="13"/>
        <v>100</v>
      </c>
      <c r="V30" s="3486" t="s">
        <v>8</v>
      </c>
      <c r="W30" s="3487">
        <f t="shared" si="14"/>
        <v>100</v>
      </c>
      <c r="X30" s="3419"/>
      <c r="Y30" s="4125"/>
      <c r="Z30" s="3488">
        <f t="shared" si="15"/>
        <v>111</v>
      </c>
      <c r="AA30" s="3488">
        <f t="shared" si="3"/>
        <v>1</v>
      </c>
      <c r="AB30" s="3488">
        <f t="shared" si="4"/>
        <v>1</v>
      </c>
      <c r="AC30" s="3488">
        <f t="shared" si="5"/>
        <v>1</v>
      </c>
    </row>
    <row r="31" spans="1:29" ht="15">
      <c r="A31" s="3489"/>
      <c r="B31" s="3731">
        <v>111</v>
      </c>
      <c r="C31" s="3469"/>
      <c r="D31" s="3471">
        <v>100</v>
      </c>
      <c r="E31" s="3466"/>
      <c r="F31" s="3471">
        <f>SUMIF(97:97,E31,98:98)-SUMIF(97:97,C31,98:98)+100</f>
        <v>100</v>
      </c>
      <c r="G31" s="3717"/>
      <c r="H31" s="3471">
        <f>SUMIF(97:97,G31,98:98)-SUMIF(97:97,C31,98:98)+100</f>
        <v>100</v>
      </c>
      <c r="I31" s="3466"/>
      <c r="J31" s="3471">
        <f>SUMIF(97:97,I31,98:98)-SUMIF(97:97,C31,98:98)+100</f>
        <v>100</v>
      </c>
      <c r="K31" s="3470"/>
      <c r="L31" s="3472"/>
      <c r="M31" s="3418"/>
      <c r="N31" s="3418"/>
      <c r="O31" s="3418"/>
      <c r="P31" s="4125"/>
      <c r="Q31" s="3485">
        <f t="shared" si="11"/>
        <v>111</v>
      </c>
      <c r="R31" s="3486" t="s">
        <v>8</v>
      </c>
      <c r="S31" s="3487">
        <f t="shared" si="12"/>
        <v>100</v>
      </c>
      <c r="T31" s="3486" t="s">
        <v>8</v>
      </c>
      <c r="U31" s="3487">
        <f t="shared" si="13"/>
        <v>100</v>
      </c>
      <c r="V31" s="3486" t="s">
        <v>8</v>
      </c>
      <c r="W31" s="3487">
        <f t="shared" si="14"/>
        <v>100</v>
      </c>
      <c r="X31" s="3419"/>
      <c r="Y31" s="4125"/>
      <c r="Z31" s="3488">
        <f t="shared" si="15"/>
        <v>111</v>
      </c>
      <c r="AA31" s="3488">
        <f t="shared" si="3"/>
        <v>1</v>
      </c>
      <c r="AB31" s="3488">
        <f t="shared" si="4"/>
        <v>1</v>
      </c>
      <c r="AC31" s="3488">
        <f t="shared" si="5"/>
        <v>1</v>
      </c>
    </row>
    <row r="32" spans="1:29" ht="15.75" thickBot="1">
      <c r="A32" s="3525"/>
      <c r="B32" s="3732">
        <v>111</v>
      </c>
      <c r="C32" s="3733"/>
      <c r="D32" s="3476">
        <v>100</v>
      </c>
      <c r="E32" s="3718"/>
      <c r="F32" s="3476">
        <f>SUMIF(99:99,E32,100:100)-SUMIF(99:99,C32,100:100)+100</f>
        <v>100</v>
      </c>
      <c r="G32" s="3717"/>
      <c r="H32" s="3476">
        <f>SUMIF(99:99,G32,100:100)-SUMIF(99:99,C32,100:100)+100</f>
        <v>100</v>
      </c>
      <c r="I32" s="3466"/>
      <c r="J32" s="3476">
        <f>SUMIF(99:99,I32,100:100)-SUMIF(99:99,C32,100:100)+100</f>
        <v>100</v>
      </c>
      <c r="K32" s="3470"/>
      <c r="L32" s="3472"/>
      <c r="M32" s="3418"/>
      <c r="N32" s="3418"/>
      <c r="O32" s="3418"/>
      <c r="P32" s="4125"/>
      <c r="Q32" s="3485">
        <f t="shared" si="11"/>
        <v>111</v>
      </c>
      <c r="R32" s="3486" t="s">
        <v>8</v>
      </c>
      <c r="S32" s="3487">
        <f t="shared" si="12"/>
        <v>100</v>
      </c>
      <c r="T32" s="3486" t="s">
        <v>8</v>
      </c>
      <c r="U32" s="3487">
        <f t="shared" si="13"/>
        <v>100</v>
      </c>
      <c r="V32" s="3486" t="s">
        <v>8</v>
      </c>
      <c r="W32" s="3487">
        <f t="shared" si="14"/>
        <v>100</v>
      </c>
      <c r="X32" s="3419"/>
      <c r="Y32" s="4125"/>
      <c r="Z32" s="3488">
        <f t="shared" si="15"/>
        <v>111</v>
      </c>
      <c r="AA32" s="3488">
        <f t="shared" si="3"/>
        <v>1</v>
      </c>
      <c r="AB32" s="3488">
        <f t="shared" si="4"/>
        <v>1</v>
      </c>
      <c r="AC32" s="3488">
        <f t="shared" si="5"/>
        <v>1</v>
      </c>
    </row>
    <row r="33" spans="1:29" ht="15">
      <c r="A33" s="3527" t="s">
        <v>3190</v>
      </c>
      <c r="B33" s="3528" t="s">
        <v>739</v>
      </c>
      <c r="C33" s="3529"/>
      <c r="D33" s="3530">
        <v>100</v>
      </c>
      <c r="E33" s="3529"/>
      <c r="F33" s="3518">
        <f>SUMIF(101:101,E33,102:102)-SUMIF(101:101,C33,102:102)+100</f>
        <v>100</v>
      </c>
      <c r="G33" s="3529"/>
      <c r="H33" s="3471">
        <f>SUMIF(101:101,G33,102:102)-SUMIF(101:101,C33,102:102)+100</f>
        <v>100</v>
      </c>
      <c r="I33" s="3529"/>
      <c r="J33" s="3530">
        <f>SUMIF(101:101,I33,102:102)-SUMIF(101:101,C33,102:102)+100</f>
        <v>100</v>
      </c>
      <c r="K33" s="3454"/>
      <c r="L33" s="3472"/>
      <c r="M33" s="3418"/>
      <c r="N33" s="3418"/>
      <c r="O33" s="3418"/>
      <c r="P33" s="4126" t="s">
        <v>542</v>
      </c>
      <c r="Q33" s="3485" t="str">
        <f t="shared" si="11"/>
        <v>建筑类型</v>
      </c>
      <c r="R33" s="3486" t="s">
        <v>8</v>
      </c>
      <c r="S33" s="3487">
        <f t="shared" si="12"/>
        <v>100</v>
      </c>
      <c r="T33" s="3486" t="s">
        <v>8</v>
      </c>
      <c r="U33" s="3487">
        <f t="shared" si="13"/>
        <v>100</v>
      </c>
      <c r="V33" s="3486" t="s">
        <v>8</v>
      </c>
      <c r="W33" s="3487">
        <f t="shared" si="14"/>
        <v>100</v>
      </c>
      <c r="X33" s="3419"/>
      <c r="Y33" s="4127" t="s">
        <v>542</v>
      </c>
      <c r="Z33" s="3488" t="str">
        <f t="shared" si="15"/>
        <v>建筑类型</v>
      </c>
      <c r="AA33" s="3488">
        <f t="shared" si="3"/>
        <v>1</v>
      </c>
      <c r="AB33" s="3488">
        <f t="shared" si="4"/>
        <v>1</v>
      </c>
      <c r="AC33" s="3488">
        <f t="shared" si="5"/>
        <v>1</v>
      </c>
    </row>
    <row r="34" spans="1:29" s="3540" customFormat="1" ht="15">
      <c r="A34" s="3531"/>
      <c r="B34" s="3516" t="s">
        <v>718</v>
      </c>
      <c r="C34" s="3532">
        <f>'不动产比较法-商业'!C33</f>
        <v>363000</v>
      </c>
      <c r="D34" s="3452">
        <v>100</v>
      </c>
      <c r="E34" s="3461">
        <v>5253</v>
      </c>
      <c r="F34" s="3516">
        <f>LOOKUP(E34,104:104,105:105)-LOOKUP(C34,104:104,105:105)+100</f>
        <v>103</v>
      </c>
      <c r="G34" s="3460">
        <v>10660</v>
      </c>
      <c r="H34" s="3452">
        <f>LOOKUP(G34,104:104,105:105)-LOOKUP(C34,104:104,105:105)+100</f>
        <v>102</v>
      </c>
      <c r="I34" s="3460">
        <v>1900</v>
      </c>
      <c r="J34" s="3452">
        <f>LOOKUP(I34,104:104,105:105)-LOOKUP(C34,104:104,105:105)+100</f>
        <v>104</v>
      </c>
      <c r="K34" s="3470"/>
      <c r="L34" s="3462"/>
      <c r="M34" s="3533"/>
      <c r="N34" s="3533"/>
      <c r="O34" s="3533"/>
      <c r="P34" s="4127"/>
      <c r="Q34" s="3535" t="str">
        <f t="shared" si="11"/>
        <v>项目建筑规模</v>
      </c>
      <c r="R34" s="3536" t="s">
        <v>8</v>
      </c>
      <c r="S34" s="3537">
        <f t="shared" si="12"/>
        <v>103</v>
      </c>
      <c r="T34" s="3536" t="s">
        <v>8</v>
      </c>
      <c r="U34" s="3537">
        <f t="shared" si="13"/>
        <v>102</v>
      </c>
      <c r="V34" s="3536" t="s">
        <v>8</v>
      </c>
      <c r="W34" s="3537">
        <f t="shared" si="14"/>
        <v>104</v>
      </c>
      <c r="X34" s="3538"/>
      <c r="Y34" s="4127"/>
      <c r="Z34" s="3539" t="str">
        <f t="shared" si="15"/>
        <v>项目建筑规模</v>
      </c>
      <c r="AA34" s="3488">
        <f t="shared" si="3"/>
        <v>0.970873786407767</v>
      </c>
      <c r="AB34" s="3488">
        <f t="shared" si="4"/>
        <v>0.98039215686274506</v>
      </c>
      <c r="AC34" s="3488">
        <f t="shared" si="5"/>
        <v>0.96153846153846156</v>
      </c>
    </row>
    <row r="35" spans="1:29" ht="15">
      <c r="A35" s="3541"/>
      <c r="B35" s="3516" t="s">
        <v>719</v>
      </c>
      <c r="C35" s="3542"/>
      <c r="D35" s="3471">
        <v>100</v>
      </c>
      <c r="E35" s="3542"/>
      <c r="F35" s="3518">
        <f>SUMIF(106:106,E35,107:107)-SUMIF(106:106,C35,107:107)+100</f>
        <v>100</v>
      </c>
      <c r="G35" s="3542"/>
      <c r="H35" s="3471">
        <f>SUMIF(106:106,G35,107:107)-SUMIF(106:106,C35,107:107)+100</f>
        <v>100</v>
      </c>
      <c r="I35" s="3542"/>
      <c r="J35" s="3471">
        <f>SUMIF(106:106,I35,107:107)-SUMIF(106:106,C35,107:107)+100</f>
        <v>100</v>
      </c>
      <c r="K35" s="3454"/>
      <c r="L35" s="3472"/>
      <c r="M35" s="3418"/>
      <c r="N35" s="3418"/>
      <c r="O35" s="3418"/>
      <c r="P35" s="4127"/>
      <c r="Q35" s="3485" t="str">
        <f t="shared" si="11"/>
        <v>建筑结构</v>
      </c>
      <c r="R35" s="3486" t="s">
        <v>8</v>
      </c>
      <c r="S35" s="3487">
        <f t="shared" si="12"/>
        <v>100</v>
      </c>
      <c r="T35" s="3486" t="s">
        <v>8</v>
      </c>
      <c r="U35" s="3487">
        <f t="shared" si="13"/>
        <v>100</v>
      </c>
      <c r="V35" s="3486" t="s">
        <v>8</v>
      </c>
      <c r="W35" s="3487">
        <f t="shared" si="14"/>
        <v>100</v>
      </c>
      <c r="X35" s="3419"/>
      <c r="Y35" s="4127"/>
      <c r="Z35" s="3488" t="str">
        <f t="shared" si="15"/>
        <v>建筑结构</v>
      </c>
      <c r="AA35" s="3488">
        <f t="shared" si="3"/>
        <v>1</v>
      </c>
      <c r="AB35" s="3488">
        <f t="shared" si="4"/>
        <v>1</v>
      </c>
      <c r="AC35" s="3488">
        <f t="shared" si="5"/>
        <v>1</v>
      </c>
    </row>
    <row r="36" spans="1:29" ht="15">
      <c r="A36" s="3541"/>
      <c r="B36" s="3516" t="s">
        <v>743</v>
      </c>
      <c r="C36" s="3542"/>
      <c r="D36" s="3471">
        <v>100</v>
      </c>
      <c r="E36" s="3542"/>
      <c r="F36" s="3518">
        <f>SUMIF(108:108,E36,109:109)-SUMIF(108:108,C36,109:109)+100</f>
        <v>100</v>
      </c>
      <c r="G36" s="3542"/>
      <c r="H36" s="3471">
        <f>SUMIF(108:108,G36,109:109)-SUMIF(108:108,C36,109:109)+100</f>
        <v>100</v>
      </c>
      <c r="I36" s="3542"/>
      <c r="J36" s="3471">
        <f>SUMIF(108:108,I36,109:109)-SUMIF(108:108,C36,109:109)+100</f>
        <v>100</v>
      </c>
      <c r="K36" s="3454"/>
      <c r="L36" s="3472"/>
      <c r="M36" s="3418"/>
      <c r="N36" s="3418"/>
      <c r="O36" s="3418"/>
      <c r="P36" s="4127"/>
      <c r="Q36" s="3485" t="str">
        <f t="shared" si="11"/>
        <v>公共部分装修</v>
      </c>
      <c r="R36" s="3486" t="s">
        <v>8</v>
      </c>
      <c r="S36" s="3487">
        <f t="shared" si="12"/>
        <v>100</v>
      </c>
      <c r="T36" s="3486" t="s">
        <v>8</v>
      </c>
      <c r="U36" s="3487">
        <f t="shared" si="13"/>
        <v>100</v>
      </c>
      <c r="V36" s="3486" t="s">
        <v>8</v>
      </c>
      <c r="W36" s="3487">
        <f t="shared" si="14"/>
        <v>100</v>
      </c>
      <c r="X36" s="3419"/>
      <c r="Y36" s="4127"/>
      <c r="Z36" s="3488" t="str">
        <f t="shared" si="15"/>
        <v>公共部分装修</v>
      </c>
      <c r="AA36" s="3488">
        <f t="shared" si="3"/>
        <v>1</v>
      </c>
      <c r="AB36" s="3488">
        <f t="shared" si="4"/>
        <v>1</v>
      </c>
      <c r="AC36" s="3488">
        <f t="shared" si="5"/>
        <v>1</v>
      </c>
    </row>
    <row r="37" spans="1:29" ht="15">
      <c r="A37" s="3541"/>
      <c r="B37" s="3516" t="s">
        <v>744</v>
      </c>
      <c r="C37" s="3545">
        <v>1</v>
      </c>
      <c r="D37" s="3471">
        <v>100</v>
      </c>
      <c r="E37" s="3545">
        <v>0.9</v>
      </c>
      <c r="F37" s="3518">
        <f>LOOKUP(E37,111:111,112:112)-LOOKUP(C37,111:111,112:112)+100</f>
        <v>100</v>
      </c>
      <c r="G37" s="3545">
        <v>0.96</v>
      </c>
      <c r="H37" s="3518">
        <f>LOOKUP(G37,111:111,112:112)-LOOKUP(E37,111:111,112:112)+100</f>
        <v>100</v>
      </c>
      <c r="I37" s="3545">
        <v>0.8</v>
      </c>
      <c r="J37" s="3518">
        <f>LOOKUP(I37,111:111,112:112)-LOOKUP(G37,111:111,112:112)+100</f>
        <v>98</v>
      </c>
      <c r="K37" s="3454">
        <v>2</v>
      </c>
      <c r="L37" s="3472"/>
      <c r="M37" s="3418"/>
      <c r="N37" s="3418"/>
      <c r="O37" s="3418"/>
      <c r="P37" s="4127"/>
      <c r="Q37" s="3485" t="str">
        <f t="shared" si="11"/>
        <v>成新度</v>
      </c>
      <c r="R37" s="3486" t="s">
        <v>8</v>
      </c>
      <c r="S37" s="3487">
        <f t="shared" si="12"/>
        <v>100</v>
      </c>
      <c r="T37" s="3486" t="s">
        <v>8</v>
      </c>
      <c r="U37" s="3487">
        <f t="shared" si="13"/>
        <v>100</v>
      </c>
      <c r="V37" s="3486" t="s">
        <v>8</v>
      </c>
      <c r="W37" s="3487">
        <f t="shared" si="14"/>
        <v>98</v>
      </c>
      <c r="X37" s="3419"/>
      <c r="Y37" s="4127"/>
      <c r="Z37" s="3488" t="str">
        <f t="shared" si="15"/>
        <v>成新度</v>
      </c>
      <c r="AA37" s="3488">
        <f t="shared" si="3"/>
        <v>1</v>
      </c>
      <c r="AB37" s="3488">
        <f t="shared" si="4"/>
        <v>1</v>
      </c>
      <c r="AC37" s="3488">
        <f t="shared" si="5"/>
        <v>1.0204081632653061</v>
      </c>
    </row>
    <row r="38" spans="1:29" s="3438" customFormat="1" ht="15">
      <c r="A38" s="3546"/>
      <c r="B38" s="3516" t="s">
        <v>778</v>
      </c>
      <c r="C38" s="3542"/>
      <c r="D38" s="3452">
        <v>100</v>
      </c>
      <c r="E38" s="3542"/>
      <c r="F38" s="3518">
        <f>SUMIF(113:113,E38,114:114)-SUMIF(113:113,C38,114:114)+100</f>
        <v>100</v>
      </c>
      <c r="G38" s="3542"/>
      <c r="H38" s="3471">
        <f>SUMIF(113:113,G38,114:114)-SUMIF(113:113,C38,114:114)+100</f>
        <v>100</v>
      </c>
      <c r="I38" s="3542"/>
      <c r="J38" s="3471">
        <f>SUMIF(113:113,I38,114:114)-SUMIF(113:113,C38,114:114)+100</f>
        <v>100</v>
      </c>
      <c r="K38" s="3454"/>
      <c r="L38" s="3432"/>
      <c r="M38" s="3433"/>
      <c r="N38" s="3433"/>
      <c r="O38" s="3433"/>
      <c r="P38" s="4127"/>
      <c r="Q38" s="3449" t="str">
        <f t="shared" si="11"/>
        <v>写字楼等级</v>
      </c>
      <c r="R38" s="3434" t="s">
        <v>8</v>
      </c>
      <c r="S38" s="3435">
        <f t="shared" si="12"/>
        <v>100</v>
      </c>
      <c r="T38" s="3434" t="s">
        <v>8</v>
      </c>
      <c r="U38" s="3435">
        <f t="shared" si="13"/>
        <v>100</v>
      </c>
      <c r="V38" s="3434" t="s">
        <v>8</v>
      </c>
      <c r="W38" s="3435">
        <f t="shared" si="14"/>
        <v>100</v>
      </c>
      <c r="X38" s="3436"/>
      <c r="Y38" s="4127"/>
      <c r="Z38" s="3437" t="str">
        <f t="shared" si="15"/>
        <v>写字楼等级</v>
      </c>
      <c r="AA38" s="3437">
        <f t="shared" si="3"/>
        <v>1</v>
      </c>
      <c r="AB38" s="3437">
        <f t="shared" si="4"/>
        <v>1</v>
      </c>
      <c r="AC38" s="3437">
        <f t="shared" si="5"/>
        <v>1</v>
      </c>
    </row>
    <row r="39" spans="1:29" ht="15">
      <c r="A39" s="3541"/>
      <c r="B39" s="3516" t="s">
        <v>745</v>
      </c>
      <c r="C39" s="3542"/>
      <c r="D39" s="3471">
        <v>100</v>
      </c>
      <c r="E39" s="3542"/>
      <c r="F39" s="3518">
        <f>SUMIF(115:115,E39,116:116)-SUMIF(115:115,C39,116:116)+100</f>
        <v>100</v>
      </c>
      <c r="G39" s="3542"/>
      <c r="H39" s="3471">
        <f>SUMIF(115:115,G39,116:116)-SUMIF(115:115,C39,116:116)+100</f>
        <v>100</v>
      </c>
      <c r="I39" s="3542"/>
      <c r="J39" s="3471">
        <f>SUMIF(115:115,I39,116:116)-SUMIF(115:115,C39,116:116)+100</f>
        <v>100</v>
      </c>
      <c r="K39" s="3454"/>
      <c r="L39" s="3472"/>
      <c r="M39" s="3418"/>
      <c r="N39" s="3418"/>
      <c r="O39" s="3418"/>
      <c r="P39" s="4127" t="s">
        <v>542</v>
      </c>
      <c r="Q39" s="3485" t="str">
        <f t="shared" si="11"/>
        <v>物业管理</v>
      </c>
      <c r="R39" s="3486" t="s">
        <v>8</v>
      </c>
      <c r="S39" s="3487">
        <f t="shared" si="12"/>
        <v>100</v>
      </c>
      <c r="T39" s="3486" t="s">
        <v>8</v>
      </c>
      <c r="U39" s="3487">
        <f t="shared" si="13"/>
        <v>100</v>
      </c>
      <c r="V39" s="3486" t="s">
        <v>8</v>
      </c>
      <c r="W39" s="3487">
        <f t="shared" si="14"/>
        <v>100</v>
      </c>
      <c r="X39" s="3419"/>
      <c r="Y39" s="4127" t="s">
        <v>542</v>
      </c>
      <c r="Z39" s="3488" t="str">
        <f t="shared" si="15"/>
        <v>物业管理</v>
      </c>
      <c r="AA39" s="3488">
        <f t="shared" si="3"/>
        <v>1</v>
      </c>
      <c r="AB39" s="3488">
        <f t="shared" si="4"/>
        <v>1</v>
      </c>
      <c r="AC39" s="3488">
        <f t="shared" si="5"/>
        <v>1</v>
      </c>
    </row>
    <row r="40" spans="1:29" ht="15">
      <c r="A40" s="3541"/>
      <c r="B40" s="3547" t="s">
        <v>2535</v>
      </c>
      <c r="C40" s="3542"/>
      <c r="D40" s="3471">
        <v>100</v>
      </c>
      <c r="E40" s="3542"/>
      <c r="F40" s="3518">
        <f>SUMIF(117:117,E40,118:118)-SUMIF(117:117,C40,118:118)+100</f>
        <v>100</v>
      </c>
      <c r="G40" s="3542"/>
      <c r="H40" s="3471">
        <f>SUMIF(117:117,G40,118:118)-SUMIF(117:117,C40,118:118)+100</f>
        <v>100</v>
      </c>
      <c r="I40" s="3542"/>
      <c r="J40" s="3471">
        <f>SUMIF(117:117,I40,118:118)-SUMIF(117:117,C40,118:118)+100</f>
        <v>100</v>
      </c>
      <c r="K40" s="3454"/>
      <c r="L40" s="3472"/>
      <c r="M40" s="3418"/>
      <c r="N40" s="3418"/>
      <c r="O40" s="3418"/>
      <c r="P40" s="4127"/>
      <c r="Q40" s="3485" t="str">
        <f t="shared" si="11"/>
        <v>市政基础设施</v>
      </c>
      <c r="R40" s="3486" t="s">
        <v>8</v>
      </c>
      <c r="S40" s="3487">
        <f t="shared" si="12"/>
        <v>100</v>
      </c>
      <c r="T40" s="3486" t="s">
        <v>8</v>
      </c>
      <c r="U40" s="3487">
        <f t="shared" si="13"/>
        <v>100</v>
      </c>
      <c r="V40" s="3486" t="s">
        <v>8</v>
      </c>
      <c r="W40" s="3487">
        <f t="shared" si="14"/>
        <v>100</v>
      </c>
      <c r="X40" s="3419"/>
      <c r="Y40" s="4127"/>
      <c r="Z40" s="3488" t="str">
        <f t="shared" si="15"/>
        <v>市政基础设施</v>
      </c>
      <c r="AA40" s="3488">
        <f t="shared" si="3"/>
        <v>1</v>
      </c>
      <c r="AB40" s="3488">
        <f t="shared" si="4"/>
        <v>1</v>
      </c>
      <c r="AC40" s="3488">
        <f t="shared" si="5"/>
        <v>1</v>
      </c>
    </row>
    <row r="41" spans="1:29" ht="15">
      <c r="A41" s="3541"/>
      <c r="B41" s="3516" t="s">
        <v>766</v>
      </c>
      <c r="C41" s="3517"/>
      <c r="D41" s="3471">
        <v>100</v>
      </c>
      <c r="E41" s="3517"/>
      <c r="F41" s="3518">
        <f>SUMIF(119:119,E41,120:120)-SUMIF(119:119,C41,120:120)+100</f>
        <v>100</v>
      </c>
      <c r="G41" s="3517"/>
      <c r="H41" s="3471">
        <f>SUMIF(119:119,G41,120:120)-SUMIF(119:119,C41,120:120)+100</f>
        <v>100</v>
      </c>
      <c r="I41" s="3517"/>
      <c r="J41" s="3471">
        <f>SUMIF(119:119,I41,120:120)-SUMIF(119:119,C41,120:120)+100</f>
        <v>100</v>
      </c>
      <c r="K41" s="3454"/>
      <c r="L41" s="3472"/>
      <c r="M41" s="3418"/>
      <c r="N41" s="3418"/>
      <c r="O41" s="3418"/>
      <c r="P41" s="4127"/>
      <c r="Q41" s="3485" t="str">
        <f t="shared" si="11"/>
        <v>层高</v>
      </c>
      <c r="R41" s="3486" t="s">
        <v>8</v>
      </c>
      <c r="S41" s="3487">
        <f t="shared" si="12"/>
        <v>100</v>
      </c>
      <c r="T41" s="3486" t="s">
        <v>8</v>
      </c>
      <c r="U41" s="3487">
        <f t="shared" si="13"/>
        <v>100</v>
      </c>
      <c r="V41" s="3486" t="s">
        <v>8</v>
      </c>
      <c r="W41" s="3487">
        <f t="shared" si="14"/>
        <v>100</v>
      </c>
      <c r="X41" s="3419"/>
      <c r="Y41" s="4127"/>
      <c r="Z41" s="3488" t="str">
        <f t="shared" si="15"/>
        <v>层高</v>
      </c>
      <c r="AA41" s="3488">
        <f t="shared" si="3"/>
        <v>1</v>
      </c>
      <c r="AB41" s="3488">
        <f t="shared" si="4"/>
        <v>1</v>
      </c>
      <c r="AC41" s="3488">
        <f t="shared" si="5"/>
        <v>1</v>
      </c>
    </row>
    <row r="42" spans="1:29" s="3540" customFormat="1" ht="15">
      <c r="A42" s="3531"/>
      <c r="B42" s="3518" t="s">
        <v>775</v>
      </c>
      <c r="C42" s="3468"/>
      <c r="D42" s="3471">
        <v>100</v>
      </c>
      <c r="E42" s="3468"/>
      <c r="F42" s="3518">
        <f>SUMIF(121:121,E42,122:122)-SUMIF(121:121,C42,122:122)+100</f>
        <v>100</v>
      </c>
      <c r="G42" s="3468"/>
      <c r="H42" s="3471">
        <f>SUMIF(121:121,G42,122:122)-SUMIF(121:121,C42,122:122)+100</f>
        <v>100</v>
      </c>
      <c r="I42" s="3468"/>
      <c r="J42" s="3471">
        <f>SUMIF(121:121,I42,122:122)-SUMIF(121:121,C42,122:122)+100</f>
        <v>100</v>
      </c>
      <c r="K42" s="3470"/>
      <c r="L42" s="3462"/>
      <c r="M42" s="3533"/>
      <c r="N42" s="3533"/>
      <c r="O42" s="3533"/>
      <c r="P42" s="4127"/>
      <c r="Q42" s="3535" t="str">
        <f t="shared" si="11"/>
        <v>单套建筑面积</v>
      </c>
      <c r="R42" s="3536" t="s">
        <v>8</v>
      </c>
      <c r="S42" s="3537">
        <f t="shared" si="12"/>
        <v>100</v>
      </c>
      <c r="T42" s="3536" t="s">
        <v>8</v>
      </c>
      <c r="U42" s="3537">
        <f t="shared" si="13"/>
        <v>100</v>
      </c>
      <c r="V42" s="3536" t="s">
        <v>8</v>
      </c>
      <c r="W42" s="3537">
        <f t="shared" si="14"/>
        <v>100</v>
      </c>
      <c r="X42" s="3538"/>
      <c r="Y42" s="4127"/>
      <c r="Z42" s="3539" t="str">
        <f t="shared" si="15"/>
        <v>单套建筑面积</v>
      </c>
      <c r="AA42" s="3488">
        <f t="shared" si="3"/>
        <v>1</v>
      </c>
      <c r="AB42" s="3488">
        <f t="shared" si="4"/>
        <v>1</v>
      </c>
      <c r="AC42" s="3488">
        <f t="shared" si="5"/>
        <v>1</v>
      </c>
    </row>
    <row r="43" spans="1:29" ht="15">
      <c r="A43" s="3541"/>
      <c r="B43" s="3516" t="s">
        <v>747</v>
      </c>
      <c r="C43" s="3542"/>
      <c r="D43" s="3471">
        <v>100</v>
      </c>
      <c r="E43" s="3542"/>
      <c r="F43" s="3518">
        <f>SUMIF(123:123,E43,124:124)-SUMIF(123:123,C43,124:124)+100</f>
        <v>100</v>
      </c>
      <c r="G43" s="3542"/>
      <c r="H43" s="3471">
        <f>SUMIF(123:123,G43,124:124)-SUMIF(123:123,C43,124:124)+100</f>
        <v>100</v>
      </c>
      <c r="I43" s="3542"/>
      <c r="J43" s="3471">
        <f>SUMIF(123:123,I43,124:124)-SUMIF(123:123,C43,124:124)+100</f>
        <v>100</v>
      </c>
      <c r="K43" s="3454"/>
      <c r="L43" s="3472"/>
      <c r="M43" s="3418"/>
      <c r="N43" s="3418"/>
      <c r="O43" s="3418"/>
      <c r="P43" s="4127"/>
      <c r="Q43" s="3485" t="str">
        <f t="shared" si="11"/>
        <v>内部装修</v>
      </c>
      <c r="R43" s="3486" t="s">
        <v>8</v>
      </c>
      <c r="S43" s="3487">
        <f t="shared" si="12"/>
        <v>100</v>
      </c>
      <c r="T43" s="3486" t="s">
        <v>8</v>
      </c>
      <c r="U43" s="3487">
        <f t="shared" si="13"/>
        <v>100</v>
      </c>
      <c r="V43" s="3486" t="s">
        <v>8</v>
      </c>
      <c r="W43" s="3487">
        <f t="shared" si="14"/>
        <v>100</v>
      </c>
      <c r="X43" s="3419"/>
      <c r="Y43" s="4127"/>
      <c r="Z43" s="3488" t="str">
        <f t="shared" si="15"/>
        <v>内部装修</v>
      </c>
      <c r="AA43" s="3488">
        <f t="shared" si="3"/>
        <v>1</v>
      </c>
      <c r="AB43" s="3488">
        <f t="shared" si="4"/>
        <v>1</v>
      </c>
      <c r="AC43" s="3488">
        <f t="shared" si="5"/>
        <v>1</v>
      </c>
    </row>
    <row r="44" spans="1:29" ht="27">
      <c r="A44" s="3541"/>
      <c r="B44" s="3516" t="s">
        <v>727</v>
      </c>
      <c r="C44" s="3542"/>
      <c r="D44" s="3471">
        <v>100</v>
      </c>
      <c r="E44" s="3544"/>
      <c r="F44" s="3518">
        <f>SUMIF(125:125,E44,126:126)-SUMIF(125:125,C44,126:126)+100</f>
        <v>100</v>
      </c>
      <c r="G44" s="3544"/>
      <c r="H44" s="3471">
        <f>SUMIF(125:125,G44,126:126)-SUMIF(125:125,C44,126:126)+100</f>
        <v>100</v>
      </c>
      <c r="I44" s="3544"/>
      <c r="J44" s="3471">
        <f>SUMIF(125:125,I44,126:126)-SUMIF(125:125,C44,126:126)+100</f>
        <v>100</v>
      </c>
      <c r="K44" s="3454"/>
      <c r="L44" s="3472"/>
      <c r="M44" s="3418"/>
      <c r="N44" s="3418"/>
      <c r="O44" s="3418"/>
      <c r="P44" s="4127"/>
      <c r="Q44" s="3485" t="str">
        <f t="shared" si="11"/>
        <v>内部装修维护情况</v>
      </c>
      <c r="R44" s="3486" t="s">
        <v>8</v>
      </c>
      <c r="S44" s="3487">
        <f t="shared" si="12"/>
        <v>100</v>
      </c>
      <c r="T44" s="3486" t="s">
        <v>8</v>
      </c>
      <c r="U44" s="3487">
        <f t="shared" si="13"/>
        <v>100</v>
      </c>
      <c r="V44" s="3486" t="s">
        <v>8</v>
      </c>
      <c r="W44" s="3487">
        <f t="shared" si="14"/>
        <v>100</v>
      </c>
      <c r="X44" s="3419"/>
      <c r="Y44" s="4127"/>
      <c r="Z44" s="3488" t="str">
        <f t="shared" si="15"/>
        <v>内部装修维护情况</v>
      </c>
      <c r="AA44" s="3488">
        <f t="shared" si="3"/>
        <v>1</v>
      </c>
      <c r="AB44" s="3488">
        <f t="shared" si="4"/>
        <v>1</v>
      </c>
      <c r="AC44" s="3488">
        <f t="shared" si="5"/>
        <v>1</v>
      </c>
    </row>
    <row r="45" spans="1:29" s="3438" customFormat="1" ht="15">
      <c r="A45" s="3546"/>
      <c r="B45" s="3519">
        <v>111</v>
      </c>
      <c r="C45" s="3532"/>
      <c r="D45" s="3452">
        <v>100</v>
      </c>
      <c r="E45" s="3466"/>
      <c r="F45" s="3516">
        <f>SUMIF(127:127,E45,128:128)-SUMIF(127:127,C45,128:128)+100</f>
        <v>100</v>
      </c>
      <c r="G45" s="3466"/>
      <c r="H45" s="3452">
        <f>SUMIF(127:127,G45,128:128)-SUMIF(127:127,C45,128:128)+100</f>
        <v>100</v>
      </c>
      <c r="I45" s="3466"/>
      <c r="J45" s="3452">
        <f>SUMIF(127:127,I45,128:128)-SUMIF(127:127,C45,128:128)+100</f>
        <v>100</v>
      </c>
      <c r="K45" s="3470"/>
      <c r="L45" s="3432"/>
      <c r="M45" s="3433"/>
      <c r="N45" s="3433"/>
      <c r="O45" s="3433"/>
      <c r="P45" s="4127"/>
      <c r="Q45" s="3449">
        <f t="shared" si="11"/>
        <v>111</v>
      </c>
      <c r="R45" s="3434" t="s">
        <v>8</v>
      </c>
      <c r="S45" s="3435">
        <f t="shared" si="12"/>
        <v>100</v>
      </c>
      <c r="T45" s="3434" t="s">
        <v>8</v>
      </c>
      <c r="U45" s="3435">
        <f t="shared" si="13"/>
        <v>100</v>
      </c>
      <c r="V45" s="3434" t="s">
        <v>8</v>
      </c>
      <c r="W45" s="3435">
        <f t="shared" si="14"/>
        <v>100</v>
      </c>
      <c r="X45" s="3436"/>
      <c r="Y45" s="4127"/>
      <c r="Z45" s="3437">
        <f t="shared" si="15"/>
        <v>111</v>
      </c>
      <c r="AA45" s="3437">
        <f t="shared" si="3"/>
        <v>1</v>
      </c>
      <c r="AB45" s="3437">
        <f t="shared" si="4"/>
        <v>1</v>
      </c>
      <c r="AC45" s="3437">
        <f t="shared" si="5"/>
        <v>1</v>
      </c>
    </row>
    <row r="46" spans="1:29" ht="15">
      <c r="A46" s="3541"/>
      <c r="B46" s="3519">
        <v>111</v>
      </c>
      <c r="C46" s="3468"/>
      <c r="D46" s="3471">
        <v>100</v>
      </c>
      <c r="E46" s="3466"/>
      <c r="F46" s="3518">
        <f>SUMIF(129:129,E46,130:130)-SUMIF(129:129,C46,130:130)+100</f>
        <v>100</v>
      </c>
      <c r="G46" s="3466"/>
      <c r="H46" s="3471">
        <f>SUMIF(129:129,G46,130:130)-SUMIF(129:129,C46,130:130)+100</f>
        <v>100</v>
      </c>
      <c r="I46" s="3466"/>
      <c r="J46" s="3471">
        <f>SUMIF(129:129,I46,130:130)-SUMIF(129:129,C46,130:130)+100</f>
        <v>100</v>
      </c>
      <c r="K46" s="3470"/>
      <c r="L46" s="3472"/>
      <c r="M46" s="3418"/>
      <c r="N46" s="3418"/>
      <c r="O46" s="3418"/>
      <c r="P46" s="4127"/>
      <c r="Q46" s="3485">
        <f t="shared" si="11"/>
        <v>111</v>
      </c>
      <c r="R46" s="3486" t="s">
        <v>8</v>
      </c>
      <c r="S46" s="3487">
        <f t="shared" si="12"/>
        <v>100</v>
      </c>
      <c r="T46" s="3486" t="s">
        <v>8</v>
      </c>
      <c r="U46" s="3487">
        <f t="shared" si="13"/>
        <v>100</v>
      </c>
      <c r="V46" s="3486" t="s">
        <v>8</v>
      </c>
      <c r="W46" s="3487">
        <f t="shared" si="14"/>
        <v>100</v>
      </c>
      <c r="X46" s="3419"/>
      <c r="Y46" s="4127"/>
      <c r="Z46" s="3488">
        <f t="shared" si="15"/>
        <v>111</v>
      </c>
      <c r="AA46" s="3488">
        <f t="shared" si="3"/>
        <v>1</v>
      </c>
      <c r="AB46" s="3488">
        <f t="shared" si="4"/>
        <v>1</v>
      </c>
      <c r="AC46" s="3488">
        <f t="shared" si="5"/>
        <v>1</v>
      </c>
    </row>
    <row r="47" spans="1:29" ht="15.75" thickBot="1">
      <c r="A47" s="3550"/>
      <c r="B47" s="3551">
        <v>111</v>
      </c>
      <c r="C47" s="3475"/>
      <c r="D47" s="3476">
        <v>100</v>
      </c>
      <c r="E47" s="3466"/>
      <c r="F47" s="3526">
        <f>SUMIF(131:131,E47,132:132)-SUMIF(131:131,C47,132:132)+100</f>
        <v>100</v>
      </c>
      <c r="G47" s="3466"/>
      <c r="H47" s="3476">
        <f>SUMIF(131:131,G47,132:132)-SUMIF(131:131,C47,132:132)+100</f>
        <v>100</v>
      </c>
      <c r="I47" s="3466"/>
      <c r="J47" s="3476">
        <f>SUMIF(131:131,I47,132:132)-SUMIF(131:131,C47,132:132)+100</f>
        <v>100</v>
      </c>
      <c r="K47" s="3470"/>
      <c r="L47" s="3472"/>
      <c r="M47" s="3418"/>
      <c r="N47" s="3418"/>
      <c r="O47" s="3418"/>
      <c r="P47" s="4128"/>
      <c r="Q47" s="3485">
        <f t="shared" si="11"/>
        <v>111</v>
      </c>
      <c r="R47" s="3486" t="s">
        <v>8</v>
      </c>
      <c r="S47" s="3487">
        <f t="shared" si="12"/>
        <v>100</v>
      </c>
      <c r="T47" s="3486" t="s">
        <v>8</v>
      </c>
      <c r="U47" s="3487">
        <f t="shared" si="13"/>
        <v>100</v>
      </c>
      <c r="V47" s="3486" t="s">
        <v>8</v>
      </c>
      <c r="W47" s="3487">
        <f t="shared" si="14"/>
        <v>100</v>
      </c>
      <c r="X47" s="3419"/>
      <c r="Y47" s="4128"/>
      <c r="Z47" s="3488">
        <f t="shared" si="15"/>
        <v>111</v>
      </c>
      <c r="AA47" s="3488">
        <f t="shared" si="3"/>
        <v>1</v>
      </c>
      <c r="AB47" s="3488">
        <f t="shared" si="4"/>
        <v>1</v>
      </c>
      <c r="AC47" s="3488">
        <f t="shared" si="5"/>
        <v>1</v>
      </c>
    </row>
    <row r="48" spans="1:29" ht="15">
      <c r="A48" s="3552" t="s">
        <v>728</v>
      </c>
      <c r="B48" s="3553"/>
      <c r="C48" s="3554" t="s">
        <v>1</v>
      </c>
      <c r="D48" s="3555"/>
      <c r="E48" s="3556">
        <f>办公案例截图及地图!$A$2</f>
        <v>33000</v>
      </c>
      <c r="F48" s="3557"/>
      <c r="G48" s="3558">
        <f>办公案例截图及地图!$A$41</f>
        <v>37523</v>
      </c>
      <c r="H48" s="3559"/>
      <c r="I48" s="3556">
        <f>办公案例截图及地图!A87</f>
        <v>36800</v>
      </c>
      <c r="J48" s="3559"/>
      <c r="K48" s="3560"/>
      <c r="L48" s="3561"/>
      <c r="M48" s="3418"/>
      <c r="N48" s="3418"/>
      <c r="O48" s="3418"/>
      <c r="P48" s="4130" t="str">
        <f>A48</f>
        <v>成交单价（元/平方米）</v>
      </c>
      <c r="Q48" s="4122"/>
      <c r="R48" s="4118">
        <f>E48</f>
        <v>33000</v>
      </c>
      <c r="S48" s="4118"/>
      <c r="T48" s="4118">
        <f>G48</f>
        <v>37523</v>
      </c>
      <c r="U48" s="4118"/>
      <c r="V48" s="4118">
        <f>I48</f>
        <v>36800</v>
      </c>
      <c r="W48" s="4118"/>
      <c r="X48" s="3490"/>
      <c r="Y48" s="3562"/>
      <c r="Z48" s="3490"/>
      <c r="AA48" s="3490"/>
      <c r="AB48" s="3490"/>
      <c r="AC48" s="3490"/>
    </row>
    <row r="49" spans="1:29" ht="15.75" thickBot="1">
      <c r="A49" s="3563" t="s">
        <v>2671</v>
      </c>
      <c r="B49" s="3564"/>
      <c r="C49" s="3565">
        <f>R50</f>
        <v>34650</v>
      </c>
      <c r="D49" s="3566" t="s">
        <v>2963</v>
      </c>
      <c r="E49" s="3567">
        <f>R49</f>
        <v>32896</v>
      </c>
      <c r="F49" s="3568"/>
      <c r="G49" s="3565">
        <f>T49</f>
        <v>36467</v>
      </c>
      <c r="H49" s="3568"/>
      <c r="I49" s="3567">
        <f>V49</f>
        <v>34588</v>
      </c>
      <c r="J49" s="3568"/>
      <c r="K49" s="3569">
        <f>F49+H49+J49</f>
        <v>0</v>
      </c>
      <c r="L49" s="3561"/>
      <c r="M49" s="3418"/>
      <c r="N49" s="3418"/>
      <c r="O49" s="3418"/>
      <c r="P49" s="4130" t="str">
        <f>A49</f>
        <v>比较价格（元/平方米）</v>
      </c>
      <c r="Q49" s="4122"/>
      <c r="R49" s="4118">
        <f>IF(F1="售价",ROUND(PRODUCT(R48,AA7:AA47),0),ROUND(PRODUCT(R48,AA7:AA47),0))</f>
        <v>32896</v>
      </c>
      <c r="S49" s="4118"/>
      <c r="T49" s="4118">
        <f>IF(F1="售价",ROUND(PRODUCT(T48,AB7:AB47),0),ROUND(PRODUCT(T48,AB7:AB47),0))</f>
        <v>36467</v>
      </c>
      <c r="U49" s="4118"/>
      <c r="V49" s="4118">
        <f>IF(F1="售价",ROUND(PRODUCT(V48,AC7:AC47),0),ROUND(PRODUCT(V48,AC7:AC47),0))</f>
        <v>34588</v>
      </c>
      <c r="W49" s="4118"/>
      <c r="X49" s="3490"/>
      <c r="Y49" s="3490"/>
      <c r="Z49" s="3490"/>
      <c r="AA49" s="3490"/>
      <c r="AB49" s="3490"/>
      <c r="AC49" s="3490"/>
    </row>
    <row r="50" spans="1:29" ht="15.75" thickBot="1">
      <c r="A50" s="3570" t="s">
        <v>2898</v>
      </c>
      <c r="B50" s="3571"/>
      <c r="C50" s="3424">
        <f>R50</f>
        <v>34650</v>
      </c>
      <c r="D50" s="3424"/>
      <c r="E50" s="3424"/>
      <c r="F50" s="3424"/>
      <c r="G50" s="3424"/>
      <c r="H50" s="3424"/>
      <c r="I50" s="3424"/>
      <c r="J50" s="3424"/>
      <c r="K50" s="3572"/>
      <c r="L50" s="3561"/>
      <c r="M50" s="3418"/>
      <c r="N50" s="3418"/>
      <c r="O50" s="3418"/>
      <c r="P50" s="4136" t="str">
        <f>A50</f>
        <v>估价对象XX用房的比较价格（楼面单价，元/平方米）</v>
      </c>
      <c r="Q50" s="4130"/>
      <c r="R50" s="4131">
        <f>IF(F1="售价",ROUND(IF(D49="简单平均",AVERAGE(R49:V49),R49*F49+T49*H49+V49*J49),0),ROUND(IF(D49="简单平均",AVERAGE(R49:V49),R49*F49+T49*H49+V49*J49),0))</f>
        <v>34650</v>
      </c>
      <c r="S50" s="4131"/>
      <c r="T50" s="4131"/>
      <c r="U50" s="4131"/>
      <c r="V50" s="4131"/>
      <c r="W50" s="4131"/>
      <c r="X50" s="3490"/>
      <c r="Y50" s="3490"/>
      <c r="Z50" s="3490"/>
      <c r="AA50" s="3490"/>
      <c r="AB50" s="3490"/>
      <c r="AC50" s="3490"/>
    </row>
    <row r="51" spans="1:29">
      <c r="A51" s="3573"/>
      <c r="B51" s="3573"/>
      <c r="C51" s="3573"/>
      <c r="D51" s="3573"/>
      <c r="E51" s="3573"/>
      <c r="F51" s="3573"/>
      <c r="G51" s="3574"/>
      <c r="H51" s="3573"/>
      <c r="I51" s="3573"/>
      <c r="J51" s="3573"/>
      <c r="K51" s="3575"/>
      <c r="L51" s="3576"/>
      <c r="M51" s="3418"/>
      <c r="N51" s="3418"/>
      <c r="O51" s="3418"/>
      <c r="P51" s="3734"/>
      <c r="Q51" s="3418"/>
      <c r="R51" s="3418"/>
      <c r="S51" s="3418"/>
      <c r="T51" s="3418"/>
      <c r="U51" s="3418"/>
      <c r="V51" s="3418"/>
      <c r="W51" s="3418"/>
      <c r="X51" s="3418"/>
      <c r="Y51" s="3418"/>
      <c r="Z51" s="3418"/>
      <c r="AA51" s="3418"/>
      <c r="AB51" s="3418"/>
      <c r="AC51" s="3418"/>
    </row>
    <row r="52" spans="1:29">
      <c r="A52" s="3573"/>
      <c r="B52" s="3573"/>
      <c r="C52" s="3573"/>
      <c r="D52" s="3573"/>
      <c r="E52" s="3573"/>
      <c r="F52" s="3573"/>
      <c r="G52" s="3573"/>
      <c r="H52" s="3573"/>
      <c r="I52" s="3573"/>
      <c r="J52" s="3573"/>
      <c r="K52" s="3575"/>
      <c r="L52" s="3576"/>
      <c r="M52" s="3418"/>
      <c r="N52" s="3418"/>
      <c r="O52" s="3418"/>
      <c r="P52" s="3734"/>
      <c r="Q52" s="3418"/>
      <c r="R52" s="3418"/>
      <c r="S52" s="3418"/>
      <c r="T52" s="3418"/>
      <c r="U52" s="3418"/>
      <c r="V52" s="3418"/>
      <c r="W52" s="3418"/>
      <c r="X52" s="3418"/>
      <c r="Y52" s="3418"/>
      <c r="Z52" s="3418"/>
      <c r="AA52" s="3418"/>
      <c r="AB52" s="3418"/>
      <c r="AC52" s="3418"/>
    </row>
    <row r="53" spans="1:29" ht="13.5" customHeight="1">
      <c r="A53" s="3573"/>
      <c r="B53" s="3573"/>
      <c r="C53" s="3577" t="s">
        <v>549</v>
      </c>
      <c r="D53" s="3578"/>
      <c r="E53" s="3579">
        <f>IF(E48&lt;E49,E49/E48-1,E48/E49-1)</f>
        <v>3.1614785992217787E-3</v>
      </c>
      <c r="F53" s="3580" t="str">
        <f>IF(OR(E53&gt;=0.3,E53&lt;=-0.3),"超过30%","")</f>
        <v/>
      </c>
      <c r="G53" s="3579">
        <f>IF(G48&lt;G49,G49/G48-1,G48/G49-1)</f>
        <v>2.8957687772506624E-2</v>
      </c>
      <c r="H53" s="3580" t="str">
        <f>IF(OR(G53&gt;=0.3,G53&lt;=-0.3),"超过30%","")</f>
        <v/>
      </c>
      <c r="I53" s="3579">
        <f>IF(I48&lt;I49,I49/I48-1,I48/I49-1)</f>
        <v>6.3952816005551139E-2</v>
      </c>
      <c r="J53" s="3580" t="str">
        <f>IF(OR(I53&gt;=0.3,I53&lt;=-0.3),"超过30%","")</f>
        <v/>
      </c>
      <c r="K53" s="3575"/>
      <c r="L53" s="3576"/>
      <c r="M53" s="3418"/>
      <c r="N53" s="3418"/>
      <c r="O53" s="3418"/>
      <c r="P53" s="3734"/>
      <c r="Q53" s="3418"/>
      <c r="R53" s="3418"/>
      <c r="S53" s="3418"/>
      <c r="T53" s="3418"/>
      <c r="U53" s="3418"/>
      <c r="V53" s="3418"/>
      <c r="W53" s="3418"/>
      <c r="X53" s="3418"/>
      <c r="Y53" s="3418"/>
      <c r="Z53" s="3418"/>
      <c r="AA53" s="3418"/>
      <c r="AB53" s="3418"/>
      <c r="AC53" s="3418"/>
    </row>
    <row r="54" spans="1:29" ht="13.5" customHeight="1">
      <c r="A54" s="3573"/>
      <c r="B54" s="3573"/>
      <c r="C54" s="3577" t="s">
        <v>550</v>
      </c>
      <c r="D54" s="3581"/>
      <c r="E54" s="3579">
        <f>IF(E49&lt;G49,G49/E49-1,E49/G49-1)</f>
        <v>0.10855423151750965</v>
      </c>
      <c r="F54" s="3580" t="str">
        <f>IF(OR(E54&gt;=0.2,E54&lt;=-0.2),"超过20%","")</f>
        <v/>
      </c>
      <c r="G54" s="3579">
        <f>IF(G49&lt;I49,I49/G49-1,G49/I49-1)</f>
        <v>5.4325199491153109E-2</v>
      </c>
      <c r="H54" s="3580" t="str">
        <f>IF(OR(G54&gt;=0.2,G54&lt;=-0.2),"超过20%","")</f>
        <v/>
      </c>
      <c r="I54" s="3579">
        <f>IF(I49&lt;E49,E49/I49-1,I49/E49-1)</f>
        <v>5.1434824902723664E-2</v>
      </c>
      <c r="J54" s="3580" t="str">
        <f>IF(OR(I54&gt;=0.2,I54&lt;=-0.2),"超过20%","")</f>
        <v/>
      </c>
      <c r="K54" s="3575"/>
      <c r="L54" s="3576"/>
      <c r="M54" s="3418"/>
      <c r="N54" s="3418"/>
      <c r="O54" s="3418"/>
      <c r="P54" s="3734"/>
      <c r="Q54" s="3418"/>
      <c r="R54" s="3418"/>
      <c r="S54" s="3418"/>
      <c r="T54" s="3418"/>
      <c r="U54" s="3418"/>
      <c r="V54" s="3418"/>
      <c r="W54" s="3418"/>
      <c r="X54" s="3418"/>
      <c r="Y54" s="3418"/>
      <c r="Z54" s="3418"/>
      <c r="AA54" s="3418"/>
      <c r="AB54" s="3418"/>
      <c r="AC54" s="3418"/>
    </row>
    <row r="55" spans="1:29" s="3586" customFormat="1" ht="13.5" customHeight="1">
      <c r="A55" s="3582"/>
      <c r="B55" s="3582"/>
      <c r="C55" s="3577" t="s">
        <v>551</v>
      </c>
      <c r="D55" s="3581"/>
      <c r="E55" s="3579">
        <f>IF(E48&lt;G48,G48/E48-1,E48/G48-1)</f>
        <v>0.1370606060606061</v>
      </c>
      <c r="F55" s="3580" t="str">
        <f>IF(OR(E55&gt;=0.3,E55&lt;=-0.3),"超过30%","")</f>
        <v/>
      </c>
      <c r="G55" s="3579">
        <f>IF(G48&lt;I48,I48/G48-1,G48/I48-1)</f>
        <v>1.9646739130434687E-2</v>
      </c>
      <c r="H55" s="3580" t="str">
        <f>IF(OR(G55&gt;=0.3,G55&lt;=-0.3),"超过30%","")</f>
        <v/>
      </c>
      <c r="I55" s="3579">
        <f>IF(I48&lt;E48,E48/I48-1,I48/E48-1)</f>
        <v>0.11515151515151523</v>
      </c>
      <c r="J55" s="3580" t="str">
        <f>IF(OR(I55&gt;=0.3,I55&lt;=-0.3),"超过30%","")</f>
        <v/>
      </c>
      <c r="K55" s="3583"/>
      <c r="L55" s="3584"/>
      <c r="M55" s="3585"/>
      <c r="N55" s="3585"/>
      <c r="O55" s="3585"/>
      <c r="P55" s="3735"/>
      <c r="Q55" s="3585"/>
      <c r="R55" s="3585"/>
      <c r="S55" s="3585"/>
      <c r="T55" s="3585"/>
      <c r="U55" s="3585"/>
      <c r="V55" s="3585"/>
      <c r="W55" s="3585"/>
      <c r="X55" s="3585"/>
      <c r="Y55" s="3585"/>
      <c r="Z55" s="3585"/>
      <c r="AA55" s="3585"/>
      <c r="AB55" s="3585"/>
      <c r="AC55" s="3585"/>
    </row>
    <row r="56" spans="1:29" s="3586" customFormat="1">
      <c r="A56" s="3585"/>
      <c r="B56" s="3587"/>
      <c r="C56" s="3588"/>
      <c r="D56" s="3585"/>
      <c r="E56" s="3585"/>
      <c r="F56" s="3585"/>
      <c r="G56" s="3585"/>
      <c r="H56" s="3585"/>
      <c r="I56" s="3585"/>
      <c r="J56" s="3585"/>
      <c r="K56" s="3589"/>
      <c r="L56" s="3584"/>
      <c r="M56" s="3585"/>
      <c r="N56" s="3585"/>
      <c r="O56" s="3585"/>
      <c r="P56" s="3735"/>
      <c r="Q56" s="3585"/>
      <c r="R56" s="3585"/>
      <c r="S56" s="3585"/>
      <c r="T56" s="3585"/>
      <c r="U56" s="3585"/>
      <c r="V56" s="3585"/>
      <c r="W56" s="3585"/>
      <c r="X56" s="3585"/>
      <c r="Y56" s="3585"/>
      <c r="Z56" s="3585"/>
      <c r="AA56" s="3585"/>
      <c r="AB56" s="3585"/>
      <c r="AC56" s="3585"/>
    </row>
    <row r="57" spans="1:29">
      <c r="A57" s="3418"/>
      <c r="B57" s="3587"/>
      <c r="C57" s="3588"/>
      <c r="D57" s="3418"/>
      <c r="E57" s="3418"/>
      <c r="F57" s="3418"/>
      <c r="G57" s="3418"/>
      <c r="H57" s="3418"/>
      <c r="I57" s="3418"/>
      <c r="J57" s="3418"/>
      <c r="K57" s="3590"/>
      <c r="L57" s="3576"/>
      <c r="M57" s="3418"/>
      <c r="N57" s="3418"/>
      <c r="O57" s="3418"/>
      <c r="P57" s="3734"/>
      <c r="Q57" s="3418"/>
      <c r="R57" s="3418"/>
      <c r="S57" s="3418"/>
      <c r="T57" s="3418"/>
      <c r="U57" s="3418"/>
      <c r="V57" s="3418"/>
      <c r="W57" s="3418"/>
      <c r="X57" s="3418"/>
      <c r="Y57" s="3418"/>
      <c r="Z57" s="3418"/>
      <c r="AA57" s="3418"/>
      <c r="AB57" s="3418"/>
      <c r="AC57" s="3418"/>
    </row>
    <row r="58" spans="1:29" ht="21.75" thickBot="1">
      <c r="A58" s="3591" t="s">
        <v>566</v>
      </c>
      <c r="B58" s="3490"/>
      <c r="C58" s="3592"/>
      <c r="D58" s="3592"/>
      <c r="E58" s="3592"/>
      <c r="F58" s="3593"/>
      <c r="G58" s="3593"/>
      <c r="H58" s="3592"/>
      <c r="I58" s="3592"/>
      <c r="J58" s="3592"/>
      <c r="K58" s="3594"/>
      <c r="L58" s="3595"/>
      <c r="M58" s="3592"/>
      <c r="N58" s="3596"/>
      <c r="O58" s="3596"/>
      <c r="P58" s="3736"/>
      <c r="Q58" s="3597"/>
      <c r="R58" s="3418"/>
      <c r="S58" s="3418"/>
      <c r="T58" s="3418"/>
      <c r="U58" s="3418"/>
      <c r="V58" s="3418"/>
      <c r="W58" s="3418"/>
      <c r="X58" s="3418"/>
      <c r="Y58" s="3418"/>
      <c r="Z58" s="3418"/>
      <c r="AA58" s="3418"/>
      <c r="AB58" s="3418"/>
      <c r="AC58" s="3418"/>
    </row>
    <row r="59" spans="1:29" s="3603" customFormat="1" ht="15">
      <c r="A59" s="3598" t="s">
        <v>521</v>
      </c>
      <c r="B59" s="3599"/>
      <c r="C59" s="3600" t="str">
        <f>YEAR(C7)&amp;"-"&amp;MONTH(C7)</f>
        <v>2021-10</v>
      </c>
      <c r="D59" s="3601">
        <f>EDATE(C59,-1)</f>
        <v>44440</v>
      </c>
      <c r="E59" s="3601">
        <f t="shared" ref="E59:O59" si="16">EDATE(D59,-1)</f>
        <v>44409</v>
      </c>
      <c r="F59" s="3601">
        <f t="shared" si="16"/>
        <v>44378</v>
      </c>
      <c r="G59" s="3601">
        <f t="shared" si="16"/>
        <v>44348</v>
      </c>
      <c r="H59" s="3601">
        <f t="shared" si="16"/>
        <v>44317</v>
      </c>
      <c r="I59" s="3601">
        <f t="shared" si="16"/>
        <v>44287</v>
      </c>
      <c r="J59" s="3601">
        <f t="shared" si="16"/>
        <v>44256</v>
      </c>
      <c r="K59" s="3601">
        <f t="shared" si="16"/>
        <v>44228</v>
      </c>
      <c r="L59" s="3601">
        <f t="shared" si="16"/>
        <v>44197</v>
      </c>
      <c r="M59" s="3601">
        <f t="shared" si="16"/>
        <v>44166</v>
      </c>
      <c r="N59" s="3601">
        <f t="shared" si="16"/>
        <v>44136</v>
      </c>
      <c r="O59" s="3601">
        <f t="shared" si="16"/>
        <v>44105</v>
      </c>
      <c r="P59" s="3737"/>
      <c r="Q59" s="3602"/>
      <c r="R59" s="3602"/>
      <c r="S59" s="3602"/>
      <c r="T59" s="3602"/>
      <c r="U59" s="3602"/>
      <c r="V59" s="3602"/>
      <c r="W59" s="3602"/>
      <c r="X59" s="3602"/>
      <c r="Y59" s="3602"/>
      <c r="Z59" s="3602"/>
      <c r="AA59" s="3602"/>
      <c r="AB59" s="3602"/>
      <c r="AC59" s="3602"/>
    </row>
    <row r="60" spans="1:29" s="3438" customFormat="1" ht="15">
      <c r="A60" s="3604"/>
      <c r="B60" s="3605"/>
      <c r="C60" s="3606">
        <v>100</v>
      </c>
      <c r="D60" s="3607">
        <v>100</v>
      </c>
      <c r="E60" s="3607"/>
      <c r="F60" s="3607"/>
      <c r="G60" s="3607"/>
      <c r="H60" s="3607"/>
      <c r="I60" s="3607"/>
      <c r="J60" s="3607"/>
      <c r="K60" s="3607"/>
      <c r="L60" s="3607"/>
      <c r="M60" s="3608"/>
      <c r="N60" s="3607"/>
      <c r="O60" s="3608"/>
      <c r="P60" s="3738"/>
      <c r="Q60" s="3433"/>
      <c r="R60" s="3433"/>
      <c r="S60" s="3433"/>
      <c r="T60" s="3433"/>
      <c r="U60" s="3433"/>
      <c r="V60" s="3433"/>
      <c r="W60" s="3433"/>
      <c r="X60" s="3433"/>
      <c r="Y60" s="3433"/>
      <c r="Z60" s="3433"/>
      <c r="AA60" s="3433"/>
      <c r="AB60" s="3433"/>
      <c r="AC60" s="3433"/>
    </row>
    <row r="61" spans="1:29" s="3438" customFormat="1" ht="15.75" thickBot="1">
      <c r="A61" s="3610" t="s">
        <v>3192</v>
      </c>
      <c r="B61" s="3611"/>
      <c r="C61" s="3612"/>
      <c r="D61" s="3613"/>
      <c r="E61" s="3613"/>
      <c r="F61" s="3613"/>
      <c r="G61" s="3613"/>
      <c r="H61" s="3613"/>
      <c r="I61" s="3613"/>
      <c r="J61" s="3613"/>
      <c r="K61" s="3613"/>
      <c r="L61" s="3613"/>
      <c r="M61" s="3614"/>
      <c r="N61" s="3613"/>
      <c r="O61" s="3614"/>
      <c r="P61" s="3738"/>
      <c r="Q61" s="3597"/>
      <c r="R61" s="3433"/>
      <c r="S61" s="3433"/>
      <c r="T61" s="3433"/>
      <c r="U61" s="3433"/>
      <c r="V61" s="3433"/>
      <c r="W61" s="3433"/>
      <c r="X61" s="3433"/>
      <c r="Y61" s="3433"/>
      <c r="Z61" s="3433"/>
      <c r="AA61" s="3433"/>
      <c r="AB61" s="3433"/>
      <c r="AC61" s="3433"/>
    </row>
    <row r="62" spans="1:29" s="3438" customFormat="1" ht="15">
      <c r="A62" s="3616" t="s">
        <v>523</v>
      </c>
      <c r="B62" s="3605"/>
      <c r="C62" s="3617" t="s">
        <v>3182</v>
      </c>
      <c r="D62" s="3739" t="s">
        <v>3220</v>
      </c>
      <c r="E62" s="3618"/>
      <c r="F62" s="3618"/>
      <c r="G62" s="3618"/>
      <c r="H62" s="3618"/>
      <c r="I62" s="3618"/>
      <c r="J62" s="3618"/>
      <c r="K62" s="3618"/>
      <c r="L62" s="3619"/>
      <c r="M62" s="3620"/>
      <c r="N62" s="3621"/>
      <c r="O62" s="3621"/>
      <c r="P62" s="3740"/>
      <c r="Q62" s="3597"/>
      <c r="R62" s="3433"/>
      <c r="S62" s="3433"/>
      <c r="T62" s="3433"/>
      <c r="U62" s="3433"/>
      <c r="V62" s="3433"/>
      <c r="W62" s="3433"/>
      <c r="X62" s="3433"/>
      <c r="Y62" s="3433"/>
      <c r="Z62" s="3433"/>
      <c r="AA62" s="3433"/>
      <c r="AB62" s="3433"/>
      <c r="AC62" s="3433"/>
    </row>
    <row r="63" spans="1:29" s="3438" customFormat="1" ht="15.75" thickBot="1">
      <c r="A63" s="3616"/>
      <c r="B63" s="3605"/>
      <c r="C63" s="3623">
        <v>100</v>
      </c>
      <c r="D63" s="3607">
        <v>103</v>
      </c>
      <c r="E63" s="3607"/>
      <c r="F63" s="3607"/>
      <c r="G63" s="3607"/>
      <c r="H63" s="3607"/>
      <c r="I63" s="3607"/>
      <c r="J63" s="3607"/>
      <c r="K63" s="3607"/>
      <c r="L63" s="3607"/>
      <c r="M63" s="3609"/>
      <c r="N63" s="3621"/>
      <c r="O63" s="3621"/>
      <c r="P63" s="3738"/>
      <c r="Q63" s="3597"/>
      <c r="R63" s="3433"/>
      <c r="S63" s="3433"/>
      <c r="T63" s="3433"/>
      <c r="U63" s="3433"/>
      <c r="V63" s="3433"/>
      <c r="W63" s="3433"/>
      <c r="X63" s="3433"/>
      <c r="Y63" s="3433"/>
      <c r="Z63" s="3433"/>
      <c r="AA63" s="3433"/>
      <c r="AB63" s="3433"/>
      <c r="AC63" s="3433"/>
    </row>
    <row r="64" spans="1:29">
      <c r="A64" s="3625" t="s">
        <v>569</v>
      </c>
      <c r="B64" s="3626" t="s">
        <v>526</v>
      </c>
      <c r="C64" s="3627">
        <f>C9</f>
        <v>0</v>
      </c>
      <c r="D64" s="3628"/>
      <c r="E64" s="3628"/>
      <c r="F64" s="3628"/>
      <c r="G64" s="3628"/>
      <c r="H64" s="3628"/>
      <c r="I64" s="3628"/>
      <c r="J64" s="3628"/>
      <c r="K64" s="3629"/>
      <c r="L64" s="3630"/>
      <c r="M64" s="3631"/>
      <c r="N64" s="3632"/>
      <c r="O64" s="3632"/>
      <c r="P64" s="3741"/>
      <c r="Q64" s="3597"/>
      <c r="R64" s="3418"/>
      <c r="S64" s="3418"/>
      <c r="T64" s="3418"/>
      <c r="U64" s="3418"/>
      <c r="V64" s="3418"/>
      <c r="W64" s="3418"/>
      <c r="X64" s="3418"/>
      <c r="Y64" s="3418"/>
      <c r="Z64" s="3418"/>
      <c r="AA64" s="3418"/>
      <c r="AB64" s="3418"/>
      <c r="AC64" s="3418"/>
    </row>
    <row r="65" spans="1:29" ht="15.75" thickBot="1">
      <c r="A65" s="3489"/>
      <c r="B65" s="3633"/>
      <c r="C65" s="3634"/>
      <c r="D65" s="3634"/>
      <c r="E65" s="3634"/>
      <c r="F65" s="3634"/>
      <c r="G65" s="3634"/>
      <c r="H65" s="3634"/>
      <c r="I65" s="3634"/>
      <c r="J65" s="3634"/>
      <c r="K65" s="3634"/>
      <c r="L65" s="3634"/>
      <c r="M65" s="3635"/>
      <c r="N65" s="3636"/>
      <c r="O65" s="3636"/>
      <c r="P65" s="3741"/>
      <c r="Q65" s="3597"/>
      <c r="R65" s="3418"/>
      <c r="S65" s="3418"/>
      <c r="T65" s="3418"/>
      <c r="U65" s="3418"/>
      <c r="V65" s="3418"/>
      <c r="W65" s="3418"/>
      <c r="X65" s="3418"/>
      <c r="Y65" s="3418"/>
      <c r="Z65" s="3418"/>
      <c r="AA65" s="3418"/>
      <c r="AB65" s="3418"/>
      <c r="AC65" s="3418"/>
    </row>
    <row r="66" spans="1:29" ht="27.75" thickTop="1">
      <c r="A66" s="3489"/>
      <c r="B66" s="3637" t="s">
        <v>529</v>
      </c>
      <c r="C66" s="3638" t="s">
        <v>3193</v>
      </c>
      <c r="D66" s="3638" t="s">
        <v>3194</v>
      </c>
      <c r="E66" s="3638" t="s">
        <v>3195</v>
      </c>
      <c r="F66" s="3638" t="s">
        <v>3196</v>
      </c>
      <c r="G66" s="3638" t="s">
        <v>3197</v>
      </c>
      <c r="H66" s="3638" t="s">
        <v>3198</v>
      </c>
      <c r="I66" s="3638" t="s">
        <v>3199</v>
      </c>
      <c r="J66" s="3638"/>
      <c r="K66" s="3639"/>
      <c r="L66" s="3640"/>
      <c r="M66" s="3641"/>
      <c r="N66" s="3632"/>
      <c r="O66" s="3632"/>
      <c r="P66" s="3741"/>
      <c r="Q66" s="3597"/>
      <c r="R66" s="3418"/>
      <c r="S66" s="3418"/>
      <c r="T66" s="3418"/>
      <c r="U66" s="3418"/>
      <c r="V66" s="3418"/>
      <c r="W66" s="3418"/>
      <c r="X66" s="3418"/>
      <c r="Y66" s="3418"/>
      <c r="Z66" s="3418"/>
      <c r="AA66" s="3418"/>
      <c r="AB66" s="3418"/>
      <c r="AC66" s="3418"/>
    </row>
    <row r="67" spans="1:29" ht="15.75" thickBot="1">
      <c r="A67" s="3489"/>
      <c r="B67" s="3642"/>
      <c r="C67" s="3643" t="s">
        <v>2279</v>
      </c>
      <c r="D67" s="3643" t="s">
        <v>2279</v>
      </c>
      <c r="E67" s="3643">
        <v>100</v>
      </c>
      <c r="F67" s="3643">
        <f>E67-$K10</f>
        <v>99.5</v>
      </c>
      <c r="G67" s="3643">
        <f>F67-$K10</f>
        <v>99</v>
      </c>
      <c r="H67" s="3643">
        <f>G67-$K10</f>
        <v>98.5</v>
      </c>
      <c r="I67" s="3643">
        <f>H67-$K10</f>
        <v>98</v>
      </c>
      <c r="J67" s="3643"/>
      <c r="K67" s="3643"/>
      <c r="L67" s="3643"/>
      <c r="M67" s="3644"/>
      <c r="N67" s="3636"/>
      <c r="O67" s="3636"/>
      <c r="P67" s="3741"/>
      <c r="Q67" s="3597"/>
      <c r="R67" s="3418"/>
      <c r="S67" s="3418"/>
      <c r="T67" s="3418"/>
      <c r="U67" s="3418"/>
      <c r="V67" s="3418"/>
      <c r="W67" s="3418"/>
      <c r="X67" s="3418"/>
      <c r="Y67" s="3418"/>
      <c r="Z67" s="3418"/>
      <c r="AA67" s="3418"/>
      <c r="AB67" s="3418"/>
      <c r="AC67" s="3418"/>
    </row>
    <row r="68" spans="1:29" ht="15.75" thickTop="1">
      <c r="A68" s="3489"/>
      <c r="B68" s="3645" t="s">
        <v>530</v>
      </c>
      <c r="C68" s="3646" t="str">
        <f>C69&amp;"（含）"&amp;"-"&amp;D69</f>
        <v>0（含）-1</v>
      </c>
      <c r="D68" s="3646" t="str">
        <f t="shared" ref="D68:L68" si="17">D69&amp;"（含）"&amp;"-"&amp;E69</f>
        <v>1（含）-2</v>
      </c>
      <c r="E68" s="3646" t="str">
        <f t="shared" si="17"/>
        <v>2（含）-3</v>
      </c>
      <c r="F68" s="3646" t="str">
        <f t="shared" si="17"/>
        <v>3（含）-</v>
      </c>
      <c r="G68" s="3646" t="str">
        <f t="shared" si="17"/>
        <v>（含）-</v>
      </c>
      <c r="H68" s="3646" t="str">
        <f t="shared" si="17"/>
        <v>（含）-</v>
      </c>
      <c r="I68" s="3646" t="str">
        <f t="shared" si="17"/>
        <v>（含）-</v>
      </c>
      <c r="J68" s="3646" t="str">
        <f t="shared" si="17"/>
        <v>（含）-</v>
      </c>
      <c r="K68" s="3646" t="str">
        <f t="shared" si="17"/>
        <v>（含）-</v>
      </c>
      <c r="L68" s="3646" t="str">
        <f t="shared" si="17"/>
        <v>（含）-</v>
      </c>
      <c r="M68" s="3492" t="str">
        <f>M69&amp;"（含）"&amp;"-"&amp;P69</f>
        <v>（含）-</v>
      </c>
      <c r="N68" s="3636"/>
      <c r="O68" s="3636"/>
      <c r="P68" s="3741"/>
      <c r="Q68" s="3597"/>
      <c r="R68" s="3418"/>
      <c r="S68" s="3418"/>
      <c r="T68" s="3418"/>
      <c r="U68" s="3418"/>
      <c r="V68" s="3418"/>
      <c r="W68" s="3418"/>
      <c r="X68" s="3418"/>
      <c r="Y68" s="3418"/>
      <c r="Z68" s="3418"/>
      <c r="AA68" s="3418"/>
      <c r="AB68" s="3418"/>
      <c r="AC68" s="3418"/>
    </row>
    <row r="69" spans="1:29" ht="15">
      <c r="A69" s="3489"/>
      <c r="B69" s="3647"/>
      <c r="C69" s="3648">
        <v>0</v>
      </c>
      <c r="D69" s="3648">
        <v>1</v>
      </c>
      <c r="E69" s="3648">
        <v>2</v>
      </c>
      <c r="F69" s="3648">
        <v>3</v>
      </c>
      <c r="G69" s="3648"/>
      <c r="H69" s="3648"/>
      <c r="I69" s="3648"/>
      <c r="J69" s="3648"/>
      <c r="K69" s="3649"/>
      <c r="L69" s="3650"/>
      <c r="M69" s="3651"/>
      <c r="N69" s="3632"/>
      <c r="O69" s="3632"/>
      <c r="P69" s="3741"/>
      <c r="Q69" s="3597"/>
      <c r="R69" s="3418"/>
      <c r="S69" s="3418"/>
      <c r="T69" s="3418"/>
      <c r="U69" s="3418"/>
      <c r="V69" s="3418"/>
      <c r="W69" s="3418"/>
      <c r="X69" s="3418"/>
      <c r="Y69" s="3418"/>
      <c r="Z69" s="3418"/>
      <c r="AA69" s="3418"/>
      <c r="AB69" s="3418"/>
      <c r="AC69" s="3418"/>
    </row>
    <row r="70" spans="1:29" ht="15.75" thickBot="1">
      <c r="A70" s="3489"/>
      <c r="B70" s="3633"/>
      <c r="C70" s="3643">
        <v>100</v>
      </c>
      <c r="D70" s="3643">
        <f t="shared" ref="D70:M70" si="18">C70-$K11</f>
        <v>100</v>
      </c>
      <c r="E70" s="3643">
        <f t="shared" si="18"/>
        <v>100</v>
      </c>
      <c r="F70" s="3643">
        <f t="shared" si="18"/>
        <v>100</v>
      </c>
      <c r="G70" s="3643">
        <f t="shared" si="18"/>
        <v>100</v>
      </c>
      <c r="H70" s="3643">
        <f t="shared" si="18"/>
        <v>100</v>
      </c>
      <c r="I70" s="3643">
        <f t="shared" si="18"/>
        <v>100</v>
      </c>
      <c r="J70" s="3643">
        <f t="shared" si="18"/>
        <v>100</v>
      </c>
      <c r="K70" s="3643">
        <f t="shared" si="18"/>
        <v>100</v>
      </c>
      <c r="L70" s="3643">
        <f t="shared" si="18"/>
        <v>100</v>
      </c>
      <c r="M70" s="3644">
        <f t="shared" si="18"/>
        <v>100</v>
      </c>
      <c r="N70" s="3636"/>
      <c r="O70" s="3636"/>
      <c r="P70" s="3741"/>
      <c r="Q70" s="3597"/>
      <c r="R70" s="3418"/>
      <c r="S70" s="3418"/>
      <c r="T70" s="3418"/>
      <c r="U70" s="3418"/>
      <c r="V70" s="3418"/>
      <c r="W70" s="3418"/>
      <c r="X70" s="3418"/>
      <c r="Y70" s="3418"/>
      <c r="Z70" s="3418"/>
      <c r="AA70" s="3418"/>
      <c r="AB70" s="3418"/>
      <c r="AC70" s="3418"/>
    </row>
    <row r="71" spans="1:29" s="3540" customFormat="1" ht="15.75" thickTop="1">
      <c r="A71" s="3652"/>
      <c r="B71" s="3637">
        <f>B12</f>
        <v>111</v>
      </c>
      <c r="C71" s="3653"/>
      <c r="D71" s="3653"/>
      <c r="E71" s="3653"/>
      <c r="F71" s="3653"/>
      <c r="G71" s="3653"/>
      <c r="H71" s="3654"/>
      <c r="I71" s="3654"/>
      <c r="J71" s="3654"/>
      <c r="K71" s="3654"/>
      <c r="L71" s="3655"/>
      <c r="M71" s="3656"/>
      <c r="N71" s="3657"/>
      <c r="O71" s="3657"/>
      <c r="P71" s="3742"/>
      <c r="Q71" s="3658"/>
      <c r="R71" s="3533"/>
      <c r="S71" s="3533"/>
      <c r="T71" s="3533"/>
      <c r="U71" s="3533"/>
      <c r="V71" s="3533"/>
      <c r="W71" s="3533"/>
      <c r="X71" s="3533"/>
      <c r="Y71" s="3533"/>
      <c r="Z71" s="3533"/>
      <c r="AA71" s="3533"/>
      <c r="AB71" s="3533"/>
      <c r="AC71" s="3533"/>
    </row>
    <row r="72" spans="1:29" s="3540" customFormat="1" ht="15.75" thickBot="1">
      <c r="A72" s="3652"/>
      <c r="B72" s="3642"/>
      <c r="C72" s="3659"/>
      <c r="D72" s="3634"/>
      <c r="E72" s="3634"/>
      <c r="F72" s="3634"/>
      <c r="G72" s="3634"/>
      <c r="H72" s="3634"/>
      <c r="I72" s="3634"/>
      <c r="J72" s="3634"/>
      <c r="K72" s="3634"/>
      <c r="L72" s="3634"/>
      <c r="M72" s="3635"/>
      <c r="N72" s="3636"/>
      <c r="O72" s="3636"/>
      <c r="P72" s="3742"/>
      <c r="Q72" s="3658"/>
      <c r="R72" s="3533"/>
      <c r="S72" s="3533"/>
      <c r="T72" s="3533"/>
      <c r="U72" s="3533"/>
      <c r="V72" s="3533"/>
      <c r="W72" s="3533"/>
      <c r="X72" s="3533"/>
      <c r="Y72" s="3533"/>
      <c r="Z72" s="3533"/>
      <c r="AA72" s="3533"/>
      <c r="AB72" s="3533"/>
      <c r="AC72" s="3533"/>
    </row>
    <row r="73" spans="1:29" s="3540" customFormat="1" ht="15.75" thickTop="1">
      <c r="A73" s="3652"/>
      <c r="B73" s="3637">
        <f>B13</f>
        <v>111</v>
      </c>
      <c r="C73" s="3653"/>
      <c r="D73" s="3653"/>
      <c r="E73" s="3653"/>
      <c r="F73" s="3653"/>
      <c r="G73" s="3653"/>
      <c r="H73" s="3654"/>
      <c r="I73" s="3654"/>
      <c r="J73" s="3654"/>
      <c r="K73" s="3654"/>
      <c r="L73" s="3655"/>
      <c r="M73" s="3656"/>
      <c r="N73" s="3657"/>
      <c r="O73" s="3657"/>
      <c r="P73" s="3743"/>
      <c r="Q73" s="3660"/>
      <c r="R73" s="3533"/>
      <c r="S73" s="3533"/>
      <c r="T73" s="3533"/>
      <c r="U73" s="3533"/>
      <c r="V73" s="3533"/>
      <c r="W73" s="3533"/>
      <c r="X73" s="3533"/>
      <c r="Y73" s="3533"/>
      <c r="Z73" s="3533"/>
      <c r="AA73" s="3533"/>
      <c r="AB73" s="3533"/>
      <c r="AC73" s="3533"/>
    </row>
    <row r="74" spans="1:29" s="3540" customFormat="1" ht="15.75" thickBot="1">
      <c r="A74" s="3652"/>
      <c r="B74" s="3642"/>
      <c r="C74" s="3659"/>
      <c r="D74" s="3659"/>
      <c r="E74" s="3659"/>
      <c r="F74" s="3659"/>
      <c r="G74" s="3659"/>
      <c r="H74" s="3661"/>
      <c r="I74" s="3661"/>
      <c r="J74" s="3661"/>
      <c r="K74" s="3661"/>
      <c r="L74" s="3661"/>
      <c r="M74" s="3662"/>
      <c r="N74" s="3657"/>
      <c r="O74" s="3657"/>
      <c r="P74" s="3742"/>
      <c r="Q74" s="3658"/>
      <c r="R74" s="3533"/>
      <c r="S74" s="3533"/>
      <c r="T74" s="3533"/>
      <c r="U74" s="3533"/>
      <c r="V74" s="3533"/>
      <c r="W74" s="3533"/>
      <c r="X74" s="3533"/>
      <c r="Y74" s="3533"/>
      <c r="Z74" s="3533"/>
      <c r="AA74" s="3533"/>
      <c r="AB74" s="3533"/>
      <c r="AC74" s="3533"/>
    </row>
    <row r="75" spans="1:29" s="3540" customFormat="1" ht="15.75" thickTop="1">
      <c r="A75" s="3652"/>
      <c r="B75" s="3645">
        <f>B14</f>
        <v>111</v>
      </c>
      <c r="C75" s="3618"/>
      <c r="D75" s="3618"/>
      <c r="E75" s="3618"/>
      <c r="F75" s="3618"/>
      <c r="G75" s="3618"/>
      <c r="H75" s="3663"/>
      <c r="I75" s="3663"/>
      <c r="J75" s="3663"/>
      <c r="K75" s="3663"/>
      <c r="L75" s="3664"/>
      <c r="M75" s="3665"/>
      <c r="N75" s="3657"/>
      <c r="O75" s="3657"/>
      <c r="P75" s="3744"/>
      <c r="Q75" s="3658"/>
      <c r="R75" s="3533"/>
      <c r="S75" s="3533"/>
      <c r="T75" s="3533"/>
      <c r="U75" s="3533"/>
      <c r="V75" s="3533"/>
      <c r="W75" s="3533"/>
      <c r="X75" s="3533"/>
      <c r="Y75" s="3533"/>
      <c r="Z75" s="3533"/>
      <c r="AA75" s="3533"/>
      <c r="AB75" s="3533"/>
      <c r="AC75" s="3533"/>
    </row>
    <row r="76" spans="1:29" s="3540" customFormat="1" ht="15.75" thickBot="1">
      <c r="A76" s="3667"/>
      <c r="B76" s="3668"/>
      <c r="C76" s="3669"/>
      <c r="D76" s="3669"/>
      <c r="E76" s="3669"/>
      <c r="F76" s="3669"/>
      <c r="G76" s="3669"/>
      <c r="H76" s="3670"/>
      <c r="I76" s="3670"/>
      <c r="J76" s="3670"/>
      <c r="K76" s="3670"/>
      <c r="L76" s="3670"/>
      <c r="M76" s="3671"/>
      <c r="N76" s="3657"/>
      <c r="O76" s="3657"/>
      <c r="P76" s="3742"/>
      <c r="Q76" s="3658"/>
      <c r="R76" s="3533"/>
      <c r="S76" s="3533"/>
      <c r="T76" s="3533"/>
      <c r="U76" s="3533"/>
      <c r="V76" s="3533"/>
      <c r="W76" s="3533"/>
      <c r="X76" s="3533"/>
      <c r="Y76" s="3533"/>
      <c r="Z76" s="3533"/>
      <c r="AA76" s="3533"/>
      <c r="AB76" s="3533"/>
      <c r="AC76" s="3533"/>
    </row>
    <row r="77" spans="1:29">
      <c r="A77" s="3625" t="s">
        <v>531</v>
      </c>
      <c r="B77" s="3626" t="s">
        <v>577</v>
      </c>
      <c r="C77" s="3672" t="s">
        <v>571</v>
      </c>
      <c r="D77" s="3672" t="s">
        <v>572</v>
      </c>
      <c r="E77" s="3672" t="s">
        <v>573</v>
      </c>
      <c r="F77" s="3672" t="s">
        <v>574</v>
      </c>
      <c r="G77" s="3672" t="s">
        <v>575</v>
      </c>
      <c r="H77" s="3627"/>
      <c r="I77" s="3627"/>
      <c r="J77" s="3627"/>
      <c r="K77" s="3673"/>
      <c r="L77" s="3674"/>
      <c r="M77" s="3675"/>
      <c r="N77" s="3632"/>
      <c r="O77" s="3632"/>
      <c r="P77" s="3745"/>
      <c r="Q77" s="3597"/>
      <c r="R77" s="3418"/>
      <c r="S77" s="3418"/>
      <c r="T77" s="3418"/>
      <c r="U77" s="3418"/>
      <c r="V77" s="3418"/>
      <c r="W77" s="3418"/>
      <c r="X77" s="3418"/>
      <c r="Y77" s="3418"/>
      <c r="Z77" s="3418"/>
      <c r="AA77" s="3418"/>
      <c r="AB77" s="3418"/>
      <c r="AC77" s="3418"/>
    </row>
    <row r="78" spans="1:29" ht="15.75" thickBot="1">
      <c r="A78" s="3489"/>
      <c r="B78" s="3642"/>
      <c r="C78" s="3643">
        <v>100</v>
      </c>
      <c r="D78" s="3643">
        <f>C78-$K15</f>
        <v>97</v>
      </c>
      <c r="E78" s="3643">
        <f>D78-$K15</f>
        <v>94</v>
      </c>
      <c r="F78" s="3643">
        <f>E78-$K15</f>
        <v>91</v>
      </c>
      <c r="G78" s="3643">
        <f>F78-$K15</f>
        <v>88</v>
      </c>
      <c r="H78" s="3643"/>
      <c r="I78" s="3643"/>
      <c r="J78" s="3643"/>
      <c r="K78" s="3643"/>
      <c r="L78" s="3643"/>
      <c r="M78" s="3644"/>
      <c r="N78" s="3636"/>
      <c r="O78" s="3636"/>
      <c r="P78" s="3741"/>
      <c r="Q78" s="3597"/>
      <c r="R78" s="3418"/>
      <c r="S78" s="3418"/>
      <c r="T78" s="3418"/>
      <c r="U78" s="3418"/>
      <c r="V78" s="3418"/>
      <c r="W78" s="3418"/>
      <c r="X78" s="3418"/>
      <c r="Y78" s="3418"/>
      <c r="Z78" s="3418"/>
      <c r="AA78" s="3418"/>
      <c r="AB78" s="3418"/>
      <c r="AC78" s="3418"/>
    </row>
    <row r="79" spans="1:29" ht="15.75" thickTop="1">
      <c r="A79" s="3489"/>
      <c r="B79" s="3637" t="s">
        <v>578</v>
      </c>
      <c r="C79" s="3677" t="s">
        <v>571</v>
      </c>
      <c r="D79" s="3677" t="s">
        <v>572</v>
      </c>
      <c r="E79" s="3677" t="s">
        <v>573</v>
      </c>
      <c r="F79" s="3677" t="s">
        <v>574</v>
      </c>
      <c r="G79" s="3677" t="s">
        <v>575</v>
      </c>
      <c r="H79" s="3638"/>
      <c r="I79" s="3638"/>
      <c r="J79" s="3638"/>
      <c r="K79" s="3639"/>
      <c r="L79" s="3640"/>
      <c r="M79" s="3641"/>
      <c r="N79" s="3632"/>
      <c r="O79" s="3632"/>
      <c r="P79" s="3741"/>
      <c r="Q79" s="3597"/>
      <c r="R79" s="3418"/>
      <c r="S79" s="3418"/>
      <c r="T79" s="3418"/>
      <c r="U79" s="3418"/>
      <c r="V79" s="3418"/>
      <c r="W79" s="3418"/>
      <c r="X79" s="3418"/>
      <c r="Y79" s="3418"/>
      <c r="Z79" s="3418"/>
      <c r="AA79" s="3418"/>
      <c r="AB79" s="3418"/>
      <c r="AC79" s="3418"/>
    </row>
    <row r="80" spans="1:29" ht="15.75" thickBot="1">
      <c r="A80" s="3489"/>
      <c r="B80" s="3642"/>
      <c r="C80" s="3643">
        <v>100</v>
      </c>
      <c r="D80" s="3643">
        <f>C80-$K17</f>
        <v>98</v>
      </c>
      <c r="E80" s="3643">
        <f>D80-$K17</f>
        <v>96</v>
      </c>
      <c r="F80" s="3643">
        <f>E80-$K17</f>
        <v>94</v>
      </c>
      <c r="G80" s="3643">
        <f>F80-$K17</f>
        <v>92</v>
      </c>
      <c r="H80" s="3643"/>
      <c r="I80" s="3643"/>
      <c r="J80" s="3643"/>
      <c r="K80" s="3643"/>
      <c r="L80" s="3643"/>
      <c r="M80" s="3644"/>
      <c r="N80" s="3636"/>
      <c r="O80" s="3636"/>
      <c r="P80" s="3741"/>
      <c r="Q80" s="3597"/>
      <c r="R80" s="3418"/>
      <c r="S80" s="3418"/>
      <c r="T80" s="3418"/>
      <c r="U80" s="3418"/>
      <c r="V80" s="3418"/>
      <c r="W80" s="3418"/>
      <c r="X80" s="3418"/>
      <c r="Y80" s="3418"/>
      <c r="Z80" s="3418"/>
      <c r="AA80" s="3418"/>
      <c r="AB80" s="3418"/>
      <c r="AC80" s="3418"/>
    </row>
    <row r="81" spans="1:29" ht="15.75" thickTop="1">
      <c r="A81" s="3489"/>
      <c r="B81" s="3678" t="s">
        <v>2302</v>
      </c>
      <c r="C81" s="3677" t="s">
        <v>571</v>
      </c>
      <c r="D81" s="3677" t="s">
        <v>572</v>
      </c>
      <c r="E81" s="3677" t="s">
        <v>573</v>
      </c>
      <c r="F81" s="3677" t="s">
        <v>574</v>
      </c>
      <c r="G81" s="3677" t="s">
        <v>575</v>
      </c>
      <c r="H81" s="3638"/>
      <c r="I81" s="3638"/>
      <c r="J81" s="3638"/>
      <c r="K81" s="3639"/>
      <c r="L81" s="3640"/>
      <c r="M81" s="3641"/>
      <c r="N81" s="3632"/>
      <c r="O81" s="3632"/>
      <c r="P81" s="3741"/>
      <c r="Q81" s="3597"/>
      <c r="R81" s="3418"/>
      <c r="S81" s="3418"/>
      <c r="T81" s="3418"/>
      <c r="U81" s="3418"/>
      <c r="V81" s="3418"/>
      <c r="W81" s="3418"/>
      <c r="X81" s="3418"/>
      <c r="Y81" s="3418"/>
      <c r="Z81" s="3418"/>
      <c r="AA81" s="3418"/>
      <c r="AB81" s="3418"/>
      <c r="AC81" s="3418"/>
    </row>
    <row r="82" spans="1:29" ht="15.75" thickBot="1">
      <c r="A82" s="3489"/>
      <c r="B82" s="3642"/>
      <c r="C82" s="3643">
        <v>100</v>
      </c>
      <c r="D82" s="3643">
        <f>C82-$K19</f>
        <v>99</v>
      </c>
      <c r="E82" s="3643">
        <f>D82-$K19</f>
        <v>98</v>
      </c>
      <c r="F82" s="3643">
        <f>E82-$K19</f>
        <v>97</v>
      </c>
      <c r="G82" s="3643">
        <f>F82-$K19</f>
        <v>96</v>
      </c>
      <c r="H82" s="3643"/>
      <c r="I82" s="3643"/>
      <c r="J82" s="3643"/>
      <c r="K82" s="3643"/>
      <c r="L82" s="3643"/>
      <c r="M82" s="3644"/>
      <c r="N82" s="3636"/>
      <c r="O82" s="3636"/>
      <c r="P82" s="3741"/>
      <c r="Q82" s="3597"/>
      <c r="R82" s="3418"/>
      <c r="S82" s="3418"/>
      <c r="T82" s="3418"/>
      <c r="U82" s="3418"/>
      <c r="V82" s="3418"/>
      <c r="W82" s="3418"/>
      <c r="X82" s="3418"/>
      <c r="Y82" s="3418"/>
      <c r="Z82" s="3418"/>
      <c r="AA82" s="3418"/>
      <c r="AB82" s="3418"/>
      <c r="AC82" s="3418"/>
    </row>
    <row r="83" spans="1:29" ht="15.75" thickTop="1">
      <c r="A83" s="3489"/>
      <c r="B83" s="3679" t="s">
        <v>3184</v>
      </c>
      <c r="C83" s="3680" t="s">
        <v>1970</v>
      </c>
      <c r="D83" s="3680" t="s">
        <v>1969</v>
      </c>
      <c r="E83" s="3680" t="s">
        <v>1968</v>
      </c>
      <c r="F83" s="3680" t="s">
        <v>1967</v>
      </c>
      <c r="G83" s="3680" t="s">
        <v>1966</v>
      </c>
      <c r="H83" s="3638"/>
      <c r="I83" s="3638"/>
      <c r="J83" s="3638"/>
      <c r="K83" s="3638"/>
      <c r="L83" s="3638"/>
      <c r="M83" s="3681"/>
      <c r="N83" s="3636"/>
      <c r="O83" s="3636"/>
      <c r="P83" s="3741"/>
      <c r="Q83" s="3597"/>
      <c r="R83" s="3418"/>
      <c r="S83" s="3418"/>
      <c r="T83" s="3418"/>
      <c r="U83" s="3418"/>
      <c r="V83" s="3418"/>
      <c r="W83" s="3418"/>
      <c r="X83" s="3418"/>
      <c r="Y83" s="3418"/>
      <c r="Z83" s="3418"/>
      <c r="AA83" s="3418"/>
      <c r="AB83" s="3418"/>
      <c r="AC83" s="3418"/>
    </row>
    <row r="84" spans="1:29" ht="15.75" thickBot="1">
      <c r="A84" s="3489"/>
      <c r="B84" s="3645"/>
      <c r="C84" s="3643">
        <v>100</v>
      </c>
      <c r="D84" s="3643">
        <f>C84-$K21</f>
        <v>99</v>
      </c>
      <c r="E84" s="3643">
        <f>D84-$K21</f>
        <v>98</v>
      </c>
      <c r="F84" s="3643">
        <f>E84-$K21</f>
        <v>97</v>
      </c>
      <c r="G84" s="3643">
        <f>F84-$K21</f>
        <v>96</v>
      </c>
      <c r="H84" s="3682"/>
      <c r="I84" s="3682"/>
      <c r="J84" s="3682"/>
      <c r="K84" s="3682"/>
      <c r="L84" s="3682"/>
      <c r="M84" s="3494"/>
      <c r="N84" s="3636"/>
      <c r="O84" s="3636"/>
      <c r="P84" s="3741"/>
      <c r="Q84" s="3597"/>
      <c r="R84" s="3418"/>
      <c r="S84" s="3418"/>
      <c r="T84" s="3418"/>
      <c r="U84" s="3418"/>
      <c r="V84" s="3418"/>
      <c r="W84" s="3418"/>
      <c r="X84" s="3418"/>
      <c r="Y84" s="3418"/>
      <c r="Z84" s="3418"/>
      <c r="AA84" s="3418"/>
      <c r="AB84" s="3418"/>
      <c r="AC84" s="3418"/>
    </row>
    <row r="85" spans="1:29" ht="15.75" thickTop="1">
      <c r="A85" s="3489"/>
      <c r="B85" s="3637" t="s">
        <v>776</v>
      </c>
      <c r="C85" s="3677" t="s">
        <v>571</v>
      </c>
      <c r="D85" s="3677" t="s">
        <v>572</v>
      </c>
      <c r="E85" s="3677" t="s">
        <v>573</v>
      </c>
      <c r="F85" s="3677" t="s">
        <v>574</v>
      </c>
      <c r="G85" s="3677" t="s">
        <v>575</v>
      </c>
      <c r="H85" s="3638"/>
      <c r="I85" s="3638"/>
      <c r="J85" s="3638"/>
      <c r="K85" s="3639"/>
      <c r="L85" s="3640"/>
      <c r="M85" s="3641"/>
      <c r="N85" s="3632"/>
      <c r="O85" s="3632"/>
      <c r="P85" s="3741"/>
      <c r="Q85" s="3597"/>
      <c r="R85" s="3418"/>
      <c r="S85" s="3418"/>
      <c r="T85" s="3418"/>
      <c r="U85" s="3418"/>
      <c r="V85" s="3418"/>
      <c r="W85" s="3418"/>
      <c r="X85" s="3418"/>
      <c r="Y85" s="3418"/>
      <c r="Z85" s="3418"/>
      <c r="AA85" s="3418"/>
      <c r="AB85" s="3418"/>
      <c r="AC85" s="3418"/>
    </row>
    <row r="86" spans="1:29" ht="15.75" thickBot="1">
      <c r="A86" s="3489"/>
      <c r="B86" s="3642"/>
      <c r="C86" s="3643">
        <v>100</v>
      </c>
      <c r="D86" s="3643">
        <f>C86-$K23</f>
        <v>99</v>
      </c>
      <c r="E86" s="3643">
        <f>D86-$K23</f>
        <v>98</v>
      </c>
      <c r="F86" s="3643">
        <f>E86-$K23</f>
        <v>97</v>
      </c>
      <c r="G86" s="3643">
        <f>F86-$K23</f>
        <v>96</v>
      </c>
      <c r="H86" s="3643"/>
      <c r="I86" s="3643"/>
      <c r="J86" s="3643"/>
      <c r="K86" s="3643"/>
      <c r="L86" s="3643"/>
      <c r="M86" s="3644"/>
      <c r="N86" s="3636"/>
      <c r="O86" s="3636"/>
      <c r="P86" s="3741"/>
      <c r="Q86" s="3597"/>
      <c r="R86" s="3418"/>
      <c r="S86" s="3418"/>
      <c r="T86" s="3418"/>
      <c r="U86" s="3418"/>
      <c r="V86" s="3418"/>
      <c r="W86" s="3418"/>
      <c r="X86" s="3418"/>
      <c r="Y86" s="3418"/>
      <c r="Z86" s="3418"/>
      <c r="AA86" s="3418"/>
      <c r="AB86" s="3418"/>
      <c r="AC86" s="3418"/>
    </row>
    <row r="87" spans="1:29" s="3438" customFormat="1" ht="27.75" thickTop="1">
      <c r="A87" s="3520"/>
      <c r="B87" s="3637" t="s">
        <v>777</v>
      </c>
      <c r="C87" s="3683" t="s">
        <v>3200</v>
      </c>
      <c r="D87" s="3683" t="s">
        <v>3201</v>
      </c>
      <c r="E87" s="3653"/>
      <c r="F87" s="3653"/>
      <c r="G87" s="3653"/>
      <c r="H87" s="3653"/>
      <c r="I87" s="3653"/>
      <c r="J87" s="3653"/>
      <c r="K87" s="3653"/>
      <c r="L87" s="3684"/>
      <c r="M87" s="3685"/>
      <c r="N87" s="3621"/>
      <c r="O87" s="3621"/>
      <c r="P87" s="3741"/>
      <c r="Q87" s="3597"/>
      <c r="R87" s="3433"/>
      <c r="S87" s="3433"/>
      <c r="T87" s="3433"/>
      <c r="U87" s="3433"/>
      <c r="V87" s="3433"/>
      <c r="W87" s="3433"/>
      <c r="X87" s="3433"/>
      <c r="Y87" s="3433"/>
      <c r="Z87" s="3433"/>
      <c r="AA87" s="3433"/>
      <c r="AB87" s="3433"/>
      <c r="AC87" s="3433"/>
    </row>
    <row r="88" spans="1:29" s="3438" customFormat="1" ht="15.75" thickBot="1">
      <c r="A88" s="3520"/>
      <c r="B88" s="3642"/>
      <c r="C88" s="3686">
        <v>100</v>
      </c>
      <c r="D88" s="3643">
        <f t="shared" ref="D88:M88" si="19">C88-$K25</f>
        <v>99</v>
      </c>
      <c r="E88" s="3643">
        <f t="shared" si="19"/>
        <v>98</v>
      </c>
      <c r="F88" s="3643">
        <f t="shared" si="19"/>
        <v>97</v>
      </c>
      <c r="G88" s="3643">
        <f t="shared" si="19"/>
        <v>96</v>
      </c>
      <c r="H88" s="3643">
        <f t="shared" si="19"/>
        <v>95</v>
      </c>
      <c r="I88" s="3643">
        <f t="shared" si="19"/>
        <v>94</v>
      </c>
      <c r="J88" s="3643">
        <f t="shared" si="19"/>
        <v>93</v>
      </c>
      <c r="K88" s="3643">
        <f t="shared" si="19"/>
        <v>92</v>
      </c>
      <c r="L88" s="3643">
        <f t="shared" si="19"/>
        <v>91</v>
      </c>
      <c r="M88" s="3643">
        <f t="shared" si="19"/>
        <v>90</v>
      </c>
      <c r="N88" s="3636"/>
      <c r="O88" s="3636"/>
      <c r="P88" s="3741"/>
      <c r="Q88" s="3597"/>
      <c r="R88" s="3433"/>
      <c r="S88" s="3433"/>
      <c r="T88" s="3433"/>
      <c r="U88" s="3433"/>
      <c r="V88" s="3433"/>
      <c r="W88" s="3433"/>
      <c r="X88" s="3433"/>
      <c r="Y88" s="3433"/>
      <c r="Z88" s="3433"/>
      <c r="AA88" s="3433"/>
      <c r="AB88" s="3433"/>
      <c r="AC88" s="3433"/>
    </row>
    <row r="89" spans="1:29" s="3438" customFormat="1" ht="15.75" thickTop="1">
      <c r="A89" s="3520"/>
      <c r="B89" s="3637" t="str">
        <f>B27</f>
        <v>楼层</v>
      </c>
      <c r="C89" s="3683" t="s">
        <v>2246</v>
      </c>
      <c r="D89" s="3683" t="s">
        <v>3221</v>
      </c>
      <c r="E89" s="3683" t="s">
        <v>3222</v>
      </c>
      <c r="F89" s="3746" t="s">
        <v>3223</v>
      </c>
      <c r="G89" s="3653"/>
      <c r="H89" s="3653"/>
      <c r="I89" s="3653"/>
      <c r="J89" s="3653"/>
      <c r="K89" s="3653"/>
      <c r="L89" s="3653"/>
      <c r="M89" s="3685"/>
      <c r="N89" s="3621"/>
      <c r="O89" s="3621"/>
      <c r="P89" s="3741"/>
      <c r="Q89" s="3597"/>
      <c r="R89" s="3433"/>
      <c r="S89" s="3433"/>
      <c r="T89" s="3433"/>
      <c r="U89" s="3433"/>
      <c r="V89" s="3433"/>
      <c r="W89" s="3433"/>
      <c r="X89" s="3433"/>
      <c r="Y89" s="3433"/>
      <c r="Z89" s="3433"/>
      <c r="AA89" s="3433"/>
      <c r="AB89" s="3433"/>
      <c r="AC89" s="3433"/>
    </row>
    <row r="90" spans="1:29" s="3438" customFormat="1" ht="15.75" thickBot="1">
      <c r="A90" s="3520"/>
      <c r="B90" s="3642"/>
      <c r="C90" s="3686">
        <v>100</v>
      </c>
      <c r="D90" s="3643">
        <f>C90-$K27</f>
        <v>99</v>
      </c>
      <c r="E90" s="3643">
        <f t="shared" ref="E90:M90" si="20">D90-$K27</f>
        <v>98</v>
      </c>
      <c r="F90" s="3643">
        <f t="shared" si="20"/>
        <v>97</v>
      </c>
      <c r="G90" s="3643">
        <f t="shared" si="20"/>
        <v>96</v>
      </c>
      <c r="H90" s="3643">
        <f t="shared" si="20"/>
        <v>95</v>
      </c>
      <c r="I90" s="3643">
        <f t="shared" si="20"/>
        <v>94</v>
      </c>
      <c r="J90" s="3643">
        <f t="shared" si="20"/>
        <v>93</v>
      </c>
      <c r="K90" s="3643">
        <f t="shared" si="20"/>
        <v>92</v>
      </c>
      <c r="L90" s="3643">
        <f t="shared" si="20"/>
        <v>91</v>
      </c>
      <c r="M90" s="3643">
        <f t="shared" si="20"/>
        <v>90</v>
      </c>
      <c r="N90" s="3636"/>
      <c r="O90" s="3636"/>
      <c r="P90" s="3741"/>
      <c r="Q90" s="3597"/>
      <c r="R90" s="3433"/>
      <c r="S90" s="3433"/>
      <c r="T90" s="3433"/>
      <c r="U90" s="3433"/>
      <c r="V90" s="3433"/>
      <c r="W90" s="3433"/>
      <c r="X90" s="3433"/>
      <c r="Y90" s="3433"/>
      <c r="Z90" s="3433"/>
      <c r="AA90" s="3433"/>
      <c r="AB90" s="3433"/>
      <c r="AC90" s="3433"/>
    </row>
    <row r="91" spans="1:29" s="3540" customFormat="1" ht="15.75" thickTop="1">
      <c r="A91" s="3652"/>
      <c r="B91" s="3637" t="str">
        <f>B28</f>
        <v>朝向</v>
      </c>
      <c r="C91" s="3653"/>
      <c r="D91" s="3653"/>
      <c r="E91" s="3653"/>
      <c r="F91" s="3653"/>
      <c r="G91" s="3653"/>
      <c r="H91" s="3654"/>
      <c r="I91" s="3654"/>
      <c r="J91" s="3654"/>
      <c r="K91" s="3654"/>
      <c r="L91" s="3655"/>
      <c r="M91" s="3656"/>
      <c r="N91" s="3657"/>
      <c r="O91" s="3657"/>
      <c r="P91" s="3742"/>
      <c r="Q91" s="3658"/>
      <c r="R91" s="3533"/>
      <c r="S91" s="3533"/>
      <c r="T91" s="3533"/>
      <c r="U91" s="3533"/>
      <c r="V91" s="3533"/>
      <c r="W91" s="3533"/>
      <c r="X91" s="3533"/>
      <c r="Y91" s="3533"/>
      <c r="Z91" s="3533"/>
      <c r="AA91" s="3533"/>
      <c r="AB91" s="3533"/>
      <c r="AC91" s="3533"/>
    </row>
    <row r="92" spans="1:29" s="3540" customFormat="1" ht="15.75" thickBot="1">
      <c r="A92" s="3652"/>
      <c r="B92" s="3642"/>
      <c r="C92" s="3686">
        <v>100</v>
      </c>
      <c r="D92" s="3643">
        <f t="shared" ref="D92:M92" si="21">C92-$K28</f>
        <v>100</v>
      </c>
      <c r="E92" s="3643">
        <f t="shared" si="21"/>
        <v>100</v>
      </c>
      <c r="F92" s="3643">
        <f t="shared" si="21"/>
        <v>100</v>
      </c>
      <c r="G92" s="3643">
        <f t="shared" si="21"/>
        <v>100</v>
      </c>
      <c r="H92" s="3643">
        <f t="shared" si="21"/>
        <v>100</v>
      </c>
      <c r="I92" s="3643">
        <f t="shared" si="21"/>
        <v>100</v>
      </c>
      <c r="J92" s="3643">
        <f t="shared" si="21"/>
        <v>100</v>
      </c>
      <c r="K92" s="3643">
        <f t="shared" si="21"/>
        <v>100</v>
      </c>
      <c r="L92" s="3643">
        <f t="shared" si="21"/>
        <v>100</v>
      </c>
      <c r="M92" s="3643">
        <f t="shared" si="21"/>
        <v>100</v>
      </c>
      <c r="N92" s="3657"/>
      <c r="O92" s="3657"/>
      <c r="P92" s="3742"/>
      <c r="Q92" s="3658"/>
      <c r="R92" s="3533"/>
      <c r="S92" s="3533"/>
      <c r="T92" s="3533"/>
      <c r="U92" s="3533"/>
      <c r="V92" s="3533"/>
      <c r="W92" s="3533"/>
      <c r="X92" s="3533"/>
      <c r="Y92" s="3533"/>
      <c r="Z92" s="3533"/>
      <c r="AA92" s="3533"/>
      <c r="AB92" s="3533"/>
      <c r="AC92" s="3533"/>
    </row>
    <row r="93" spans="1:29" ht="15.75" thickTop="1">
      <c r="A93" s="3489"/>
      <c r="B93" s="3637">
        <f>B29</f>
        <v>111</v>
      </c>
      <c r="C93" s="3653"/>
      <c r="D93" s="3653"/>
      <c r="E93" s="3653"/>
      <c r="F93" s="3653"/>
      <c r="G93" s="3653"/>
      <c r="H93" s="3653"/>
      <c r="I93" s="3653"/>
      <c r="J93" s="3653"/>
      <c r="K93" s="3653"/>
      <c r="L93" s="3684"/>
      <c r="M93" s="3685"/>
      <c r="N93" s="3632"/>
      <c r="O93" s="3632"/>
      <c r="P93" s="3741"/>
      <c r="Q93" s="3597"/>
      <c r="R93" s="3418"/>
      <c r="S93" s="3418"/>
      <c r="T93" s="3418"/>
      <c r="U93" s="3418"/>
      <c r="V93" s="3418"/>
      <c r="W93" s="3418"/>
      <c r="X93" s="3418"/>
      <c r="Y93" s="3418"/>
      <c r="Z93" s="3418"/>
      <c r="AA93" s="3418"/>
      <c r="AB93" s="3418"/>
      <c r="AC93" s="3418"/>
    </row>
    <row r="94" spans="1:29" ht="15.75" thickBot="1">
      <c r="A94" s="3489"/>
      <c r="B94" s="3642"/>
      <c r="C94" s="3659"/>
      <c r="D94" s="3634"/>
      <c r="E94" s="3634"/>
      <c r="F94" s="3634"/>
      <c r="G94" s="3634"/>
      <c r="H94" s="3634"/>
      <c r="I94" s="3634"/>
      <c r="J94" s="3634"/>
      <c r="K94" s="3634"/>
      <c r="L94" s="3634"/>
      <c r="M94" s="3635"/>
      <c r="N94" s="3636"/>
      <c r="O94" s="3636"/>
      <c r="P94" s="3741"/>
      <c r="Q94" s="3597"/>
      <c r="R94" s="3418"/>
      <c r="S94" s="3418"/>
      <c r="T94" s="3418"/>
      <c r="U94" s="3418"/>
      <c r="V94" s="3418"/>
      <c r="W94" s="3418"/>
      <c r="X94" s="3418"/>
      <c r="Y94" s="3418"/>
      <c r="Z94" s="3418"/>
      <c r="AA94" s="3418"/>
      <c r="AB94" s="3418"/>
      <c r="AC94" s="3418"/>
    </row>
    <row r="95" spans="1:29" ht="15.75" thickTop="1">
      <c r="A95" s="3489"/>
      <c r="B95" s="3637">
        <f>B30</f>
        <v>111</v>
      </c>
      <c r="C95" s="3653"/>
      <c r="D95" s="3653"/>
      <c r="E95" s="3653"/>
      <c r="F95" s="3653"/>
      <c r="G95" s="3688"/>
      <c r="H95" s="3688"/>
      <c r="I95" s="3688"/>
      <c r="J95" s="3688"/>
      <c r="K95" s="3689"/>
      <c r="L95" s="3690"/>
      <c r="M95" s="3691"/>
      <c r="N95" s="3632"/>
      <c r="O95" s="3632"/>
      <c r="P95" s="3741"/>
      <c r="Q95" s="3597"/>
      <c r="R95" s="3418"/>
      <c r="S95" s="3418"/>
      <c r="T95" s="3418"/>
      <c r="U95" s="3418"/>
      <c r="V95" s="3418"/>
      <c r="W95" s="3418"/>
      <c r="X95" s="3418"/>
      <c r="Y95" s="3418"/>
      <c r="Z95" s="3418"/>
      <c r="AA95" s="3418"/>
      <c r="AB95" s="3418"/>
      <c r="AC95" s="3418"/>
    </row>
    <row r="96" spans="1:29" ht="15.75" thickBot="1">
      <c r="A96" s="3489"/>
      <c r="B96" s="3642"/>
      <c r="C96" s="3659"/>
      <c r="D96" s="3659"/>
      <c r="E96" s="3659"/>
      <c r="F96" s="3659"/>
      <c r="G96" s="3634"/>
      <c r="H96" s="3634"/>
      <c r="I96" s="3634"/>
      <c r="J96" s="3634"/>
      <c r="K96" s="3634"/>
      <c r="L96" s="3634"/>
      <c r="M96" s="3635"/>
      <c r="N96" s="3636"/>
      <c r="O96" s="3636"/>
      <c r="P96" s="3741"/>
      <c r="Q96" s="3597"/>
      <c r="R96" s="3418"/>
      <c r="S96" s="3418"/>
      <c r="T96" s="3418"/>
      <c r="U96" s="3418"/>
      <c r="V96" s="3418"/>
      <c r="W96" s="3418"/>
      <c r="X96" s="3418"/>
      <c r="Y96" s="3418"/>
      <c r="Z96" s="3418"/>
      <c r="AA96" s="3418"/>
      <c r="AB96" s="3418"/>
      <c r="AC96" s="3418"/>
    </row>
    <row r="97" spans="1:29" ht="15.75" thickTop="1">
      <c r="A97" s="3489"/>
      <c r="B97" s="3637">
        <f>B31</f>
        <v>111</v>
      </c>
      <c r="C97" s="3653"/>
      <c r="D97" s="3653"/>
      <c r="E97" s="3653"/>
      <c r="F97" s="3653"/>
      <c r="G97" s="3688"/>
      <c r="H97" s="3688"/>
      <c r="I97" s="3688"/>
      <c r="J97" s="3688"/>
      <c r="K97" s="3689"/>
      <c r="L97" s="3690"/>
      <c r="M97" s="3691"/>
      <c r="N97" s="3632"/>
      <c r="O97" s="3632"/>
      <c r="P97" s="3741"/>
      <c r="Q97" s="3597"/>
      <c r="R97" s="3418"/>
      <c r="S97" s="3418"/>
      <c r="T97" s="3418"/>
      <c r="U97" s="3418"/>
      <c r="V97" s="3418"/>
      <c r="W97" s="3418"/>
      <c r="X97" s="3418"/>
      <c r="Y97" s="3418"/>
      <c r="Z97" s="3418"/>
      <c r="AA97" s="3418"/>
      <c r="AB97" s="3418"/>
      <c r="AC97" s="3418"/>
    </row>
    <row r="98" spans="1:29" ht="15.75" thickBot="1">
      <c r="A98" s="3489"/>
      <c r="B98" s="3642"/>
      <c r="C98" s="3659"/>
      <c r="D98" s="3634"/>
      <c r="E98" s="3634"/>
      <c r="F98" s="3634"/>
      <c r="G98" s="3634"/>
      <c r="H98" s="3634"/>
      <c r="I98" s="3634"/>
      <c r="J98" s="3634"/>
      <c r="K98" s="3634"/>
      <c r="L98" s="3634"/>
      <c r="M98" s="3635"/>
      <c r="N98" s="3636"/>
      <c r="O98" s="3636"/>
      <c r="P98" s="3741"/>
      <c r="Q98" s="3597"/>
      <c r="R98" s="3418"/>
      <c r="S98" s="3418"/>
      <c r="T98" s="3418"/>
      <c r="U98" s="3418"/>
      <c r="V98" s="3418"/>
      <c r="W98" s="3418"/>
      <c r="X98" s="3418"/>
      <c r="Y98" s="3418"/>
      <c r="Z98" s="3418"/>
      <c r="AA98" s="3418"/>
      <c r="AB98" s="3418"/>
      <c r="AC98" s="3418"/>
    </row>
    <row r="99" spans="1:29" ht="15.75" thickTop="1">
      <c r="A99" s="3489"/>
      <c r="B99" s="3645">
        <f>B32</f>
        <v>111</v>
      </c>
      <c r="C99" s="3618"/>
      <c r="D99" s="3618"/>
      <c r="E99" s="3618"/>
      <c r="F99" s="3618"/>
      <c r="G99" s="3692"/>
      <c r="H99" s="3692"/>
      <c r="I99" s="3692"/>
      <c r="J99" s="3692"/>
      <c r="K99" s="3693"/>
      <c r="L99" s="3694"/>
      <c r="M99" s="3695"/>
      <c r="N99" s="3632"/>
      <c r="O99" s="3632"/>
      <c r="P99" s="3741"/>
      <c r="Q99" s="3597"/>
      <c r="R99" s="3418"/>
      <c r="S99" s="3418"/>
      <c r="T99" s="3418"/>
      <c r="U99" s="3418"/>
      <c r="V99" s="3418"/>
      <c r="W99" s="3418"/>
      <c r="X99" s="3418"/>
      <c r="Y99" s="3418"/>
      <c r="Z99" s="3418"/>
      <c r="AA99" s="3418"/>
      <c r="AB99" s="3418"/>
      <c r="AC99" s="3418"/>
    </row>
    <row r="100" spans="1:29" ht="15.75" thickBot="1">
      <c r="A100" s="3525"/>
      <c r="B100" s="3668"/>
      <c r="C100" s="3669"/>
      <c r="D100" s="3669"/>
      <c r="E100" s="3669"/>
      <c r="F100" s="3669"/>
      <c r="G100" s="3696"/>
      <c r="H100" s="3696"/>
      <c r="I100" s="3696"/>
      <c r="J100" s="3696"/>
      <c r="K100" s="3696"/>
      <c r="L100" s="3696"/>
      <c r="M100" s="3697"/>
      <c r="N100" s="3636"/>
      <c r="O100" s="3636"/>
      <c r="P100" s="3741"/>
      <c r="Q100" s="3597"/>
      <c r="R100" s="3418"/>
      <c r="S100" s="3418"/>
      <c r="T100" s="3418"/>
      <c r="U100" s="3418"/>
      <c r="V100" s="3418"/>
      <c r="W100" s="3418"/>
      <c r="X100" s="3418"/>
      <c r="Y100" s="3418"/>
      <c r="Z100" s="3418"/>
      <c r="AA100" s="3418"/>
      <c r="AB100" s="3418"/>
      <c r="AC100" s="3418"/>
    </row>
    <row r="101" spans="1:29">
      <c r="A101" s="3625" t="s">
        <v>543</v>
      </c>
      <c r="B101" s="3626" t="s">
        <v>739</v>
      </c>
      <c r="C101" s="3628"/>
      <c r="D101" s="3628"/>
      <c r="E101" s="3628"/>
      <c r="F101" s="3628"/>
      <c r="G101" s="3628"/>
      <c r="H101" s="3628"/>
      <c r="I101" s="3628"/>
      <c r="J101" s="3628"/>
      <c r="K101" s="3629"/>
      <c r="L101" s="3630"/>
      <c r="M101" s="3631"/>
      <c r="N101" s="3632"/>
      <c r="O101" s="3632"/>
      <c r="P101" s="3741"/>
      <c r="Q101" s="3597"/>
      <c r="R101" s="3418"/>
      <c r="S101" s="3418"/>
      <c r="T101" s="3418"/>
      <c r="U101" s="3418"/>
      <c r="V101" s="3418"/>
      <c r="W101" s="3418"/>
      <c r="X101" s="3418"/>
      <c r="Y101" s="3418"/>
      <c r="Z101" s="3418"/>
      <c r="AA101" s="3418"/>
      <c r="AB101" s="3418"/>
      <c r="AC101" s="3418"/>
    </row>
    <row r="102" spans="1:29" ht="15.75" thickBot="1">
      <c r="A102" s="3489"/>
      <c r="B102" s="3642"/>
      <c r="C102" s="3643">
        <v>100</v>
      </c>
      <c r="D102" s="3643">
        <f t="shared" ref="D102:M102" si="22">C102-$K33</f>
        <v>100</v>
      </c>
      <c r="E102" s="3643">
        <f t="shared" si="22"/>
        <v>100</v>
      </c>
      <c r="F102" s="3643">
        <f t="shared" si="22"/>
        <v>100</v>
      </c>
      <c r="G102" s="3643">
        <f t="shared" si="22"/>
        <v>100</v>
      </c>
      <c r="H102" s="3643">
        <f t="shared" si="22"/>
        <v>100</v>
      </c>
      <c r="I102" s="3643">
        <f t="shared" si="22"/>
        <v>100</v>
      </c>
      <c r="J102" s="3643">
        <f t="shared" si="22"/>
        <v>100</v>
      </c>
      <c r="K102" s="3643">
        <f t="shared" si="22"/>
        <v>100</v>
      </c>
      <c r="L102" s="3643">
        <f t="shared" si="22"/>
        <v>100</v>
      </c>
      <c r="M102" s="3644">
        <f t="shared" si="22"/>
        <v>100</v>
      </c>
      <c r="N102" s="3636"/>
      <c r="O102" s="3636"/>
      <c r="P102" s="3741"/>
      <c r="Q102" s="3597"/>
      <c r="R102" s="3418"/>
      <c r="S102" s="3418"/>
      <c r="T102" s="3418"/>
      <c r="U102" s="3418"/>
      <c r="V102" s="3418"/>
      <c r="W102" s="3418"/>
      <c r="X102" s="3418"/>
      <c r="Y102" s="3418"/>
      <c r="Z102" s="3418"/>
      <c r="AA102" s="3418"/>
      <c r="AB102" s="3418"/>
      <c r="AC102" s="3418"/>
    </row>
    <row r="103" spans="1:29" ht="29.25" thickTop="1">
      <c r="A103" s="3489"/>
      <c r="B103" s="3637" t="s">
        <v>740</v>
      </c>
      <c r="C103" s="3677" t="str">
        <f>C104&amp;"(含)"&amp;"-"&amp;D104</f>
        <v>0(含)-500</v>
      </c>
      <c r="D103" s="3677" t="str">
        <f t="shared" ref="D103:L103" si="23">D104&amp;"(含)"&amp;"-"&amp;E104</f>
        <v>500(含)-5000</v>
      </c>
      <c r="E103" s="3677" t="str">
        <f t="shared" si="23"/>
        <v>5000(含)-10000</v>
      </c>
      <c r="F103" s="3677" t="str">
        <f t="shared" si="23"/>
        <v>10000(含)-50000</v>
      </c>
      <c r="G103" s="3677" t="str">
        <f t="shared" si="23"/>
        <v>50000(含)-100000</v>
      </c>
      <c r="H103" s="3677" t="str">
        <f t="shared" si="23"/>
        <v>100000(含)-</v>
      </c>
      <c r="I103" s="3677" t="str">
        <f t="shared" si="23"/>
        <v>(含)-</v>
      </c>
      <c r="J103" s="3677" t="str">
        <f t="shared" si="23"/>
        <v>(含)-</v>
      </c>
      <c r="K103" s="3677" t="str">
        <f t="shared" si="23"/>
        <v>(含)-</v>
      </c>
      <c r="L103" s="3677" t="str">
        <f t="shared" si="23"/>
        <v>(含)-</v>
      </c>
      <c r="M103" s="3699" t="str">
        <f>M104&amp;"(含)"&amp;"-"&amp;P104</f>
        <v>(含)-</v>
      </c>
      <c r="N103" s="3621"/>
      <c r="O103" s="3621"/>
      <c r="P103" s="3741"/>
      <c r="Q103" s="3597"/>
      <c r="R103" s="3418"/>
      <c r="S103" s="3418"/>
      <c r="T103" s="3418"/>
      <c r="U103" s="3418"/>
      <c r="V103" s="3418"/>
      <c r="W103" s="3418"/>
      <c r="X103" s="3418"/>
      <c r="Y103" s="3418"/>
      <c r="Z103" s="3418"/>
      <c r="AA103" s="3418"/>
      <c r="AB103" s="3418"/>
      <c r="AC103" s="3418"/>
    </row>
    <row r="104" spans="1:29" s="3540" customFormat="1">
      <c r="A104" s="3531"/>
      <c r="B104" s="3700"/>
      <c r="C104" s="3701">
        <v>0</v>
      </c>
      <c r="D104" s="3701">
        <v>500</v>
      </c>
      <c r="E104" s="3701">
        <v>5000</v>
      </c>
      <c r="F104" s="3701">
        <v>10000</v>
      </c>
      <c r="G104" s="3701">
        <v>50000</v>
      </c>
      <c r="H104" s="3701">
        <v>100000</v>
      </c>
      <c r="I104" s="3701"/>
      <c r="J104" s="3702"/>
      <c r="K104" s="3702"/>
      <c r="L104" s="3703"/>
      <c r="M104" s="3704"/>
      <c r="N104" s="3657"/>
      <c r="O104" s="3657"/>
      <c r="P104" s="3742"/>
      <c r="Q104" s="3658"/>
      <c r="R104" s="3533"/>
      <c r="S104" s="3533"/>
      <c r="T104" s="3533"/>
      <c r="U104" s="3533"/>
      <c r="V104" s="3533"/>
      <c r="W104" s="3533"/>
      <c r="X104" s="3533"/>
      <c r="Y104" s="3533"/>
      <c r="Z104" s="3533"/>
      <c r="AA104" s="3533"/>
      <c r="AB104" s="3533"/>
      <c r="AC104" s="3533"/>
    </row>
    <row r="105" spans="1:29" s="3540" customFormat="1" ht="15.75" thickBot="1">
      <c r="A105" s="3652"/>
      <c r="B105" s="3642"/>
      <c r="C105" s="3659">
        <v>100</v>
      </c>
      <c r="D105" s="3634">
        <v>101</v>
      </c>
      <c r="E105" s="3634">
        <v>100</v>
      </c>
      <c r="F105" s="3634">
        <v>99</v>
      </c>
      <c r="G105" s="3634">
        <v>98</v>
      </c>
      <c r="H105" s="3634">
        <v>97</v>
      </c>
      <c r="I105" s="3634">
        <v>96</v>
      </c>
      <c r="J105" s="3634"/>
      <c r="K105" s="3634"/>
      <c r="L105" s="3634"/>
      <c r="M105" s="3635"/>
      <c r="N105" s="3636"/>
      <c r="O105" s="3636"/>
      <c r="P105" s="3742"/>
      <c r="Q105" s="3658"/>
      <c r="R105" s="3533"/>
      <c r="S105" s="3533"/>
      <c r="T105" s="3533"/>
      <c r="U105" s="3533"/>
      <c r="V105" s="3533"/>
      <c r="W105" s="3533"/>
      <c r="X105" s="3533"/>
      <c r="Y105" s="3533"/>
      <c r="Z105" s="3533"/>
      <c r="AA105" s="3533"/>
      <c r="AB105" s="3533"/>
      <c r="AC105" s="3533"/>
    </row>
    <row r="106" spans="1:29" ht="15" thickTop="1">
      <c r="A106" s="3541"/>
      <c r="B106" s="3637" t="s">
        <v>741</v>
      </c>
      <c r="C106" s="3653"/>
      <c r="D106" s="3653"/>
      <c r="E106" s="3688"/>
      <c r="F106" s="3688"/>
      <c r="G106" s="3688"/>
      <c r="H106" s="3688"/>
      <c r="I106" s="3688"/>
      <c r="J106" s="3688"/>
      <c r="K106" s="3689"/>
      <c r="L106" s="3690"/>
      <c r="M106" s="3691"/>
      <c r="N106" s="3632"/>
      <c r="O106" s="3632"/>
      <c r="P106" s="3741"/>
      <c r="Q106" s="3597"/>
      <c r="R106" s="3418"/>
      <c r="S106" s="3418"/>
      <c r="T106" s="3418"/>
      <c r="U106" s="3418"/>
      <c r="V106" s="3418"/>
      <c r="W106" s="3418"/>
      <c r="X106" s="3418"/>
      <c r="Y106" s="3418"/>
      <c r="Z106" s="3418"/>
      <c r="AA106" s="3418"/>
      <c r="AB106" s="3418"/>
      <c r="AC106" s="3418"/>
    </row>
    <row r="107" spans="1:29" ht="15.75" thickBot="1">
      <c r="A107" s="3489"/>
      <c r="B107" s="3642"/>
      <c r="C107" s="3643">
        <v>100</v>
      </c>
      <c r="D107" s="3643">
        <f t="shared" ref="D107:M107" si="24">C107-$K35</f>
        <v>100</v>
      </c>
      <c r="E107" s="3643">
        <f t="shared" si="24"/>
        <v>100</v>
      </c>
      <c r="F107" s="3643">
        <f t="shared" si="24"/>
        <v>100</v>
      </c>
      <c r="G107" s="3643">
        <f t="shared" si="24"/>
        <v>100</v>
      </c>
      <c r="H107" s="3643">
        <f t="shared" si="24"/>
        <v>100</v>
      </c>
      <c r="I107" s="3643">
        <f t="shared" si="24"/>
        <v>100</v>
      </c>
      <c r="J107" s="3643">
        <f t="shared" si="24"/>
        <v>100</v>
      </c>
      <c r="K107" s="3643">
        <f t="shared" si="24"/>
        <v>100</v>
      </c>
      <c r="L107" s="3643">
        <f t="shared" si="24"/>
        <v>100</v>
      </c>
      <c r="M107" s="3644">
        <f t="shared" si="24"/>
        <v>100</v>
      </c>
      <c r="N107" s="3636"/>
      <c r="O107" s="3636"/>
      <c r="P107" s="3741"/>
      <c r="Q107" s="3597"/>
      <c r="R107" s="3418"/>
      <c r="S107" s="3418"/>
      <c r="T107" s="3418"/>
      <c r="U107" s="3418"/>
      <c r="V107" s="3418"/>
      <c r="W107" s="3418"/>
      <c r="X107" s="3418"/>
      <c r="Y107" s="3418"/>
      <c r="Z107" s="3418"/>
      <c r="AA107" s="3418"/>
      <c r="AB107" s="3418"/>
      <c r="AC107" s="3418"/>
    </row>
    <row r="108" spans="1:29" ht="15" thickTop="1">
      <c r="A108" s="3541"/>
      <c r="B108" s="3637" t="s">
        <v>743</v>
      </c>
      <c r="C108" s="3653"/>
      <c r="D108" s="3653"/>
      <c r="E108" s="3653"/>
      <c r="F108" s="3688"/>
      <c r="G108" s="3688"/>
      <c r="H108" s="3688"/>
      <c r="I108" s="3688"/>
      <c r="J108" s="3688"/>
      <c r="K108" s="3689"/>
      <c r="L108" s="3690"/>
      <c r="M108" s="3691"/>
      <c r="N108" s="3632"/>
      <c r="O108" s="3632"/>
      <c r="P108" s="3741"/>
      <c r="Q108" s="3597"/>
      <c r="R108" s="3418"/>
      <c r="S108" s="3418"/>
      <c r="T108" s="3418"/>
      <c r="U108" s="3418"/>
      <c r="V108" s="3418"/>
      <c r="W108" s="3418"/>
      <c r="X108" s="3418"/>
      <c r="Y108" s="3418"/>
      <c r="Z108" s="3418"/>
      <c r="AA108" s="3418"/>
      <c r="AB108" s="3418"/>
      <c r="AC108" s="3418"/>
    </row>
    <row r="109" spans="1:29" ht="15.75" thickBot="1">
      <c r="A109" s="3489"/>
      <c r="B109" s="3642"/>
      <c r="C109" s="3643">
        <v>100</v>
      </c>
      <c r="D109" s="3643">
        <f t="shared" ref="D109:M109" si="25">C109-$K36</f>
        <v>100</v>
      </c>
      <c r="E109" s="3643">
        <f t="shared" si="25"/>
        <v>100</v>
      </c>
      <c r="F109" s="3643">
        <f t="shared" si="25"/>
        <v>100</v>
      </c>
      <c r="G109" s="3643">
        <f t="shared" si="25"/>
        <v>100</v>
      </c>
      <c r="H109" s="3643">
        <f t="shared" si="25"/>
        <v>100</v>
      </c>
      <c r="I109" s="3643">
        <f t="shared" si="25"/>
        <v>100</v>
      </c>
      <c r="J109" s="3643">
        <f t="shared" si="25"/>
        <v>100</v>
      </c>
      <c r="K109" s="3643">
        <f t="shared" si="25"/>
        <v>100</v>
      </c>
      <c r="L109" s="3643">
        <f t="shared" si="25"/>
        <v>100</v>
      </c>
      <c r="M109" s="3644">
        <f t="shared" si="25"/>
        <v>100</v>
      </c>
      <c r="N109" s="3636"/>
      <c r="O109" s="3636"/>
      <c r="P109" s="3741"/>
      <c r="Q109" s="3597"/>
      <c r="R109" s="3418"/>
      <c r="S109" s="3418"/>
      <c r="T109" s="3418"/>
      <c r="U109" s="3418"/>
      <c r="V109" s="3418"/>
      <c r="W109" s="3418"/>
      <c r="X109" s="3418"/>
      <c r="Y109" s="3418"/>
      <c r="Z109" s="3418"/>
      <c r="AA109" s="3418"/>
      <c r="AB109" s="3418"/>
      <c r="AC109" s="3418"/>
    </row>
    <row r="110" spans="1:29" ht="15" thickTop="1">
      <c r="A110" s="3541"/>
      <c r="B110" s="3637" t="s">
        <v>744</v>
      </c>
      <c r="C110" s="3677" t="str">
        <f>C111&amp;"(含)"&amp;"-"&amp;D111</f>
        <v>0.5(含)-0.6</v>
      </c>
      <c r="D110" s="3677" t="str">
        <f>D111&amp;"(含)"&amp;"-"&amp;E111</f>
        <v>0.6(含)-0.7</v>
      </c>
      <c r="E110" s="3677" t="str">
        <f>E111&amp;"(含)"&amp;"-"&amp;F111</f>
        <v>0.7(含)-0.8</v>
      </c>
      <c r="F110" s="3677" t="str">
        <f>F111&amp;"(含)"&amp;"-"&amp;G111</f>
        <v>0.8(含)-0.9</v>
      </c>
      <c r="G110" s="3677" t="str">
        <f>G111&amp;"(含)"&amp;"-"&amp;ROUND(H111,0)</f>
        <v>0.9(含)-1</v>
      </c>
      <c r="H110" s="3677"/>
      <c r="I110" s="3688"/>
      <c r="J110" s="3688"/>
      <c r="K110" s="3689"/>
      <c r="L110" s="3690"/>
      <c r="M110" s="3691"/>
      <c r="N110" s="3632"/>
      <c r="O110" s="3632"/>
      <c r="P110" s="3741"/>
      <c r="Q110" s="3597"/>
      <c r="R110" s="3418"/>
      <c r="S110" s="3418"/>
      <c r="T110" s="3418"/>
      <c r="U110" s="3418"/>
      <c r="V110" s="3418"/>
      <c r="W110" s="3418"/>
      <c r="X110" s="3418"/>
      <c r="Y110" s="3418"/>
      <c r="Z110" s="3418"/>
      <c r="AA110" s="3418"/>
      <c r="AB110" s="3418"/>
      <c r="AC110" s="3418"/>
    </row>
    <row r="111" spans="1:29">
      <c r="A111" s="3541"/>
      <c r="B111" s="3645"/>
      <c r="C111" s="3449">
        <v>0.5</v>
      </c>
      <c r="D111" s="3449">
        <v>0.6</v>
      </c>
      <c r="E111" s="3449">
        <v>0.7</v>
      </c>
      <c r="F111" s="3449">
        <v>0.8</v>
      </c>
      <c r="G111" s="3449">
        <v>0.9</v>
      </c>
      <c r="H111" s="3449">
        <v>1.0001</v>
      </c>
      <c r="I111" s="3705"/>
      <c r="J111" s="3705"/>
      <c r="K111" s="3706"/>
      <c r="L111" s="3707"/>
      <c r="M111" s="3708"/>
      <c r="N111" s="3632"/>
      <c r="O111" s="3632"/>
      <c r="P111" s="3741"/>
      <c r="Q111" s="3597"/>
      <c r="R111" s="3418"/>
      <c r="S111" s="3418"/>
      <c r="T111" s="3418"/>
      <c r="U111" s="3418"/>
      <c r="V111" s="3418"/>
      <c r="W111" s="3418"/>
      <c r="X111" s="3418"/>
      <c r="Y111" s="3418"/>
      <c r="Z111" s="3418"/>
      <c r="AA111" s="3418"/>
      <c r="AB111" s="3418"/>
      <c r="AC111" s="3418"/>
    </row>
    <row r="112" spans="1:29" ht="15.75" thickBot="1">
      <c r="A112" s="3489"/>
      <c r="B112" s="3642"/>
      <c r="C112" s="3686">
        <v>100</v>
      </c>
      <c r="D112" s="3643">
        <f>C112+$K37</f>
        <v>102</v>
      </c>
      <c r="E112" s="3643">
        <f t="shared" ref="E112:M112" si="26">D112+$K37</f>
        <v>104</v>
      </c>
      <c r="F112" s="3643">
        <f t="shared" si="26"/>
        <v>106</v>
      </c>
      <c r="G112" s="3643">
        <f t="shared" si="26"/>
        <v>108</v>
      </c>
      <c r="H112" s="3643">
        <f t="shared" si="26"/>
        <v>110</v>
      </c>
      <c r="I112" s="3643">
        <f t="shared" si="26"/>
        <v>112</v>
      </c>
      <c r="J112" s="3643">
        <f t="shared" si="26"/>
        <v>114</v>
      </c>
      <c r="K112" s="3643">
        <f t="shared" si="26"/>
        <v>116</v>
      </c>
      <c r="L112" s="3643">
        <f t="shared" si="26"/>
        <v>118</v>
      </c>
      <c r="M112" s="3643">
        <f t="shared" si="26"/>
        <v>120</v>
      </c>
      <c r="N112" s="3636"/>
      <c r="O112" s="3636"/>
      <c r="P112" s="3741"/>
      <c r="Q112" s="3597"/>
      <c r="R112" s="3418"/>
      <c r="S112" s="3418"/>
      <c r="T112" s="3418"/>
      <c r="U112" s="3418"/>
      <c r="V112" s="3418"/>
      <c r="W112" s="3418"/>
      <c r="X112" s="3418"/>
      <c r="Y112" s="3418"/>
      <c r="Z112" s="3418"/>
      <c r="AA112" s="3418"/>
      <c r="AB112" s="3418"/>
      <c r="AC112" s="3418"/>
    </row>
    <row r="113" spans="1:29" s="3540" customFormat="1" ht="15" thickTop="1">
      <c r="A113" s="3531"/>
      <c r="B113" s="3637" t="s">
        <v>778</v>
      </c>
      <c r="C113" s="3653"/>
      <c r="D113" s="3653"/>
      <c r="E113" s="3653"/>
      <c r="F113" s="3653"/>
      <c r="G113" s="3653"/>
      <c r="H113" s="3688"/>
      <c r="I113" s="3688"/>
      <c r="J113" s="3688"/>
      <c r="K113" s="3689"/>
      <c r="L113" s="3690"/>
      <c r="M113" s="3691"/>
      <c r="N113" s="3657"/>
      <c r="O113" s="3657"/>
      <c r="P113" s="3742"/>
      <c r="Q113" s="3658"/>
      <c r="R113" s="3533"/>
      <c r="S113" s="3533"/>
      <c r="T113" s="3533"/>
      <c r="U113" s="3533"/>
      <c r="V113" s="3533"/>
      <c r="W113" s="3533"/>
      <c r="X113" s="3533"/>
      <c r="Y113" s="3533"/>
      <c r="Z113" s="3533"/>
      <c r="AA113" s="3533"/>
      <c r="AB113" s="3533"/>
      <c r="AC113" s="3533"/>
    </row>
    <row r="114" spans="1:29" s="3540" customFormat="1" ht="15.75" thickBot="1">
      <c r="A114" s="3652"/>
      <c r="B114" s="3642"/>
      <c r="C114" s="3643">
        <v>100</v>
      </c>
      <c r="D114" s="3643">
        <f>C114-$K38</f>
        <v>100</v>
      </c>
      <c r="E114" s="3643">
        <f t="shared" ref="E114:M114" si="27">D114-$K38</f>
        <v>100</v>
      </c>
      <c r="F114" s="3643">
        <f t="shared" si="27"/>
        <v>100</v>
      </c>
      <c r="G114" s="3643">
        <f t="shared" si="27"/>
        <v>100</v>
      </c>
      <c r="H114" s="3643">
        <f t="shared" si="27"/>
        <v>100</v>
      </c>
      <c r="I114" s="3643">
        <f t="shared" si="27"/>
        <v>100</v>
      </c>
      <c r="J114" s="3643">
        <f t="shared" si="27"/>
        <v>100</v>
      </c>
      <c r="K114" s="3643">
        <f t="shared" si="27"/>
        <v>100</v>
      </c>
      <c r="L114" s="3643">
        <f t="shared" si="27"/>
        <v>100</v>
      </c>
      <c r="M114" s="3643">
        <f t="shared" si="27"/>
        <v>100</v>
      </c>
      <c r="N114" s="3657"/>
      <c r="O114" s="3657"/>
      <c r="P114" s="3742"/>
      <c r="Q114" s="3658"/>
      <c r="R114" s="3533"/>
      <c r="S114" s="3533"/>
      <c r="T114" s="3533"/>
      <c r="U114" s="3533"/>
      <c r="V114" s="3533"/>
      <c r="W114" s="3533"/>
      <c r="X114" s="3533"/>
      <c r="Y114" s="3533"/>
      <c r="Z114" s="3533"/>
      <c r="AA114" s="3533"/>
      <c r="AB114" s="3533"/>
      <c r="AC114" s="3533"/>
    </row>
    <row r="115" spans="1:29" ht="15" thickTop="1">
      <c r="A115" s="3541"/>
      <c r="B115" s="3637" t="s">
        <v>745</v>
      </c>
      <c r="C115" s="3653"/>
      <c r="D115" s="3653"/>
      <c r="E115" s="3688"/>
      <c r="F115" s="3688"/>
      <c r="G115" s="3688"/>
      <c r="H115" s="3688"/>
      <c r="I115" s="3688"/>
      <c r="J115" s="3688"/>
      <c r="K115" s="3689"/>
      <c r="L115" s="3690"/>
      <c r="M115" s="3691"/>
      <c r="N115" s="3632"/>
      <c r="O115" s="3632"/>
      <c r="P115" s="3741"/>
      <c r="Q115" s="3597"/>
      <c r="R115" s="3418"/>
      <c r="S115" s="3418"/>
      <c r="T115" s="3418"/>
      <c r="U115" s="3418"/>
      <c r="V115" s="3418"/>
      <c r="W115" s="3418"/>
      <c r="X115" s="3418"/>
      <c r="Y115" s="3418"/>
      <c r="Z115" s="3418"/>
      <c r="AA115" s="3418"/>
      <c r="AB115" s="3418"/>
      <c r="AC115" s="3418"/>
    </row>
    <row r="116" spans="1:29" ht="15.75" thickBot="1">
      <c r="A116" s="3489"/>
      <c r="B116" s="3642"/>
      <c r="C116" s="3643">
        <v>100</v>
      </c>
      <c r="D116" s="3643">
        <f t="shared" ref="D116:M116" si="28">C116-$K39</f>
        <v>100</v>
      </c>
      <c r="E116" s="3643">
        <f t="shared" si="28"/>
        <v>100</v>
      </c>
      <c r="F116" s="3643">
        <f t="shared" si="28"/>
        <v>100</v>
      </c>
      <c r="G116" s="3643">
        <f t="shared" si="28"/>
        <v>100</v>
      </c>
      <c r="H116" s="3643">
        <f t="shared" si="28"/>
        <v>100</v>
      </c>
      <c r="I116" s="3643">
        <f t="shared" si="28"/>
        <v>100</v>
      </c>
      <c r="J116" s="3643">
        <f t="shared" si="28"/>
        <v>100</v>
      </c>
      <c r="K116" s="3643">
        <f t="shared" si="28"/>
        <v>100</v>
      </c>
      <c r="L116" s="3643">
        <f t="shared" si="28"/>
        <v>100</v>
      </c>
      <c r="M116" s="3644">
        <f t="shared" si="28"/>
        <v>100</v>
      </c>
      <c r="N116" s="3636"/>
      <c r="O116" s="3636"/>
      <c r="P116" s="3741"/>
      <c r="Q116" s="3597"/>
      <c r="R116" s="3418"/>
      <c r="S116" s="3418"/>
      <c r="T116" s="3418"/>
      <c r="U116" s="3418"/>
      <c r="V116" s="3418"/>
      <c r="W116" s="3418"/>
      <c r="X116" s="3418"/>
      <c r="Y116" s="3418"/>
      <c r="Z116" s="3418"/>
      <c r="AA116" s="3418"/>
      <c r="AB116" s="3418"/>
      <c r="AC116" s="3418"/>
    </row>
    <row r="117" spans="1:29" ht="15" thickTop="1">
      <c r="A117" s="3541"/>
      <c r="B117" s="3678" t="s">
        <v>2535</v>
      </c>
      <c r="C117" s="3653"/>
      <c r="D117" s="3653"/>
      <c r="E117" s="3653"/>
      <c r="F117" s="3653"/>
      <c r="G117" s="3653"/>
      <c r="H117" s="3688"/>
      <c r="I117" s="3688"/>
      <c r="J117" s="3688"/>
      <c r="K117" s="3689"/>
      <c r="L117" s="3690"/>
      <c r="M117" s="3691"/>
      <c r="N117" s="3632"/>
      <c r="O117" s="3632"/>
      <c r="P117" s="3741"/>
      <c r="Q117" s="3597"/>
      <c r="R117" s="3418"/>
      <c r="S117" s="3418"/>
      <c r="T117" s="3418"/>
      <c r="U117" s="3418"/>
      <c r="V117" s="3418"/>
      <c r="W117" s="3418"/>
      <c r="X117" s="3418"/>
      <c r="Y117" s="3418"/>
      <c r="Z117" s="3418"/>
      <c r="AA117" s="3418"/>
      <c r="AB117" s="3418"/>
      <c r="AC117" s="3418"/>
    </row>
    <row r="118" spans="1:29" ht="15.75" thickBot="1">
      <c r="A118" s="3489"/>
      <c r="B118" s="3642"/>
      <c r="C118" s="3643">
        <v>100</v>
      </c>
      <c r="D118" s="3643">
        <f>C118-$K40</f>
        <v>100</v>
      </c>
      <c r="E118" s="3643">
        <f>D118-$K40</f>
        <v>100</v>
      </c>
      <c r="F118" s="3643">
        <f>E118-$K40</f>
        <v>100</v>
      </c>
      <c r="G118" s="3643">
        <f>F118-$K40</f>
        <v>100</v>
      </c>
      <c r="H118" s="3643"/>
      <c r="I118" s="3643"/>
      <c r="J118" s="3643"/>
      <c r="K118" s="3643"/>
      <c r="L118" s="3643"/>
      <c r="M118" s="3644"/>
      <c r="N118" s="3636"/>
      <c r="O118" s="3636"/>
      <c r="P118" s="3741"/>
      <c r="Q118" s="3597"/>
      <c r="R118" s="3418"/>
      <c r="S118" s="3418"/>
      <c r="T118" s="3418"/>
      <c r="U118" s="3418"/>
      <c r="V118" s="3418"/>
      <c r="W118" s="3418"/>
      <c r="X118" s="3418"/>
      <c r="Y118" s="3418"/>
      <c r="Z118" s="3418"/>
      <c r="AA118" s="3418"/>
      <c r="AB118" s="3418"/>
      <c r="AC118" s="3418"/>
    </row>
    <row r="119" spans="1:29" ht="15" thickTop="1">
      <c r="A119" s="3541"/>
      <c r="B119" s="3747" t="s">
        <v>779</v>
      </c>
      <c r="C119" s="3688"/>
      <c r="D119" s="3688"/>
      <c r="E119" s="3688"/>
      <c r="F119" s="3688"/>
      <c r="G119" s="3688"/>
      <c r="H119" s="3688"/>
      <c r="I119" s="3688"/>
      <c r="J119" s="3688"/>
      <c r="K119" s="3688"/>
      <c r="L119" s="3748"/>
      <c r="M119" s="3749"/>
      <c r="N119" s="3636"/>
      <c r="O119" s="3636"/>
      <c r="P119" s="3750"/>
      <c r="Q119" s="3751"/>
      <c r="R119" s="3418"/>
      <c r="S119" s="3418"/>
      <c r="T119" s="3418"/>
      <c r="U119" s="3418"/>
      <c r="V119" s="3418"/>
      <c r="W119" s="3418"/>
      <c r="X119" s="3418"/>
      <c r="Y119" s="3418"/>
      <c r="Z119" s="3418"/>
      <c r="AA119" s="3418"/>
      <c r="AB119" s="3418"/>
      <c r="AC119" s="3418"/>
    </row>
    <row r="120" spans="1:29" ht="15.75" thickBot="1">
      <c r="A120" s="3489"/>
      <c r="B120" s="3642"/>
      <c r="C120" s="3686">
        <v>100</v>
      </c>
      <c r="D120" s="3643">
        <f>C120-$K41</f>
        <v>100</v>
      </c>
      <c r="E120" s="3643">
        <f t="shared" ref="E120:M120" si="29">D120-$K41</f>
        <v>100</v>
      </c>
      <c r="F120" s="3643">
        <f t="shared" si="29"/>
        <v>100</v>
      </c>
      <c r="G120" s="3643">
        <f t="shared" si="29"/>
        <v>100</v>
      </c>
      <c r="H120" s="3643">
        <f t="shared" si="29"/>
        <v>100</v>
      </c>
      <c r="I120" s="3643">
        <f t="shared" si="29"/>
        <v>100</v>
      </c>
      <c r="J120" s="3643">
        <f t="shared" si="29"/>
        <v>100</v>
      </c>
      <c r="K120" s="3643">
        <f t="shared" si="29"/>
        <v>100</v>
      </c>
      <c r="L120" s="3643">
        <f t="shared" si="29"/>
        <v>100</v>
      </c>
      <c r="M120" s="3643">
        <f t="shared" si="29"/>
        <v>100</v>
      </c>
      <c r="N120" s="3636"/>
      <c r="O120" s="3636"/>
      <c r="P120" s="3741"/>
      <c r="Q120" s="3597"/>
      <c r="R120" s="3418"/>
      <c r="S120" s="3418"/>
      <c r="T120" s="3418"/>
      <c r="U120" s="3418"/>
      <c r="V120" s="3418"/>
      <c r="W120" s="3418"/>
      <c r="X120" s="3418"/>
      <c r="Y120" s="3418"/>
      <c r="Z120" s="3418"/>
      <c r="AA120" s="3418"/>
      <c r="AB120" s="3418"/>
      <c r="AC120" s="3418"/>
    </row>
    <row r="121" spans="1:29" s="3540" customFormat="1" ht="15" thickTop="1">
      <c r="A121" s="3531"/>
      <c r="B121" s="3637" t="s">
        <v>767</v>
      </c>
      <c r="C121" s="3653"/>
      <c r="D121" s="3653"/>
      <c r="E121" s="3653"/>
      <c r="F121" s="3688"/>
      <c r="G121" s="3654"/>
      <c r="H121" s="3654"/>
      <c r="I121" s="3654"/>
      <c r="J121" s="3654"/>
      <c r="K121" s="3654"/>
      <c r="L121" s="3655"/>
      <c r="M121" s="3656"/>
      <c r="N121" s="3657"/>
      <c r="O121" s="3657"/>
      <c r="P121" s="3742"/>
      <c r="Q121" s="3658"/>
      <c r="R121" s="3533"/>
      <c r="S121" s="3533"/>
      <c r="T121" s="3533"/>
      <c r="U121" s="3533"/>
      <c r="V121" s="3533"/>
      <c r="W121" s="3533"/>
      <c r="X121" s="3533"/>
      <c r="Y121" s="3533"/>
      <c r="Z121" s="3533"/>
      <c r="AA121" s="3533"/>
      <c r="AB121" s="3533"/>
      <c r="AC121" s="3533"/>
    </row>
    <row r="122" spans="1:29" s="3540" customFormat="1" ht="15.75" thickBot="1">
      <c r="A122" s="3652"/>
      <c r="B122" s="3633"/>
      <c r="C122" s="3659"/>
      <c r="D122" s="3659"/>
      <c r="E122" s="3659"/>
      <c r="F122" s="3659"/>
      <c r="G122" s="3659"/>
      <c r="H122" s="3659"/>
      <c r="I122" s="3659"/>
      <c r="J122" s="3659"/>
      <c r="K122" s="3659"/>
      <c r="L122" s="3659"/>
      <c r="M122" s="3659"/>
      <c r="N122" s="3657"/>
      <c r="O122" s="3657"/>
      <c r="P122" s="3742"/>
      <c r="Q122" s="3658"/>
      <c r="R122" s="3533"/>
      <c r="S122" s="3533"/>
      <c r="T122" s="3533"/>
      <c r="U122" s="3533"/>
      <c r="V122" s="3533"/>
      <c r="W122" s="3533"/>
      <c r="X122" s="3533"/>
      <c r="Y122" s="3533"/>
      <c r="Z122" s="3533"/>
      <c r="AA122" s="3533"/>
      <c r="AB122" s="3533"/>
      <c r="AC122" s="3533"/>
    </row>
    <row r="123" spans="1:29" ht="15" thickTop="1">
      <c r="A123" s="3541"/>
      <c r="B123" s="3637" t="s">
        <v>747</v>
      </c>
      <c r="C123" s="3653"/>
      <c r="D123" s="3653"/>
      <c r="E123" s="3653"/>
      <c r="F123" s="3688"/>
      <c r="G123" s="3688"/>
      <c r="H123" s="3688"/>
      <c r="I123" s="3688"/>
      <c r="J123" s="3688"/>
      <c r="K123" s="3689"/>
      <c r="L123" s="3690"/>
      <c r="M123" s="3691"/>
      <c r="N123" s="3632"/>
      <c r="O123" s="3632"/>
      <c r="P123" s="3741"/>
      <c r="Q123" s="3597"/>
      <c r="R123" s="3418"/>
      <c r="S123" s="3418"/>
      <c r="T123" s="3418"/>
      <c r="U123" s="3418"/>
      <c r="V123" s="3418"/>
      <c r="W123" s="3418"/>
      <c r="X123" s="3418"/>
      <c r="Y123" s="3418"/>
      <c r="Z123" s="3418"/>
      <c r="AA123" s="3418"/>
      <c r="AB123" s="3418"/>
      <c r="AC123" s="3418"/>
    </row>
    <row r="124" spans="1:29" ht="15.75" thickBot="1">
      <c r="A124" s="3489"/>
      <c r="B124" s="3642"/>
      <c r="C124" s="3643">
        <v>100</v>
      </c>
      <c r="D124" s="3643">
        <f t="shared" ref="D124:M124" si="30">C124-$K43</f>
        <v>100</v>
      </c>
      <c r="E124" s="3643">
        <f t="shared" si="30"/>
        <v>100</v>
      </c>
      <c r="F124" s="3643">
        <f t="shared" si="30"/>
        <v>100</v>
      </c>
      <c r="G124" s="3643">
        <f t="shared" si="30"/>
        <v>100</v>
      </c>
      <c r="H124" s="3643">
        <f t="shared" si="30"/>
        <v>100</v>
      </c>
      <c r="I124" s="3643">
        <f t="shared" si="30"/>
        <v>100</v>
      </c>
      <c r="J124" s="3643">
        <f t="shared" si="30"/>
        <v>100</v>
      </c>
      <c r="K124" s="3643">
        <f t="shared" si="30"/>
        <v>100</v>
      </c>
      <c r="L124" s="3643">
        <f t="shared" si="30"/>
        <v>100</v>
      </c>
      <c r="M124" s="3644">
        <f t="shared" si="30"/>
        <v>100</v>
      </c>
      <c r="N124" s="3636"/>
      <c r="O124" s="3636"/>
      <c r="P124" s="3741"/>
      <c r="Q124" s="3597"/>
      <c r="R124" s="3418"/>
      <c r="S124" s="3418"/>
      <c r="T124" s="3418"/>
      <c r="U124" s="3418"/>
      <c r="V124" s="3418"/>
      <c r="W124" s="3418"/>
      <c r="X124" s="3418"/>
      <c r="Y124" s="3418"/>
      <c r="Z124" s="3418"/>
      <c r="AA124" s="3418"/>
      <c r="AB124" s="3418"/>
      <c r="AC124" s="3418"/>
    </row>
    <row r="125" spans="1:29" ht="27.75" thickTop="1">
      <c r="A125" s="3541"/>
      <c r="B125" s="3637" t="s">
        <v>748</v>
      </c>
      <c r="C125" s="3677" t="s">
        <v>571</v>
      </c>
      <c r="D125" s="3677" t="s">
        <v>572</v>
      </c>
      <c r="E125" s="3677" t="s">
        <v>573</v>
      </c>
      <c r="F125" s="3677" t="s">
        <v>574</v>
      </c>
      <c r="G125" s="3677" t="s">
        <v>575</v>
      </c>
      <c r="H125" s="3638"/>
      <c r="I125" s="3638"/>
      <c r="J125" s="3638"/>
      <c r="K125" s="3639"/>
      <c r="L125" s="3640"/>
      <c r="M125" s="3641"/>
      <c r="N125" s="3632"/>
      <c r="O125" s="3632"/>
      <c r="P125" s="3742"/>
      <c r="Q125" s="3597"/>
      <c r="R125" s="3418"/>
      <c r="S125" s="3418"/>
      <c r="T125" s="3418"/>
      <c r="U125" s="3418"/>
      <c r="V125" s="3418"/>
      <c r="W125" s="3418"/>
      <c r="X125" s="3418"/>
      <c r="Y125" s="3418"/>
      <c r="Z125" s="3418"/>
      <c r="AA125" s="3418"/>
      <c r="AB125" s="3418"/>
      <c r="AC125" s="3418"/>
    </row>
    <row r="126" spans="1:29" ht="15.75" thickBot="1">
      <c r="A126" s="3489"/>
      <c r="B126" s="3642"/>
      <c r="C126" s="3643">
        <v>100</v>
      </c>
      <c r="D126" s="3643">
        <f>C126-$K44</f>
        <v>100</v>
      </c>
      <c r="E126" s="3643">
        <f>D126-$K44</f>
        <v>100</v>
      </c>
      <c r="F126" s="3643">
        <f>E126-$K44</f>
        <v>100</v>
      </c>
      <c r="G126" s="3643">
        <f>F126-$K44</f>
        <v>100</v>
      </c>
      <c r="H126" s="3643"/>
      <c r="I126" s="3643"/>
      <c r="J126" s="3643"/>
      <c r="K126" s="3643"/>
      <c r="L126" s="3643"/>
      <c r="M126" s="3644"/>
      <c r="N126" s="3636"/>
      <c r="O126" s="3636"/>
      <c r="P126" s="3741"/>
      <c r="Q126" s="3597"/>
      <c r="R126" s="3418"/>
      <c r="S126" s="3418"/>
      <c r="T126" s="3418"/>
      <c r="U126" s="3418"/>
      <c r="V126" s="3418"/>
      <c r="W126" s="3418"/>
      <c r="X126" s="3418"/>
      <c r="Y126" s="3418"/>
      <c r="Z126" s="3418"/>
      <c r="AA126" s="3418"/>
      <c r="AB126" s="3418"/>
      <c r="AC126" s="3418"/>
    </row>
    <row r="127" spans="1:29" s="3540" customFormat="1" ht="15" thickTop="1">
      <c r="A127" s="3531"/>
      <c r="B127" s="3637">
        <f>B45</f>
        <v>111</v>
      </c>
      <c r="C127" s="3653"/>
      <c r="D127" s="3653"/>
      <c r="E127" s="3653"/>
      <c r="F127" s="3653"/>
      <c r="G127" s="3653"/>
      <c r="H127" s="3654"/>
      <c r="I127" s="3654"/>
      <c r="J127" s="3654"/>
      <c r="K127" s="3654"/>
      <c r="L127" s="3655"/>
      <c r="M127" s="3656"/>
      <c r="N127" s="3657"/>
      <c r="O127" s="3657"/>
      <c r="P127" s="3742"/>
      <c r="Q127" s="3658"/>
      <c r="R127" s="3533"/>
      <c r="S127" s="3533"/>
      <c r="T127" s="3533"/>
      <c r="U127" s="3533"/>
      <c r="V127" s="3533"/>
      <c r="W127" s="3533"/>
      <c r="X127" s="3533"/>
      <c r="Y127" s="3533"/>
      <c r="Z127" s="3533"/>
      <c r="AA127" s="3533"/>
      <c r="AB127" s="3533"/>
      <c r="AC127" s="3533"/>
    </row>
    <row r="128" spans="1:29" s="3540" customFormat="1" ht="15.75" thickBot="1">
      <c r="A128" s="3652"/>
      <c r="B128" s="3642"/>
      <c r="C128" s="3659"/>
      <c r="D128" s="3634"/>
      <c r="E128" s="3634"/>
      <c r="F128" s="3634"/>
      <c r="G128" s="3659"/>
      <c r="H128" s="3661"/>
      <c r="I128" s="3661"/>
      <c r="J128" s="3661"/>
      <c r="K128" s="3661"/>
      <c r="L128" s="3661"/>
      <c r="M128" s="3662"/>
      <c r="N128" s="3657"/>
      <c r="O128" s="3657"/>
      <c r="P128" s="3742"/>
      <c r="Q128" s="3658"/>
      <c r="R128" s="3533"/>
      <c r="S128" s="3533"/>
      <c r="T128" s="3533"/>
      <c r="U128" s="3533"/>
      <c r="V128" s="3533"/>
      <c r="W128" s="3533"/>
      <c r="X128" s="3533"/>
      <c r="Y128" s="3533"/>
      <c r="Z128" s="3533"/>
      <c r="AA128" s="3533"/>
      <c r="AB128" s="3533"/>
      <c r="AC128" s="3533"/>
    </row>
    <row r="129" spans="1:29" ht="15" thickTop="1">
      <c r="A129" s="3541"/>
      <c r="B129" s="3637">
        <f>B46</f>
        <v>111</v>
      </c>
      <c r="C129" s="3653"/>
      <c r="D129" s="3653"/>
      <c r="E129" s="3653"/>
      <c r="F129" s="3653"/>
      <c r="G129" s="3688"/>
      <c r="H129" s="3688"/>
      <c r="I129" s="3688"/>
      <c r="J129" s="3688"/>
      <c r="K129" s="3689"/>
      <c r="L129" s="3690"/>
      <c r="M129" s="3691"/>
      <c r="N129" s="3632"/>
      <c r="O129" s="3632"/>
      <c r="P129" s="3741"/>
      <c r="Q129" s="3597"/>
      <c r="R129" s="3418"/>
      <c r="S129" s="3418"/>
      <c r="T129" s="3418"/>
      <c r="U129" s="3418"/>
      <c r="V129" s="3418"/>
      <c r="W129" s="3418"/>
      <c r="X129" s="3418"/>
      <c r="Y129" s="3418"/>
      <c r="Z129" s="3418"/>
      <c r="AA129" s="3418"/>
      <c r="AB129" s="3418"/>
      <c r="AC129" s="3418"/>
    </row>
    <row r="130" spans="1:29" ht="15.75" thickBot="1">
      <c r="A130" s="3489"/>
      <c r="B130" s="3642"/>
      <c r="C130" s="3659"/>
      <c r="D130" s="3659"/>
      <c r="E130" s="3659"/>
      <c r="F130" s="3659"/>
      <c r="G130" s="3634"/>
      <c r="H130" s="3634"/>
      <c r="I130" s="3634"/>
      <c r="J130" s="3634"/>
      <c r="K130" s="3634"/>
      <c r="L130" s="3634"/>
      <c r="M130" s="3635"/>
      <c r="N130" s="3636"/>
      <c r="O130" s="3636"/>
      <c r="P130" s="3741"/>
      <c r="Q130" s="3597"/>
      <c r="R130" s="3418"/>
      <c r="S130" s="3418"/>
      <c r="T130" s="3418"/>
      <c r="U130" s="3418"/>
      <c r="V130" s="3418"/>
      <c r="W130" s="3418"/>
      <c r="X130" s="3418"/>
      <c r="Y130" s="3418"/>
      <c r="Z130" s="3418"/>
      <c r="AA130" s="3418"/>
      <c r="AB130" s="3418"/>
      <c r="AC130" s="3418"/>
    </row>
    <row r="131" spans="1:29" ht="15" thickTop="1">
      <c r="A131" s="3541"/>
      <c r="B131" s="3645">
        <f>B47</f>
        <v>111</v>
      </c>
      <c r="C131" s="3618"/>
      <c r="D131" s="3618"/>
      <c r="E131" s="3618"/>
      <c r="F131" s="3618"/>
      <c r="G131" s="3692"/>
      <c r="H131" s="3692"/>
      <c r="I131" s="3692"/>
      <c r="J131" s="3692"/>
      <c r="K131" s="3618"/>
      <c r="L131" s="3619"/>
      <c r="M131" s="3695"/>
      <c r="N131" s="3632"/>
      <c r="O131" s="3632"/>
      <c r="P131" s="3741"/>
      <c r="Q131" s="3597"/>
      <c r="R131" s="3418"/>
      <c r="S131" s="3418"/>
      <c r="T131" s="3418"/>
      <c r="U131" s="3418"/>
      <c r="V131" s="3418"/>
      <c r="W131" s="3418"/>
      <c r="X131" s="3418"/>
      <c r="Y131" s="3418"/>
      <c r="Z131" s="3418"/>
      <c r="AA131" s="3418"/>
      <c r="AB131" s="3418"/>
      <c r="AC131" s="3418"/>
    </row>
    <row r="132" spans="1:29" ht="15.75" thickBot="1">
      <c r="A132" s="3525"/>
      <c r="B132" s="3668"/>
      <c r="C132" s="3669"/>
      <c r="D132" s="3669"/>
      <c r="E132" s="3669"/>
      <c r="F132" s="3669"/>
      <c r="G132" s="3696"/>
      <c r="H132" s="3696"/>
      <c r="I132" s="3696"/>
      <c r="J132" s="3696"/>
      <c r="K132" s="3696"/>
      <c r="L132" s="3696"/>
      <c r="M132" s="3697"/>
      <c r="N132" s="3636"/>
      <c r="O132" s="3636"/>
      <c r="P132" s="3741"/>
      <c r="Q132" s="3597"/>
      <c r="R132" s="3418"/>
      <c r="S132" s="3418"/>
      <c r="T132" s="3418"/>
      <c r="U132" s="3418"/>
      <c r="V132" s="3418"/>
      <c r="W132" s="3418"/>
      <c r="X132" s="3418"/>
      <c r="Y132" s="3418"/>
      <c r="Z132" s="3418"/>
      <c r="AA132" s="3418"/>
      <c r="AB132" s="3418"/>
      <c r="AC132" s="3418"/>
    </row>
    <row r="133" spans="1:29">
      <c r="A133" s="3710"/>
      <c r="B133" s="3710"/>
      <c r="C133" s="3710"/>
      <c r="D133" s="3710"/>
      <c r="E133" s="3710"/>
      <c r="F133" s="3710"/>
      <c r="G133" s="3710"/>
      <c r="H133" s="3710"/>
      <c r="I133" s="3710"/>
      <c r="J133" s="3710"/>
      <c r="K133" s="3711"/>
      <c r="L133" s="3712"/>
      <c r="M133" s="3710"/>
      <c r="N133" s="3710"/>
      <c r="O133" s="3710"/>
      <c r="P133" s="3752"/>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52"/>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52"/>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52"/>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52"/>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52"/>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52"/>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52"/>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52"/>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52"/>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52"/>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52"/>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52"/>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52"/>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52"/>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52"/>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52"/>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52"/>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52"/>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52"/>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52"/>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52"/>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52"/>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52"/>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52"/>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52"/>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52"/>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52"/>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52"/>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52"/>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52"/>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52"/>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52"/>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52"/>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52"/>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52"/>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52"/>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52"/>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52"/>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52"/>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52"/>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52"/>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52"/>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52"/>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52"/>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52"/>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52"/>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52"/>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52"/>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52"/>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52"/>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52"/>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52"/>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52"/>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52"/>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52"/>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52"/>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52"/>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52"/>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52"/>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52"/>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52"/>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52"/>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52"/>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52"/>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52"/>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52"/>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52"/>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52"/>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52"/>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52"/>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52"/>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52"/>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52"/>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52"/>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52"/>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52"/>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52"/>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52"/>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52"/>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52"/>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52"/>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52"/>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52"/>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52"/>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52"/>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52"/>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52"/>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52"/>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52"/>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52"/>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52"/>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52"/>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52"/>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52"/>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52"/>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52"/>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52"/>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52"/>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52"/>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52"/>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52"/>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52"/>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52"/>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52"/>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52"/>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52"/>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52"/>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52"/>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52"/>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52"/>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52"/>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52"/>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52"/>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52"/>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52"/>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52"/>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52"/>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52"/>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52"/>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52"/>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52"/>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52"/>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52"/>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52"/>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52"/>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52"/>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52"/>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52"/>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52"/>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52"/>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52"/>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52"/>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52"/>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52"/>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52"/>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52"/>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52"/>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52"/>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52"/>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52"/>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52"/>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52"/>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52"/>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52"/>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52"/>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52"/>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52"/>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52"/>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52"/>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52"/>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52"/>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52"/>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52"/>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52"/>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52"/>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52"/>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52"/>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52"/>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52"/>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52"/>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52"/>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52"/>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52"/>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52"/>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52"/>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52"/>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52"/>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52"/>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52"/>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52"/>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52"/>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52"/>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52"/>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52"/>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52"/>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52"/>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52"/>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52"/>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52"/>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52"/>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52"/>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52"/>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52"/>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52"/>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52"/>
      <c r="Q318" s="3710"/>
      <c r="R318" s="3710"/>
      <c r="S318" s="3710"/>
      <c r="T318" s="3710"/>
      <c r="U318" s="3710"/>
      <c r="V318" s="3710"/>
      <c r="W318" s="3710"/>
      <c r="X318" s="3710"/>
      <c r="Y318" s="3710"/>
      <c r="Z318" s="3710"/>
      <c r="AA318" s="3710"/>
      <c r="AB318" s="3710"/>
      <c r="AC318" s="3710"/>
    </row>
    <row r="319" spans="1:29">
      <c r="A319" s="3710"/>
      <c r="B319" s="3710"/>
      <c r="C319" s="3710"/>
      <c r="D319" s="3710"/>
      <c r="E319" s="3710"/>
      <c r="F319" s="3710"/>
      <c r="G319" s="3710"/>
      <c r="H319" s="3710"/>
      <c r="I319" s="3710"/>
      <c r="J319" s="3710"/>
      <c r="K319" s="3711"/>
      <c r="L319" s="3712"/>
      <c r="M319" s="3710"/>
      <c r="N319" s="3710"/>
      <c r="O319" s="3710"/>
      <c r="P319" s="3752"/>
      <c r="Q319" s="3710"/>
      <c r="R319" s="3710"/>
      <c r="S319" s="3710"/>
      <c r="T319" s="3710"/>
      <c r="U319" s="3710"/>
      <c r="V319" s="3710"/>
      <c r="W319" s="3710"/>
      <c r="X319" s="3710"/>
      <c r="Y319" s="3710"/>
      <c r="Z319" s="3710"/>
      <c r="AA319" s="3710"/>
      <c r="AB319" s="3710"/>
      <c r="AC319" s="3710"/>
    </row>
    <row r="320" spans="1:29">
      <c r="A320" s="3710"/>
      <c r="B320" s="3710"/>
      <c r="C320" s="3710"/>
      <c r="D320" s="3710"/>
      <c r="E320" s="3710"/>
      <c r="F320" s="3710"/>
      <c r="G320" s="3710"/>
      <c r="H320" s="3710"/>
      <c r="I320" s="3710"/>
      <c r="J320" s="3710"/>
      <c r="K320" s="3711"/>
      <c r="L320" s="3712"/>
      <c r="M320" s="3710"/>
      <c r="N320" s="3710"/>
      <c r="O320" s="3710"/>
      <c r="P320" s="3752"/>
      <c r="Q320" s="3710"/>
      <c r="R320" s="3710"/>
      <c r="S320" s="3710"/>
      <c r="T320" s="3710"/>
      <c r="U320" s="3710"/>
      <c r="V320" s="3710"/>
      <c r="W320" s="3710"/>
      <c r="X320" s="3710"/>
      <c r="Y320" s="3710"/>
      <c r="Z320" s="3710"/>
      <c r="AA320" s="3710"/>
      <c r="AB320" s="3710"/>
      <c r="AC320" s="3710"/>
    </row>
    <row r="321" spans="1:29">
      <c r="A321" s="3710"/>
      <c r="B321" s="3710"/>
      <c r="C321" s="3710"/>
      <c r="D321" s="3710"/>
      <c r="E321" s="3710"/>
      <c r="F321" s="3710"/>
      <c r="G321" s="3710"/>
      <c r="H321" s="3710"/>
      <c r="I321" s="3710"/>
      <c r="J321" s="3710"/>
      <c r="K321" s="3711"/>
      <c r="L321" s="3712"/>
      <c r="M321" s="3710"/>
      <c r="N321" s="3710"/>
      <c r="O321" s="3710"/>
      <c r="P321" s="3752"/>
      <c r="Q321" s="3710"/>
      <c r="R321" s="3710"/>
      <c r="S321" s="3710"/>
      <c r="T321" s="3710"/>
      <c r="U321" s="3710"/>
      <c r="V321" s="3710"/>
      <c r="W321" s="3710"/>
      <c r="X321" s="3710"/>
      <c r="Y321" s="3710"/>
      <c r="Z321" s="3710"/>
      <c r="AA321" s="3710"/>
      <c r="AB321" s="3710"/>
      <c r="AC321" s="3710"/>
    </row>
    <row r="322" spans="1:29">
      <c r="A322" s="3710"/>
      <c r="B322" s="3710"/>
      <c r="C322" s="3710"/>
      <c r="D322" s="3710"/>
      <c r="E322" s="3710"/>
      <c r="F322" s="3710"/>
      <c r="G322" s="3710"/>
      <c r="H322" s="3710"/>
      <c r="I322" s="3710"/>
      <c r="J322" s="3710"/>
      <c r="K322" s="3711"/>
      <c r="L322" s="3712"/>
      <c r="M322" s="3710"/>
      <c r="N322" s="3710"/>
      <c r="O322" s="3710"/>
      <c r="P322" s="3752"/>
      <c r="Q322" s="3710"/>
      <c r="R322" s="3710"/>
      <c r="S322" s="3710"/>
      <c r="T322" s="3710"/>
      <c r="U322" s="3710"/>
      <c r="V322" s="3710"/>
      <c r="W322" s="3710"/>
      <c r="X322" s="3710"/>
      <c r="Y322" s="3710"/>
      <c r="Z322" s="3710"/>
      <c r="AA322" s="3710"/>
      <c r="AB322" s="3710"/>
      <c r="AC322" s="3710"/>
    </row>
    <row r="323" spans="1:29">
      <c r="A323" s="3710"/>
      <c r="B323" s="3710"/>
      <c r="C323" s="3710"/>
      <c r="D323" s="3710"/>
      <c r="E323" s="3710"/>
      <c r="F323" s="3710"/>
      <c r="G323" s="3710"/>
      <c r="H323" s="3710"/>
      <c r="I323" s="3710"/>
      <c r="J323" s="3710"/>
      <c r="K323" s="3711"/>
      <c r="L323" s="3712"/>
      <c r="M323" s="3710"/>
      <c r="N323" s="3710"/>
      <c r="O323" s="3710"/>
      <c r="P323" s="3752"/>
      <c r="Q323" s="3710"/>
      <c r="R323" s="3710"/>
      <c r="S323" s="3710"/>
      <c r="T323" s="3710"/>
      <c r="U323" s="3710"/>
      <c r="V323" s="3710"/>
      <c r="W323" s="3710"/>
      <c r="X323" s="3710"/>
      <c r="Y323" s="3710"/>
      <c r="Z323" s="3710"/>
      <c r="AA323" s="3710"/>
      <c r="AB323" s="3710"/>
      <c r="AC323" s="3710"/>
    </row>
    <row r="324" spans="1:29">
      <c r="A324" s="3710"/>
      <c r="B324" s="3710"/>
      <c r="C324" s="3710"/>
      <c r="D324" s="3710"/>
      <c r="E324" s="3710"/>
      <c r="F324" s="3710"/>
      <c r="G324" s="3710"/>
      <c r="H324" s="3710"/>
      <c r="I324" s="3710"/>
      <c r="J324" s="3710"/>
      <c r="K324" s="3711"/>
      <c r="L324" s="3712"/>
      <c r="M324" s="3710"/>
      <c r="N324" s="3710"/>
      <c r="O324" s="3710"/>
      <c r="P324" s="3752"/>
      <c r="Q324" s="3710"/>
      <c r="R324" s="3710"/>
      <c r="S324" s="3710"/>
      <c r="T324" s="3710"/>
      <c r="U324" s="3710"/>
      <c r="V324" s="3710"/>
      <c r="W324" s="3710"/>
      <c r="X324" s="3710"/>
      <c r="Y324" s="3710"/>
      <c r="Z324" s="3710"/>
      <c r="AA324" s="3710"/>
      <c r="AB324" s="3710"/>
      <c r="AC324" s="3710"/>
    </row>
    <row r="325" spans="1:29">
      <c r="A325" s="3710"/>
      <c r="B325" s="3710"/>
      <c r="C325" s="3710"/>
      <c r="D325" s="3710"/>
      <c r="E325" s="3710"/>
      <c r="F325" s="3710"/>
      <c r="G325" s="3710"/>
      <c r="H325" s="3710"/>
      <c r="I325" s="3710"/>
      <c r="J325" s="3710"/>
      <c r="K325" s="3711"/>
      <c r="L325" s="3712"/>
      <c r="M325" s="3710"/>
      <c r="N325" s="3710"/>
      <c r="O325" s="3710"/>
      <c r="P325" s="3752"/>
      <c r="Q325" s="3710"/>
      <c r="R325" s="3710"/>
      <c r="S325" s="3710"/>
      <c r="T325" s="3710"/>
      <c r="U325" s="3710"/>
      <c r="V325" s="3710"/>
      <c r="W325" s="3710"/>
      <c r="X325" s="3710"/>
      <c r="Y325" s="3710"/>
      <c r="Z325" s="3710"/>
      <c r="AA325" s="3710"/>
      <c r="AB325" s="3710"/>
      <c r="AC325" s="3710"/>
    </row>
    <row r="326" spans="1:29">
      <c r="A326" s="3710"/>
      <c r="B326" s="3710"/>
      <c r="C326" s="3710"/>
      <c r="D326" s="3710"/>
      <c r="E326" s="3710"/>
      <c r="F326" s="3710"/>
      <c r="G326" s="3710"/>
      <c r="H326" s="3710"/>
      <c r="I326" s="3710"/>
      <c r="J326" s="3710"/>
      <c r="K326" s="3711"/>
      <c r="L326" s="3712"/>
      <c r="M326" s="3710"/>
      <c r="N326" s="3710"/>
      <c r="O326" s="3710"/>
      <c r="P326" s="3752"/>
      <c r="Q326" s="3710"/>
      <c r="R326" s="3710"/>
      <c r="S326" s="3710"/>
      <c r="T326" s="3710"/>
      <c r="U326" s="3710"/>
      <c r="V326" s="3710"/>
      <c r="W326" s="3710"/>
      <c r="X326" s="3710"/>
      <c r="Y326" s="3710"/>
      <c r="Z326" s="3710"/>
      <c r="AA326" s="3710"/>
      <c r="AB326" s="3710"/>
      <c r="AC326" s="3710"/>
    </row>
    <row r="327" spans="1:29">
      <c r="A327" s="3710"/>
      <c r="B327" s="3710"/>
      <c r="C327" s="3710"/>
      <c r="D327" s="3710"/>
      <c r="E327" s="3710"/>
      <c r="F327" s="3710"/>
      <c r="G327" s="3710"/>
      <c r="H327" s="3710"/>
      <c r="I327" s="3710"/>
      <c r="J327" s="3710"/>
      <c r="K327" s="3711"/>
      <c r="L327" s="3712"/>
      <c r="M327" s="3710"/>
      <c r="N327" s="3710"/>
      <c r="O327" s="3710"/>
      <c r="P327" s="3752"/>
      <c r="Q327" s="3710"/>
      <c r="R327" s="3710"/>
      <c r="S327" s="3710"/>
      <c r="T327" s="3710"/>
      <c r="U327" s="3710"/>
      <c r="V327" s="3710"/>
      <c r="W327" s="3710"/>
      <c r="X327" s="3710"/>
      <c r="Y327" s="3710"/>
      <c r="Z327" s="3710"/>
      <c r="AA327" s="3710"/>
      <c r="AB327" s="3710"/>
      <c r="AC327" s="3710"/>
    </row>
    <row r="328" spans="1:29">
      <c r="A328" s="3710"/>
      <c r="B328" s="3710"/>
      <c r="C328" s="3710"/>
      <c r="D328" s="3710"/>
      <c r="E328" s="3710"/>
      <c r="F328" s="3710"/>
      <c r="G328" s="3710"/>
      <c r="H328" s="3710"/>
      <c r="I328" s="3710"/>
      <c r="J328" s="3710"/>
      <c r="K328" s="3711"/>
      <c r="L328" s="3712"/>
      <c r="M328" s="3710"/>
      <c r="N328" s="3710"/>
      <c r="O328" s="3710"/>
      <c r="P328" s="3752"/>
      <c r="Q328" s="3710"/>
      <c r="R328" s="3710"/>
      <c r="S328" s="3710"/>
      <c r="T328" s="3710"/>
      <c r="U328" s="3710"/>
      <c r="V328" s="3710"/>
      <c r="W328" s="3710"/>
      <c r="X328" s="3710"/>
      <c r="Y328" s="3710"/>
      <c r="Z328" s="3710"/>
      <c r="AA328" s="3710"/>
      <c r="AB328" s="3710"/>
      <c r="AC328" s="3710"/>
    </row>
    <row r="329" spans="1:29">
      <c r="A329" s="3710"/>
      <c r="B329" s="3710"/>
      <c r="C329" s="3710"/>
      <c r="D329" s="3710"/>
      <c r="E329" s="3710"/>
      <c r="F329" s="3710"/>
      <c r="G329" s="3710"/>
      <c r="H329" s="3710"/>
      <c r="I329" s="3710"/>
      <c r="J329" s="3710"/>
      <c r="K329" s="3711"/>
      <c r="L329" s="3712"/>
      <c r="M329" s="3710"/>
      <c r="N329" s="3710"/>
      <c r="O329" s="3710"/>
      <c r="P329" s="3752"/>
      <c r="Q329" s="3710"/>
      <c r="R329" s="3710"/>
      <c r="S329" s="3710"/>
      <c r="T329" s="3710"/>
      <c r="U329" s="3710"/>
      <c r="V329" s="3710"/>
      <c r="W329" s="3710"/>
      <c r="X329" s="3710"/>
      <c r="Y329" s="3710"/>
      <c r="Z329" s="3710"/>
      <c r="AA329" s="3710"/>
      <c r="AB329" s="3710"/>
      <c r="AC329" s="3710"/>
    </row>
    <row r="330" spans="1:29">
      <c r="A330" s="3710"/>
      <c r="B330" s="3710"/>
      <c r="C330" s="3710"/>
      <c r="D330" s="3710"/>
      <c r="E330" s="3710"/>
      <c r="F330" s="3710"/>
      <c r="G330" s="3710"/>
      <c r="H330" s="3710"/>
      <c r="I330" s="3710"/>
      <c r="J330" s="3710"/>
      <c r="K330" s="3711"/>
      <c r="L330" s="3712"/>
      <c r="M330" s="3710"/>
      <c r="N330" s="3710"/>
      <c r="O330" s="3710"/>
      <c r="P330" s="3752"/>
      <c r="Q330" s="3710"/>
      <c r="R330" s="3710"/>
      <c r="S330" s="3710"/>
      <c r="T330" s="3710"/>
      <c r="U330" s="3710"/>
      <c r="V330" s="3710"/>
      <c r="W330" s="3710"/>
      <c r="X330" s="3710"/>
      <c r="Y330" s="3710"/>
      <c r="Z330" s="3710"/>
      <c r="AA330" s="3710"/>
      <c r="AB330" s="3710"/>
      <c r="AC330" s="3710"/>
    </row>
    <row r="331" spans="1:29">
      <c r="A331" s="3710"/>
      <c r="B331" s="3710"/>
      <c r="C331" s="3710"/>
      <c r="D331" s="3710"/>
      <c r="E331" s="3710"/>
      <c r="F331" s="3710"/>
      <c r="G331" s="3710"/>
      <c r="H331" s="3710"/>
      <c r="I331" s="3710"/>
      <c r="J331" s="3710"/>
      <c r="K331" s="3711"/>
      <c r="L331" s="3712"/>
      <c r="M331" s="3710"/>
      <c r="N331" s="3710"/>
      <c r="O331" s="3710"/>
      <c r="P331" s="3752"/>
      <c r="Q331" s="3710"/>
      <c r="R331" s="3710"/>
      <c r="S331" s="3710"/>
      <c r="T331" s="3710"/>
      <c r="U331" s="3710"/>
      <c r="V331" s="3710"/>
      <c r="W331" s="3710"/>
      <c r="X331" s="3710"/>
      <c r="Y331" s="3710"/>
      <c r="Z331" s="3710"/>
      <c r="AA331" s="3710"/>
      <c r="AB331" s="3710"/>
      <c r="AC331" s="3710"/>
    </row>
    <row r="332" spans="1:29">
      <c r="A332" s="3710"/>
      <c r="B332" s="3710"/>
      <c r="C332" s="3710"/>
      <c r="D332" s="3710"/>
      <c r="E332" s="3710"/>
      <c r="F332" s="3710"/>
      <c r="G332" s="3710"/>
      <c r="H332" s="3710"/>
      <c r="I332" s="3710"/>
      <c r="J332" s="3710"/>
      <c r="K332" s="3711"/>
      <c r="L332" s="3712"/>
      <c r="M332" s="3710"/>
      <c r="N332" s="3710"/>
      <c r="O332" s="3710"/>
      <c r="P332" s="3752"/>
      <c r="Q332" s="3710"/>
      <c r="R332" s="3710"/>
      <c r="S332" s="3710"/>
      <c r="T332" s="3710"/>
      <c r="U332" s="3710"/>
      <c r="V332" s="3710"/>
      <c r="W332" s="3710"/>
      <c r="X332" s="3710"/>
      <c r="Y332" s="3710"/>
      <c r="Z332" s="3710"/>
      <c r="AA332" s="3710"/>
      <c r="AB332" s="3710"/>
      <c r="AC332" s="3710"/>
    </row>
    <row r="333" spans="1:29">
      <c r="A333" s="3710"/>
      <c r="B333" s="3710"/>
      <c r="C333" s="3710"/>
      <c r="D333" s="3710"/>
      <c r="E333" s="3710"/>
      <c r="F333" s="3710"/>
      <c r="G333" s="3710"/>
      <c r="H333" s="3710"/>
      <c r="I333" s="3710"/>
      <c r="J333" s="3710"/>
      <c r="K333" s="3711"/>
      <c r="L333" s="3712"/>
      <c r="M333" s="3710"/>
      <c r="N333" s="3710"/>
      <c r="O333" s="3710"/>
      <c r="P333" s="3752"/>
      <c r="Q333" s="3710"/>
      <c r="R333" s="3710"/>
      <c r="S333" s="3710"/>
      <c r="T333" s="3710"/>
      <c r="U333" s="3710"/>
      <c r="V333" s="3710"/>
      <c r="W333" s="3710"/>
      <c r="X333" s="3710"/>
      <c r="Y333" s="3710"/>
      <c r="Z333" s="3710"/>
      <c r="AA333" s="3710"/>
      <c r="AB333" s="3710"/>
      <c r="AC333" s="3710"/>
    </row>
    <row r="334" spans="1:29">
      <c r="A334" s="3710"/>
      <c r="B334" s="3710"/>
      <c r="C334" s="3710"/>
      <c r="D334" s="3710"/>
      <c r="E334" s="3710"/>
      <c r="F334" s="3710"/>
      <c r="G334" s="3710"/>
      <c r="H334" s="3710"/>
      <c r="I334" s="3710"/>
      <c r="J334" s="3710"/>
      <c r="K334" s="3711"/>
      <c r="L334" s="3712"/>
      <c r="M334" s="3710"/>
      <c r="N334" s="3710"/>
      <c r="O334" s="3710"/>
      <c r="P334" s="3752"/>
      <c r="Q334" s="3710"/>
      <c r="R334" s="3710"/>
      <c r="S334" s="3710"/>
      <c r="T334" s="3710"/>
      <c r="U334" s="3710"/>
      <c r="V334" s="3710"/>
      <c r="W334" s="3710"/>
      <c r="X334" s="3710"/>
      <c r="Y334" s="3710"/>
      <c r="Z334" s="3710"/>
      <c r="AA334" s="3710"/>
      <c r="AB334" s="3710"/>
      <c r="AC334" s="3710"/>
    </row>
    <row r="335" spans="1:29">
      <c r="A335" s="3710"/>
      <c r="B335" s="3710"/>
      <c r="C335" s="3710"/>
      <c r="D335" s="3710"/>
      <c r="E335" s="3710"/>
      <c r="F335" s="3710"/>
      <c r="G335" s="3710"/>
      <c r="H335" s="3710"/>
      <c r="I335" s="3710"/>
      <c r="J335" s="3710"/>
      <c r="K335" s="3711"/>
      <c r="L335" s="3712"/>
      <c r="M335" s="3710"/>
      <c r="N335" s="3710"/>
      <c r="O335" s="3710"/>
      <c r="P335" s="3752"/>
      <c r="Q335" s="3710"/>
      <c r="R335" s="3710"/>
      <c r="S335" s="3710"/>
      <c r="T335" s="3710"/>
      <c r="U335" s="3710"/>
      <c r="V335" s="3710"/>
      <c r="W335" s="3710"/>
      <c r="X335" s="3710"/>
      <c r="Y335" s="3710"/>
      <c r="Z335" s="3710"/>
      <c r="AA335" s="3710"/>
      <c r="AB335" s="3710"/>
      <c r="AC335" s="3710"/>
    </row>
    <row r="336" spans="1:29">
      <c r="A336" s="3710"/>
      <c r="B336" s="3710"/>
      <c r="C336" s="3710"/>
      <c r="D336" s="3710"/>
      <c r="E336" s="3710"/>
      <c r="F336" s="3710"/>
      <c r="G336" s="3710"/>
      <c r="H336" s="3710"/>
      <c r="I336" s="3710"/>
      <c r="J336" s="3710"/>
      <c r="K336" s="3711"/>
      <c r="L336" s="3712"/>
      <c r="M336" s="3710"/>
      <c r="N336" s="3710"/>
      <c r="O336" s="3710"/>
      <c r="P336" s="3752"/>
      <c r="Q336" s="3710"/>
      <c r="R336" s="3710"/>
      <c r="S336" s="3710"/>
      <c r="T336" s="3710"/>
      <c r="U336" s="3710"/>
      <c r="V336" s="3710"/>
      <c r="W336" s="3710"/>
      <c r="X336" s="3710"/>
      <c r="Y336" s="3710"/>
      <c r="Z336" s="3710"/>
      <c r="AA336" s="3710"/>
      <c r="AB336" s="3710"/>
      <c r="AC336" s="3710"/>
    </row>
    <row r="337" spans="1:29">
      <c r="A337" s="3710"/>
      <c r="B337" s="3710"/>
      <c r="C337" s="3710"/>
      <c r="D337" s="3710"/>
      <c r="E337" s="3710"/>
      <c r="F337" s="3710"/>
      <c r="G337" s="3710"/>
      <c r="H337" s="3710"/>
      <c r="I337" s="3710"/>
      <c r="J337" s="3710"/>
      <c r="K337" s="3711"/>
      <c r="L337" s="3712"/>
      <c r="M337" s="3710"/>
      <c r="N337" s="3710"/>
      <c r="O337" s="3710"/>
      <c r="P337" s="3752"/>
      <c r="Q337" s="3710"/>
      <c r="R337" s="3710"/>
      <c r="S337" s="3710"/>
      <c r="T337" s="3710"/>
      <c r="U337" s="3710"/>
      <c r="V337" s="3710"/>
      <c r="W337" s="3710"/>
      <c r="X337" s="3710"/>
      <c r="Y337" s="3710"/>
      <c r="Z337" s="3710"/>
      <c r="AA337" s="3710"/>
      <c r="AB337" s="3710"/>
      <c r="AC337" s="3710"/>
    </row>
    <row r="338" spans="1:29">
      <c r="A338" s="3710"/>
      <c r="B338" s="3710"/>
      <c r="C338" s="3710"/>
      <c r="D338" s="3710"/>
      <c r="E338" s="3710"/>
      <c r="F338" s="3710"/>
      <c r="G338" s="3710"/>
      <c r="H338" s="3710"/>
      <c r="I338" s="3710"/>
      <c r="J338" s="3710"/>
      <c r="K338" s="3711"/>
      <c r="L338" s="3712"/>
      <c r="M338" s="3710"/>
      <c r="N338" s="3710"/>
      <c r="O338" s="3710"/>
      <c r="P338" s="3752"/>
      <c r="Q338" s="3710"/>
      <c r="R338" s="3710"/>
      <c r="S338" s="3710"/>
      <c r="T338" s="3710"/>
      <c r="U338" s="3710"/>
      <c r="V338" s="3710"/>
      <c r="W338" s="3710"/>
      <c r="X338" s="3710"/>
      <c r="Y338" s="3710"/>
      <c r="Z338" s="3710"/>
      <c r="AA338" s="3710"/>
      <c r="AB338" s="3710"/>
      <c r="AC338" s="3710"/>
    </row>
    <row r="339" spans="1:29">
      <c r="A339" s="3710"/>
      <c r="B339" s="3710"/>
      <c r="C339" s="3710"/>
      <c r="D339" s="3710"/>
      <c r="E339" s="3710"/>
      <c r="F339" s="3710"/>
      <c r="G339" s="3710"/>
      <c r="H339" s="3710"/>
      <c r="I339" s="3710"/>
      <c r="J339" s="3710"/>
      <c r="K339" s="3711"/>
      <c r="L339" s="3712"/>
      <c r="M339" s="3710"/>
      <c r="N339" s="3710"/>
      <c r="O339" s="3710"/>
      <c r="P339" s="3752"/>
      <c r="Q339" s="3710"/>
      <c r="R339" s="3710"/>
      <c r="S339" s="3710"/>
      <c r="T339" s="3710"/>
      <c r="U339" s="3710"/>
      <c r="V339" s="3710"/>
      <c r="W339" s="3710"/>
      <c r="X339" s="3710"/>
      <c r="Y339" s="3710"/>
      <c r="Z339" s="3710"/>
      <c r="AA339" s="3710"/>
      <c r="AB339" s="3710"/>
      <c r="AC339" s="3710"/>
    </row>
    <row r="340" spans="1:29">
      <c r="A340" s="3710"/>
      <c r="B340" s="3710"/>
      <c r="C340" s="3710"/>
      <c r="D340" s="3710"/>
      <c r="E340" s="3710"/>
      <c r="F340" s="3710"/>
      <c r="G340" s="3710"/>
      <c r="H340" s="3710"/>
      <c r="I340" s="3710"/>
      <c r="J340" s="3710"/>
      <c r="K340" s="3711"/>
      <c r="L340" s="3712"/>
      <c r="M340" s="3710"/>
      <c r="N340" s="3710"/>
      <c r="O340" s="3710"/>
      <c r="P340" s="3752"/>
      <c r="Q340" s="3710"/>
      <c r="R340" s="3710"/>
      <c r="S340" s="3710"/>
      <c r="T340" s="3710"/>
      <c r="U340" s="3710"/>
      <c r="V340" s="3710"/>
      <c r="W340" s="3710"/>
      <c r="X340" s="3710"/>
      <c r="Y340" s="3710"/>
      <c r="Z340" s="3710"/>
      <c r="AA340" s="3710"/>
      <c r="AB340" s="3710"/>
      <c r="AC340" s="3710"/>
    </row>
    <row r="341" spans="1:29">
      <c r="A341" s="3710"/>
      <c r="B341" s="3710"/>
      <c r="C341" s="3710"/>
      <c r="D341" s="3710"/>
      <c r="E341" s="3710"/>
      <c r="F341" s="3710"/>
      <c r="G341" s="3710"/>
      <c r="H341" s="3710"/>
      <c r="I341" s="3710"/>
      <c r="J341" s="3710"/>
      <c r="K341" s="3711"/>
      <c r="L341" s="3712"/>
      <c r="M341" s="3710"/>
      <c r="N341" s="3710"/>
      <c r="O341" s="3710"/>
      <c r="P341" s="3752"/>
      <c r="Q341" s="3710"/>
      <c r="R341" s="3710"/>
      <c r="S341" s="3710"/>
      <c r="T341" s="3710"/>
      <c r="U341" s="3710"/>
      <c r="V341" s="3710"/>
      <c r="W341" s="3710"/>
      <c r="X341" s="3710"/>
      <c r="Y341" s="3710"/>
      <c r="Z341" s="3710"/>
      <c r="AA341" s="3710"/>
      <c r="AB341" s="3710"/>
      <c r="AC341" s="3710"/>
    </row>
    <row r="342" spans="1:29">
      <c r="A342" s="3710"/>
      <c r="B342" s="3710"/>
      <c r="C342" s="3710"/>
      <c r="D342" s="3710"/>
      <c r="E342" s="3710"/>
      <c r="F342" s="3710"/>
      <c r="G342" s="3710"/>
      <c r="H342" s="3710"/>
      <c r="I342" s="3710"/>
      <c r="J342" s="3710"/>
      <c r="K342" s="3711"/>
      <c r="L342" s="3712"/>
      <c r="M342" s="3710"/>
      <c r="N342" s="3710"/>
      <c r="O342" s="3710"/>
      <c r="P342" s="3752"/>
      <c r="Q342" s="3710"/>
      <c r="R342" s="3710"/>
      <c r="S342" s="3710"/>
      <c r="T342" s="3710"/>
      <c r="U342" s="3710"/>
      <c r="V342" s="3710"/>
      <c r="W342" s="3710"/>
      <c r="X342" s="3710"/>
      <c r="Y342" s="3710"/>
      <c r="Z342" s="3710"/>
      <c r="AA342" s="3710"/>
      <c r="AB342" s="3710"/>
      <c r="AC342" s="3710"/>
    </row>
    <row r="343" spans="1:29">
      <c r="A343" s="3710"/>
      <c r="B343" s="3710"/>
      <c r="C343" s="3710"/>
      <c r="D343" s="3710"/>
      <c r="E343" s="3710"/>
      <c r="F343" s="3710"/>
      <c r="G343" s="3710"/>
      <c r="H343" s="3710"/>
      <c r="I343" s="3710"/>
      <c r="J343" s="3710"/>
      <c r="K343" s="3711"/>
      <c r="L343" s="3712"/>
      <c r="M343" s="3710"/>
      <c r="N343" s="3710"/>
      <c r="O343" s="3710"/>
      <c r="P343" s="3752"/>
      <c r="Q343" s="3710"/>
      <c r="R343" s="3710"/>
      <c r="S343" s="3710"/>
      <c r="T343" s="3710"/>
      <c r="U343" s="3710"/>
      <c r="V343" s="3710"/>
      <c r="W343" s="3710"/>
      <c r="X343" s="3710"/>
      <c r="Y343" s="3710"/>
      <c r="Z343" s="3710"/>
      <c r="AA343" s="3710"/>
      <c r="AB343" s="3710"/>
      <c r="AC343" s="3710"/>
    </row>
    <row r="344" spans="1:29">
      <c r="A344" s="3710"/>
      <c r="B344" s="3710"/>
      <c r="C344" s="3710"/>
      <c r="D344" s="3710"/>
      <c r="E344" s="3710"/>
      <c r="F344" s="3710"/>
      <c r="G344" s="3710"/>
      <c r="H344" s="3710"/>
      <c r="I344" s="3710"/>
      <c r="J344" s="3710"/>
      <c r="K344" s="3711"/>
      <c r="L344" s="3712"/>
      <c r="M344" s="3710"/>
      <c r="N344" s="3710"/>
      <c r="O344" s="3710"/>
      <c r="P344" s="3752"/>
      <c r="Q344" s="3710"/>
      <c r="R344" s="3710"/>
      <c r="S344" s="3710"/>
      <c r="T344" s="3710"/>
      <c r="U344" s="3710"/>
      <c r="V344" s="3710"/>
      <c r="W344" s="3710"/>
      <c r="X344" s="3710"/>
      <c r="Y344" s="3710"/>
      <c r="Z344" s="3710"/>
      <c r="AA344" s="3710"/>
      <c r="AB344" s="3710"/>
      <c r="AC344" s="3710"/>
    </row>
    <row r="345" spans="1:29">
      <c r="A345" s="3710"/>
      <c r="B345" s="3710"/>
      <c r="C345" s="3710"/>
      <c r="D345" s="3710"/>
      <c r="E345" s="3710"/>
      <c r="F345" s="3710"/>
      <c r="G345" s="3710"/>
      <c r="H345" s="3710"/>
      <c r="I345" s="3710"/>
      <c r="J345" s="3710"/>
      <c r="K345" s="3711"/>
      <c r="L345" s="3712"/>
      <c r="M345" s="3710"/>
      <c r="N345" s="3710"/>
      <c r="O345" s="3710"/>
      <c r="P345" s="3752"/>
      <c r="Q345" s="3710"/>
      <c r="R345" s="3710"/>
      <c r="S345" s="3710"/>
      <c r="T345" s="3710"/>
      <c r="U345" s="3710"/>
      <c r="V345" s="3710"/>
      <c r="W345" s="3710"/>
      <c r="X345" s="3710"/>
      <c r="Y345" s="3710"/>
      <c r="Z345" s="3710"/>
      <c r="AA345" s="3710"/>
      <c r="AB345" s="3710"/>
      <c r="AC345" s="3710"/>
    </row>
    <row r="346" spans="1:29">
      <c r="A346" s="3710"/>
      <c r="B346" s="3710"/>
      <c r="C346" s="3710"/>
      <c r="D346" s="3710"/>
      <c r="E346" s="3710"/>
      <c r="F346" s="3710"/>
      <c r="G346" s="3710"/>
      <c r="H346" s="3710"/>
      <c r="I346" s="3710"/>
      <c r="J346" s="3710"/>
      <c r="K346" s="3711"/>
      <c r="L346" s="3712"/>
      <c r="M346" s="3710"/>
      <c r="N346" s="3710"/>
      <c r="O346" s="3710"/>
      <c r="P346" s="3752"/>
      <c r="Q346" s="3710"/>
      <c r="R346" s="3710"/>
      <c r="S346" s="3710"/>
      <c r="T346" s="3710"/>
      <c r="U346" s="3710"/>
      <c r="V346" s="3710"/>
      <c r="W346" s="3710"/>
      <c r="X346" s="3710"/>
      <c r="Y346" s="3710"/>
      <c r="Z346" s="3710"/>
      <c r="AA346" s="3710"/>
      <c r="AB346" s="3710"/>
      <c r="AC346" s="3710"/>
    </row>
    <row r="347" spans="1:29">
      <c r="A347" s="3710"/>
      <c r="B347" s="3710"/>
      <c r="C347" s="3710"/>
      <c r="D347" s="3710"/>
      <c r="E347" s="3710"/>
      <c r="F347" s="3710"/>
      <c r="G347" s="3710"/>
      <c r="H347" s="3710"/>
      <c r="I347" s="3710"/>
      <c r="J347" s="3710"/>
      <c r="K347" s="3711"/>
      <c r="L347" s="3712"/>
      <c r="M347" s="3710"/>
      <c r="N347" s="3710"/>
      <c r="O347" s="3710"/>
      <c r="P347" s="3752"/>
      <c r="Q347" s="3710"/>
      <c r="R347" s="3710"/>
      <c r="S347" s="3710"/>
      <c r="T347" s="3710"/>
      <c r="U347" s="3710"/>
      <c r="V347" s="3710"/>
      <c r="W347" s="3710"/>
      <c r="X347" s="3710"/>
      <c r="Y347" s="3710"/>
      <c r="Z347" s="3710"/>
      <c r="AA347" s="3710"/>
      <c r="AB347" s="3710"/>
      <c r="AC347" s="3710"/>
    </row>
    <row r="348" spans="1:29">
      <c r="A348" s="3710"/>
      <c r="B348" s="3710"/>
      <c r="C348" s="3710"/>
      <c r="D348" s="3710"/>
      <c r="E348" s="3710"/>
      <c r="F348" s="3710"/>
      <c r="G348" s="3710"/>
      <c r="H348" s="3710"/>
      <c r="I348" s="3710"/>
      <c r="J348" s="3710"/>
      <c r="K348" s="3711"/>
      <c r="L348" s="3712"/>
      <c r="M348" s="3710"/>
      <c r="N348" s="3710"/>
      <c r="O348" s="3710"/>
      <c r="P348" s="3752"/>
      <c r="Q348" s="3710"/>
      <c r="R348" s="3710"/>
      <c r="S348" s="3710"/>
      <c r="T348" s="3710"/>
      <c r="U348" s="3710"/>
      <c r="V348" s="3710"/>
      <c r="W348" s="3710"/>
      <c r="X348" s="3710"/>
      <c r="Y348" s="3710"/>
      <c r="Z348" s="3710"/>
      <c r="AA348" s="3710"/>
      <c r="AB348" s="3710"/>
      <c r="AC348" s="3710"/>
    </row>
    <row r="349" spans="1:29">
      <c r="A349" s="3710"/>
      <c r="B349" s="3710"/>
      <c r="C349" s="3710"/>
      <c r="D349" s="3710"/>
      <c r="E349" s="3710"/>
      <c r="F349" s="3710"/>
      <c r="G349" s="3710"/>
      <c r="H349" s="3710"/>
      <c r="I349" s="3710"/>
      <c r="J349" s="3710"/>
      <c r="K349" s="3711"/>
      <c r="L349" s="3712"/>
      <c r="M349" s="3710"/>
      <c r="N349" s="3710"/>
      <c r="O349" s="3710"/>
      <c r="P349" s="3752"/>
      <c r="Q349" s="3710"/>
      <c r="R349" s="3710"/>
      <c r="S349" s="3710"/>
      <c r="T349" s="3710"/>
      <c r="U349" s="3710"/>
      <c r="V349" s="3710"/>
      <c r="W349" s="3710"/>
      <c r="X349" s="3710"/>
      <c r="Y349" s="3710"/>
      <c r="Z349" s="3710"/>
      <c r="AA349" s="3710"/>
      <c r="AB349" s="3710"/>
      <c r="AC349" s="3710"/>
    </row>
    <row r="350" spans="1:29">
      <c r="A350" s="3710"/>
      <c r="B350" s="3710"/>
      <c r="C350" s="3710"/>
      <c r="D350" s="3710"/>
      <c r="E350" s="3710"/>
      <c r="F350" s="3710"/>
      <c r="G350" s="3710"/>
      <c r="H350" s="3710"/>
      <c r="I350" s="3710"/>
      <c r="J350" s="3710"/>
      <c r="K350" s="3711"/>
      <c r="L350" s="3712"/>
      <c r="M350" s="3710"/>
      <c r="N350" s="3710"/>
      <c r="O350" s="3710"/>
      <c r="P350" s="3752"/>
      <c r="Q350" s="3710"/>
      <c r="R350" s="3710"/>
      <c r="S350" s="3710"/>
      <c r="T350" s="3710"/>
      <c r="U350" s="3710"/>
      <c r="V350" s="3710"/>
      <c r="W350" s="3710"/>
      <c r="X350" s="3710"/>
      <c r="Y350" s="3710"/>
      <c r="Z350" s="3710"/>
      <c r="AA350" s="3710"/>
      <c r="AB350" s="3710"/>
      <c r="AC350" s="3710"/>
    </row>
    <row r="351" spans="1:29">
      <c r="A351" s="3710"/>
      <c r="B351" s="3710"/>
      <c r="C351" s="3710"/>
      <c r="D351" s="3710"/>
      <c r="E351" s="3710"/>
      <c r="F351" s="3710"/>
      <c r="G351" s="3710"/>
      <c r="H351" s="3710"/>
      <c r="I351" s="3710"/>
      <c r="J351" s="3710"/>
      <c r="K351" s="3711"/>
      <c r="L351" s="3712"/>
      <c r="M351" s="3710"/>
      <c r="N351" s="3710"/>
      <c r="O351" s="3710"/>
      <c r="P351" s="3752"/>
      <c r="Q351" s="3710"/>
      <c r="R351" s="3710"/>
      <c r="S351" s="3710"/>
      <c r="T351" s="3710"/>
      <c r="U351" s="3710"/>
      <c r="V351" s="3710"/>
      <c r="W351" s="3710"/>
      <c r="X351" s="3710"/>
      <c r="Y351" s="3710"/>
      <c r="Z351" s="3710"/>
      <c r="AA351" s="3710"/>
      <c r="AB351" s="3710"/>
      <c r="AC351" s="3710"/>
    </row>
    <row r="352" spans="1:29">
      <c r="A352" s="3710"/>
      <c r="B352" s="3710"/>
      <c r="C352" s="3710"/>
      <c r="D352" s="3710"/>
      <c r="E352" s="3710"/>
      <c r="F352" s="3710"/>
      <c r="G352" s="3710"/>
      <c r="H352" s="3710"/>
      <c r="I352" s="3710"/>
      <c r="J352" s="3710"/>
      <c r="K352" s="3711"/>
      <c r="L352" s="3712"/>
      <c r="M352" s="3710"/>
      <c r="N352" s="3710"/>
      <c r="O352" s="3710"/>
      <c r="P352" s="3752"/>
      <c r="Q352" s="3710"/>
      <c r="R352" s="3710"/>
      <c r="S352" s="3710"/>
      <c r="T352" s="3710"/>
      <c r="U352" s="3710"/>
      <c r="V352" s="3710"/>
      <c r="W352" s="3710"/>
      <c r="X352" s="3710"/>
      <c r="Y352" s="3710"/>
      <c r="Z352" s="3710"/>
      <c r="AA352" s="3710"/>
      <c r="AB352" s="3710"/>
      <c r="AC352" s="3710"/>
    </row>
    <row r="353" spans="1:29">
      <c r="A353" s="3710"/>
      <c r="B353" s="3710"/>
      <c r="C353" s="3710"/>
      <c r="D353" s="3710"/>
      <c r="E353" s="3710"/>
      <c r="F353" s="3710"/>
      <c r="G353" s="3710"/>
      <c r="H353" s="3710"/>
      <c r="I353" s="3710"/>
      <c r="J353" s="3710"/>
      <c r="K353" s="3711"/>
      <c r="L353" s="3712"/>
      <c r="M353" s="3710"/>
      <c r="N353" s="3710"/>
      <c r="O353" s="3710"/>
      <c r="P353" s="3752"/>
      <c r="Q353" s="3710"/>
      <c r="R353" s="3710"/>
      <c r="S353" s="3710"/>
      <c r="T353" s="3710"/>
      <c r="U353" s="3710"/>
      <c r="V353" s="3710"/>
      <c r="W353" s="3710"/>
      <c r="X353" s="3710"/>
      <c r="Y353" s="3710"/>
      <c r="Z353" s="3710"/>
      <c r="AA353" s="3710"/>
      <c r="AB353" s="3710"/>
      <c r="AC353" s="3710"/>
    </row>
    <row r="354" spans="1:29">
      <c r="A354" s="3710"/>
      <c r="B354" s="3710"/>
      <c r="C354" s="3710"/>
      <c r="D354" s="3710"/>
      <c r="E354" s="3710"/>
      <c r="F354" s="3710"/>
      <c r="G354" s="3710"/>
      <c r="H354" s="3710"/>
      <c r="I354" s="3710"/>
      <c r="J354" s="3710"/>
      <c r="K354" s="3711"/>
      <c r="L354" s="3712"/>
      <c r="M354" s="3710"/>
      <c r="N354" s="3710"/>
      <c r="O354" s="3710"/>
      <c r="P354" s="3752"/>
      <c r="Q354" s="3710"/>
      <c r="R354" s="3710"/>
      <c r="S354" s="3710"/>
      <c r="T354" s="3710"/>
      <c r="U354" s="3710"/>
      <c r="V354" s="3710"/>
      <c r="W354" s="3710"/>
      <c r="X354" s="3710"/>
      <c r="Y354" s="3710"/>
      <c r="Z354" s="3710"/>
      <c r="AA354" s="3710"/>
      <c r="AB354" s="3710"/>
      <c r="AC354" s="3710"/>
    </row>
    <row r="355" spans="1:29">
      <c r="A355" s="3710"/>
      <c r="B355" s="3710"/>
      <c r="C355" s="3710"/>
      <c r="D355" s="3710"/>
      <c r="E355" s="3710"/>
      <c r="F355" s="3710"/>
      <c r="G355" s="3710"/>
      <c r="H355" s="3710"/>
      <c r="I355" s="3710"/>
      <c r="J355" s="3710"/>
      <c r="K355" s="3711"/>
      <c r="L355" s="3712"/>
      <c r="M355" s="3710"/>
      <c r="N355" s="3710"/>
      <c r="O355" s="3710"/>
      <c r="P355" s="3752"/>
      <c r="Q355" s="3710"/>
      <c r="R355" s="3710"/>
      <c r="S355" s="3710"/>
      <c r="T355" s="3710"/>
      <c r="U355" s="3710"/>
      <c r="V355" s="3710"/>
      <c r="W355" s="3710"/>
      <c r="X355" s="3710"/>
      <c r="Y355" s="3710"/>
      <c r="Z355" s="3710"/>
      <c r="AA355" s="3710"/>
      <c r="AB355" s="3710"/>
      <c r="AC355" s="3710"/>
    </row>
    <row r="356" spans="1:29">
      <c r="A356" s="3710"/>
      <c r="B356" s="3710"/>
      <c r="C356" s="3710"/>
      <c r="D356" s="3710"/>
      <c r="E356" s="3710"/>
      <c r="F356" s="3710"/>
      <c r="G356" s="3710"/>
      <c r="H356" s="3710"/>
      <c r="I356" s="3710"/>
      <c r="J356" s="3710"/>
      <c r="K356" s="3711"/>
      <c r="L356" s="3712"/>
      <c r="M356" s="3710"/>
      <c r="N356" s="3710"/>
      <c r="O356" s="3710"/>
      <c r="P356" s="3752"/>
      <c r="Q356" s="3710"/>
      <c r="R356" s="3710"/>
      <c r="S356" s="3710"/>
      <c r="T356" s="3710"/>
      <c r="U356" s="3710"/>
      <c r="V356" s="3710"/>
      <c r="W356" s="3710"/>
      <c r="X356" s="3710"/>
      <c r="Y356" s="3710"/>
      <c r="Z356" s="3710"/>
      <c r="AA356" s="3710"/>
      <c r="AB356" s="3710"/>
      <c r="AC356" s="3710"/>
    </row>
    <row r="357" spans="1:29">
      <c r="A357" s="3710"/>
      <c r="B357" s="3710"/>
      <c r="C357" s="3710"/>
      <c r="D357" s="3710"/>
      <c r="E357" s="3710"/>
      <c r="F357" s="3710"/>
      <c r="G357" s="3710"/>
      <c r="H357" s="3710"/>
      <c r="I357" s="3710"/>
      <c r="J357" s="3710"/>
      <c r="K357" s="3711"/>
      <c r="L357" s="3712"/>
      <c r="M357" s="3710"/>
      <c r="N357" s="3710"/>
      <c r="O357" s="3710"/>
      <c r="P357" s="3752"/>
      <c r="Q357" s="3710"/>
      <c r="R357" s="3710"/>
      <c r="S357" s="3710"/>
      <c r="T357" s="3710"/>
      <c r="U357" s="3710"/>
      <c r="V357" s="3710"/>
      <c r="W357" s="3710"/>
      <c r="X357" s="3710"/>
      <c r="Y357" s="3710"/>
      <c r="Z357" s="3710"/>
      <c r="AA357" s="3710"/>
      <c r="AB357" s="3710"/>
      <c r="AC357" s="3710"/>
    </row>
    <row r="358" spans="1:29">
      <c r="A358" s="3710"/>
      <c r="B358" s="3710"/>
      <c r="C358" s="3710"/>
      <c r="D358" s="3710"/>
      <c r="E358" s="3710"/>
      <c r="F358" s="3710"/>
      <c r="G358" s="3710"/>
      <c r="H358" s="3710"/>
      <c r="I358" s="3710"/>
      <c r="J358" s="3710"/>
      <c r="K358" s="3711"/>
      <c r="L358" s="3712"/>
      <c r="M358" s="3710"/>
      <c r="N358" s="3710"/>
      <c r="O358" s="3710"/>
      <c r="P358" s="3752"/>
      <c r="Q358" s="3710"/>
      <c r="R358" s="3710"/>
      <c r="S358" s="3710"/>
      <c r="T358" s="3710"/>
      <c r="U358" s="3710"/>
      <c r="V358" s="3710"/>
      <c r="W358" s="3710"/>
      <c r="X358" s="3710"/>
      <c r="Y358" s="3710"/>
      <c r="Z358" s="3710"/>
      <c r="AA358" s="3710"/>
      <c r="AB358" s="3710"/>
      <c r="AC358" s="3710"/>
    </row>
    <row r="359" spans="1:29">
      <c r="A359" s="3710"/>
      <c r="B359" s="3710"/>
      <c r="C359" s="3710"/>
      <c r="D359" s="3710"/>
      <c r="E359" s="3710"/>
      <c r="F359" s="3710"/>
      <c r="G359" s="3710"/>
      <c r="H359" s="3710"/>
      <c r="I359" s="3710"/>
      <c r="J359" s="3710"/>
      <c r="K359" s="3711"/>
      <c r="L359" s="3712"/>
      <c r="M359" s="3710"/>
      <c r="N359" s="3710"/>
      <c r="O359" s="3710"/>
      <c r="P359" s="3752"/>
      <c r="Q359" s="3710"/>
      <c r="R359" s="3710"/>
      <c r="S359" s="3710"/>
      <c r="T359" s="3710"/>
      <c r="U359" s="3710"/>
      <c r="V359" s="3710"/>
      <c r="W359" s="3710"/>
      <c r="X359" s="3710"/>
      <c r="Y359" s="3710"/>
      <c r="Z359" s="3710"/>
      <c r="AA359" s="3710"/>
      <c r="AB359" s="3710"/>
      <c r="AC359" s="3710"/>
    </row>
    <row r="360" spans="1:29">
      <c r="A360" s="3710"/>
      <c r="B360" s="3710"/>
      <c r="C360" s="3710"/>
      <c r="D360" s="3710"/>
      <c r="E360" s="3710"/>
      <c r="F360" s="3710"/>
      <c r="G360" s="3710"/>
      <c r="H360" s="3710"/>
      <c r="I360" s="3710"/>
      <c r="J360" s="3710"/>
      <c r="K360" s="3711"/>
      <c r="L360" s="3712"/>
      <c r="M360" s="3710"/>
      <c r="N360" s="3710"/>
      <c r="O360" s="3710"/>
      <c r="P360" s="3752"/>
      <c r="Q360" s="3710"/>
      <c r="R360" s="3710"/>
      <c r="S360" s="3710"/>
      <c r="T360" s="3710"/>
      <c r="U360" s="3710"/>
      <c r="V360" s="3710"/>
      <c r="W360" s="3710"/>
      <c r="X360" s="3710"/>
      <c r="Y360" s="3710"/>
      <c r="Z360" s="3710"/>
      <c r="AA360" s="3710"/>
      <c r="AB360" s="3710"/>
      <c r="AC360" s="3710"/>
    </row>
    <row r="361" spans="1:29">
      <c r="A361" s="3710"/>
      <c r="B361" s="3710"/>
      <c r="C361" s="3710"/>
      <c r="D361" s="3710"/>
      <c r="E361" s="3710"/>
      <c r="F361" s="3710"/>
      <c r="G361" s="3710"/>
      <c r="H361" s="3710"/>
      <c r="I361" s="3710"/>
      <c r="J361" s="3710"/>
      <c r="K361" s="3711"/>
      <c r="L361" s="3712"/>
      <c r="M361" s="3710"/>
      <c r="N361" s="3710"/>
      <c r="O361" s="3710"/>
      <c r="P361" s="3752"/>
      <c r="Q361" s="3710"/>
      <c r="R361" s="3710"/>
      <c r="S361" s="3710"/>
      <c r="T361" s="3710"/>
      <c r="U361" s="3710"/>
      <c r="V361" s="3710"/>
      <c r="W361" s="3710"/>
      <c r="X361" s="3710"/>
      <c r="Y361" s="3710"/>
      <c r="Z361" s="3710"/>
      <c r="AA361" s="3710"/>
      <c r="AB361" s="3710"/>
      <c r="AC361" s="3710"/>
    </row>
    <row r="362" spans="1:29">
      <c r="A362" s="3710"/>
      <c r="B362" s="3710"/>
      <c r="C362" s="3710"/>
      <c r="D362" s="3710"/>
      <c r="E362" s="3710"/>
      <c r="F362" s="3710"/>
      <c r="G362" s="3710"/>
      <c r="H362" s="3710"/>
      <c r="I362" s="3710"/>
      <c r="J362" s="3710"/>
      <c r="K362" s="3711"/>
      <c r="L362" s="3712"/>
      <c r="M362" s="3710"/>
      <c r="N362" s="3710"/>
      <c r="O362" s="3710"/>
      <c r="P362" s="3752"/>
      <c r="Q362" s="3710"/>
      <c r="R362" s="3710"/>
      <c r="S362" s="3710"/>
      <c r="T362" s="3710"/>
      <c r="U362" s="3710"/>
      <c r="V362" s="3710"/>
      <c r="W362" s="3710"/>
      <c r="X362" s="3710"/>
      <c r="Y362" s="3710"/>
      <c r="Z362" s="3710"/>
      <c r="AA362" s="3710"/>
      <c r="AB362" s="3710"/>
      <c r="AC362" s="3710"/>
    </row>
    <row r="363" spans="1:29">
      <c r="A363" s="3710"/>
      <c r="B363" s="3710"/>
      <c r="C363" s="3710"/>
      <c r="D363" s="3710"/>
      <c r="E363" s="3710"/>
      <c r="F363" s="3710"/>
      <c r="G363" s="3710"/>
      <c r="H363" s="3710"/>
      <c r="I363" s="3710"/>
      <c r="J363" s="3710"/>
      <c r="K363" s="3711"/>
      <c r="L363" s="3712"/>
      <c r="M363" s="3710"/>
      <c r="N363" s="3710"/>
      <c r="O363" s="3710"/>
      <c r="P363" s="3752"/>
      <c r="Q363" s="3710"/>
      <c r="R363" s="3710"/>
      <c r="S363" s="3710"/>
      <c r="T363" s="3710"/>
      <c r="U363" s="3710"/>
      <c r="V363" s="3710"/>
      <c r="W363" s="3710"/>
      <c r="X363" s="3710"/>
      <c r="Y363" s="3710"/>
      <c r="Z363" s="3710"/>
      <c r="AA363" s="3710"/>
      <c r="AB363" s="3710"/>
      <c r="AC363" s="3710"/>
    </row>
    <row r="364" spans="1:29">
      <c r="A364" s="3710"/>
      <c r="B364" s="3710"/>
      <c r="C364" s="3710"/>
      <c r="D364" s="3710"/>
      <c r="E364" s="3710"/>
      <c r="F364" s="3710"/>
      <c r="G364" s="3710"/>
      <c r="H364" s="3710"/>
      <c r="I364" s="3710"/>
      <c r="J364" s="3710"/>
      <c r="K364" s="3711"/>
      <c r="L364" s="3712"/>
      <c r="M364" s="3710"/>
      <c r="N364" s="3710"/>
      <c r="O364" s="3710"/>
      <c r="P364" s="3752"/>
      <c r="Q364" s="3710"/>
      <c r="R364" s="3710"/>
      <c r="S364" s="3710"/>
      <c r="T364" s="3710"/>
      <c r="U364" s="3710"/>
      <c r="V364" s="3710"/>
      <c r="W364" s="3710"/>
      <c r="X364" s="3710"/>
      <c r="Y364" s="3710"/>
      <c r="Z364" s="3710"/>
      <c r="AA364" s="3710"/>
      <c r="AB364" s="3710"/>
      <c r="AC364" s="3710"/>
    </row>
    <row r="365" spans="1:29">
      <c r="A365" s="3710"/>
      <c r="B365" s="3710"/>
      <c r="C365" s="3710"/>
      <c r="D365" s="3710"/>
      <c r="E365" s="3710"/>
      <c r="F365" s="3710"/>
      <c r="G365" s="3710"/>
      <c r="H365" s="3710"/>
      <c r="I365" s="3710"/>
      <c r="J365" s="3710"/>
      <c r="K365" s="3711"/>
      <c r="L365" s="3712"/>
      <c r="M365" s="3710"/>
      <c r="N365" s="3710"/>
      <c r="O365" s="3710"/>
      <c r="P365" s="3752"/>
      <c r="Q365" s="3710"/>
      <c r="R365" s="3710"/>
      <c r="S365" s="3710"/>
      <c r="T365" s="3710"/>
      <c r="U365" s="3710"/>
      <c r="V365" s="3710"/>
      <c r="W365" s="3710"/>
      <c r="X365" s="3710"/>
      <c r="Y365" s="3710"/>
      <c r="Z365" s="3710"/>
      <c r="AA365" s="3710"/>
      <c r="AB365" s="3710"/>
      <c r="AC365" s="3710"/>
    </row>
    <row r="366" spans="1:29">
      <c r="A366" s="3710"/>
      <c r="B366" s="3710"/>
      <c r="C366" s="3710"/>
      <c r="D366" s="3710"/>
      <c r="E366" s="3710"/>
      <c r="F366" s="3710"/>
      <c r="G366" s="3710"/>
      <c r="H366" s="3710"/>
      <c r="I366" s="3710"/>
      <c r="J366" s="3710"/>
      <c r="K366" s="3711"/>
      <c r="L366" s="3712"/>
      <c r="M366" s="3710"/>
      <c r="N366" s="3710"/>
      <c r="O366" s="3710"/>
      <c r="P366" s="3752"/>
      <c r="Q366" s="3710"/>
      <c r="R366" s="3710"/>
      <c r="S366" s="3710"/>
      <c r="T366" s="3710"/>
      <c r="U366" s="3710"/>
      <c r="V366" s="3710"/>
      <c r="W366" s="3710"/>
      <c r="X366" s="3710"/>
      <c r="Y366" s="3710"/>
      <c r="Z366" s="3710"/>
      <c r="AA366" s="3710"/>
      <c r="AB366" s="3710"/>
      <c r="AC366" s="3710"/>
    </row>
    <row r="367" spans="1:29">
      <c r="A367" s="3710"/>
      <c r="B367" s="3710"/>
      <c r="C367" s="3710"/>
      <c r="D367" s="3710"/>
      <c r="E367" s="3710"/>
      <c r="F367" s="3710"/>
      <c r="G367" s="3710"/>
      <c r="H367" s="3710"/>
      <c r="I367" s="3710"/>
      <c r="J367" s="3710"/>
      <c r="K367" s="3711"/>
      <c r="L367" s="3712"/>
      <c r="M367" s="3710"/>
      <c r="N367" s="3710"/>
      <c r="O367" s="3710"/>
      <c r="P367" s="3752"/>
      <c r="Q367" s="3710"/>
      <c r="R367" s="3710"/>
      <c r="S367" s="3710"/>
      <c r="T367" s="3710"/>
      <c r="U367" s="3710"/>
      <c r="V367" s="3710"/>
      <c r="W367" s="3710"/>
      <c r="X367" s="3710"/>
      <c r="Y367" s="3710"/>
      <c r="Z367" s="3710"/>
      <c r="AA367" s="3710"/>
      <c r="AB367" s="3710"/>
      <c r="AC367" s="3710"/>
    </row>
    <row r="368" spans="1:29">
      <c r="A368" s="3710"/>
      <c r="B368" s="3710"/>
      <c r="C368" s="3710"/>
      <c r="D368" s="3710"/>
      <c r="E368" s="3710"/>
      <c r="F368" s="3710"/>
      <c r="G368" s="3710"/>
      <c r="H368" s="3710"/>
      <c r="I368" s="3710"/>
      <c r="J368" s="3710"/>
      <c r="K368" s="3711"/>
      <c r="L368" s="3712"/>
      <c r="M368" s="3710"/>
      <c r="N368" s="3710"/>
      <c r="O368" s="3710"/>
      <c r="P368" s="3752"/>
      <c r="Q368" s="3710"/>
      <c r="R368" s="3710"/>
      <c r="S368" s="3710"/>
      <c r="T368" s="3710"/>
      <c r="U368" s="3710"/>
      <c r="V368" s="3710"/>
      <c r="W368" s="3710"/>
      <c r="X368" s="3710"/>
      <c r="Y368" s="3710"/>
      <c r="Z368" s="3710"/>
      <c r="AA368" s="3710"/>
      <c r="AB368" s="3710"/>
      <c r="AC368" s="3710"/>
    </row>
    <row r="369" spans="1:29">
      <c r="A369" s="3710"/>
      <c r="B369" s="3710"/>
      <c r="C369" s="3710"/>
      <c r="D369" s="3710"/>
      <c r="E369" s="3710"/>
      <c r="F369" s="3710"/>
      <c r="G369" s="3710"/>
      <c r="H369" s="3710"/>
      <c r="I369" s="3710"/>
      <c r="J369" s="3710"/>
      <c r="K369" s="3711"/>
      <c r="L369" s="3712"/>
      <c r="M369" s="3710"/>
      <c r="N369" s="3710"/>
      <c r="O369" s="3710"/>
      <c r="P369" s="3752"/>
      <c r="Q369" s="3710"/>
      <c r="R369" s="3710"/>
      <c r="S369" s="3710"/>
      <c r="T369" s="3710"/>
      <c r="U369" s="3710"/>
      <c r="V369" s="3710"/>
      <c r="W369" s="3710"/>
      <c r="X369" s="3710"/>
      <c r="Y369" s="3710"/>
      <c r="Z369" s="3710"/>
      <c r="AA369" s="3710"/>
      <c r="AB369" s="3710"/>
      <c r="AC369" s="3710"/>
    </row>
    <row r="370" spans="1:29">
      <c r="A370" s="3710"/>
      <c r="B370" s="3710"/>
      <c r="C370" s="3710"/>
      <c r="D370" s="3710"/>
      <c r="E370" s="3710"/>
      <c r="F370" s="3710"/>
      <c r="G370" s="3710"/>
      <c r="H370" s="3710"/>
      <c r="I370" s="3710"/>
      <c r="J370" s="3710"/>
      <c r="K370" s="3711"/>
      <c r="L370" s="3712"/>
      <c r="M370" s="3710"/>
      <c r="N370" s="3710"/>
      <c r="O370" s="3710"/>
      <c r="P370" s="3752"/>
      <c r="Q370" s="3710"/>
      <c r="R370" s="3710"/>
      <c r="S370" s="3710"/>
      <c r="T370" s="3710"/>
      <c r="U370" s="3710"/>
      <c r="V370" s="3710"/>
      <c r="W370" s="3710"/>
      <c r="X370" s="3710"/>
      <c r="Y370" s="3710"/>
      <c r="Z370" s="3710"/>
      <c r="AA370" s="3710"/>
      <c r="AB370" s="3710"/>
      <c r="AC370" s="3710"/>
    </row>
    <row r="371" spans="1:29">
      <c r="A371" s="3710"/>
      <c r="B371" s="3710"/>
      <c r="C371" s="3710"/>
      <c r="D371" s="3710"/>
      <c r="E371" s="3710"/>
      <c r="F371" s="3710"/>
      <c r="G371" s="3710"/>
      <c r="H371" s="3710"/>
      <c r="I371" s="3710"/>
      <c r="J371" s="3710"/>
      <c r="K371" s="3711"/>
      <c r="L371" s="3712"/>
      <c r="M371" s="3710"/>
      <c r="N371" s="3710"/>
      <c r="O371" s="3710"/>
      <c r="P371" s="3752"/>
      <c r="Q371" s="3710"/>
      <c r="R371" s="3710"/>
      <c r="S371" s="3710"/>
      <c r="T371" s="3710"/>
      <c r="U371" s="3710"/>
      <c r="V371" s="3710"/>
      <c r="W371" s="3710"/>
      <c r="X371" s="3710"/>
      <c r="Y371" s="3710"/>
      <c r="Z371" s="3710"/>
      <c r="AA371" s="3710"/>
      <c r="AB371" s="3710"/>
      <c r="AC371" s="3710"/>
    </row>
    <row r="372" spans="1:29">
      <c r="A372" s="3710"/>
      <c r="B372" s="3710"/>
      <c r="C372" s="3710"/>
      <c r="D372" s="3710"/>
      <c r="E372" s="3710"/>
      <c r="F372" s="3710"/>
      <c r="G372" s="3710"/>
      <c r="H372" s="3710"/>
      <c r="I372" s="3710"/>
      <c r="J372" s="3710"/>
      <c r="K372" s="3711"/>
      <c r="L372" s="3712"/>
      <c r="M372" s="3710"/>
      <c r="N372" s="3710"/>
      <c r="O372" s="3710"/>
      <c r="P372" s="3752"/>
      <c r="Q372" s="3710"/>
      <c r="R372" s="3710"/>
      <c r="S372" s="3710"/>
      <c r="T372" s="3710"/>
      <c r="U372" s="3710"/>
      <c r="V372" s="3710"/>
      <c r="W372" s="3710"/>
      <c r="X372" s="3710"/>
      <c r="Y372" s="3710"/>
      <c r="Z372" s="3710"/>
      <c r="AA372" s="3710"/>
      <c r="AB372" s="3710"/>
      <c r="AC372" s="3710"/>
    </row>
    <row r="373" spans="1:29">
      <c r="A373" s="3710"/>
      <c r="B373" s="3710"/>
      <c r="C373" s="3710"/>
      <c r="D373" s="3710"/>
      <c r="E373" s="3710"/>
      <c r="F373" s="3710"/>
      <c r="G373" s="3710"/>
      <c r="H373" s="3710"/>
      <c r="I373" s="3710"/>
      <c r="J373" s="3710"/>
      <c r="K373" s="3711"/>
      <c r="L373" s="3712"/>
      <c r="M373" s="3710"/>
      <c r="N373" s="3710"/>
      <c r="O373" s="3710"/>
      <c r="P373" s="3752"/>
      <c r="Q373" s="3710"/>
      <c r="R373" s="3710"/>
      <c r="S373" s="3710"/>
      <c r="T373" s="3710"/>
      <c r="U373" s="3710"/>
      <c r="V373" s="3710"/>
      <c r="W373" s="3710"/>
      <c r="X373" s="3710"/>
      <c r="Y373" s="3710"/>
      <c r="Z373" s="3710"/>
      <c r="AA373" s="3710"/>
      <c r="AB373" s="3710"/>
      <c r="AC373" s="3710"/>
    </row>
    <row r="374" spans="1:29">
      <c r="A374" s="3710"/>
      <c r="B374" s="3710"/>
      <c r="C374" s="3710"/>
      <c r="D374" s="3710"/>
      <c r="E374" s="3710"/>
      <c r="F374" s="3710"/>
      <c r="G374" s="3710"/>
      <c r="H374" s="3710"/>
      <c r="I374" s="3710"/>
      <c r="J374" s="3710"/>
      <c r="K374" s="3711"/>
      <c r="L374" s="3712"/>
      <c r="M374" s="3710"/>
      <c r="N374" s="3710"/>
      <c r="O374" s="3710"/>
      <c r="P374" s="3752"/>
      <c r="Q374" s="3710"/>
      <c r="R374" s="3710"/>
      <c r="S374" s="3710"/>
      <c r="T374" s="3710"/>
      <c r="U374" s="3710"/>
      <c r="V374" s="3710"/>
      <c r="W374" s="3710"/>
      <c r="X374" s="3710"/>
      <c r="Y374" s="3710"/>
      <c r="Z374" s="3710"/>
      <c r="AA374" s="3710"/>
      <c r="AB374" s="3710"/>
      <c r="AC374" s="3710"/>
    </row>
    <row r="375" spans="1:29">
      <c r="A375" s="3710"/>
      <c r="B375" s="3710"/>
      <c r="C375" s="3710"/>
      <c r="D375" s="3710"/>
      <c r="E375" s="3710"/>
      <c r="F375" s="3710"/>
      <c r="G375" s="3710"/>
      <c r="H375" s="3710"/>
      <c r="I375" s="3710"/>
      <c r="J375" s="3710"/>
      <c r="K375" s="3711"/>
      <c r="L375" s="3712"/>
      <c r="M375" s="3710"/>
      <c r="N375" s="3710"/>
      <c r="O375" s="3710"/>
      <c r="P375" s="3752"/>
      <c r="Q375" s="3710"/>
      <c r="R375" s="3710"/>
      <c r="S375" s="3710"/>
      <c r="T375" s="3710"/>
      <c r="U375" s="3710"/>
      <c r="V375" s="3710"/>
      <c r="W375" s="3710"/>
      <c r="X375" s="3710"/>
      <c r="Y375" s="3710"/>
      <c r="Z375" s="3710"/>
      <c r="AA375" s="3710"/>
      <c r="AB375" s="3710"/>
      <c r="AC375" s="3710"/>
    </row>
    <row r="376" spans="1:29">
      <c r="A376" s="3710"/>
      <c r="B376" s="3710"/>
      <c r="C376" s="3710"/>
      <c r="D376" s="3710"/>
      <c r="E376" s="3710"/>
      <c r="F376" s="3710"/>
      <c r="G376" s="3710"/>
      <c r="H376" s="3710"/>
      <c r="I376" s="3710"/>
      <c r="J376" s="3710"/>
      <c r="K376" s="3711"/>
      <c r="L376" s="3712"/>
      <c r="M376" s="3710"/>
      <c r="N376" s="3710"/>
      <c r="O376" s="3710"/>
      <c r="P376" s="3752"/>
      <c r="Q376" s="3710"/>
      <c r="R376" s="3710"/>
      <c r="S376" s="3710"/>
      <c r="T376" s="3710"/>
      <c r="U376" s="3710"/>
      <c r="V376" s="3710"/>
      <c r="W376" s="3710"/>
      <c r="X376" s="3710"/>
      <c r="Y376" s="3710"/>
      <c r="Z376" s="3710"/>
      <c r="AA376" s="3710"/>
      <c r="AB376" s="3710"/>
      <c r="AC376" s="3710"/>
    </row>
    <row r="377" spans="1:29">
      <c r="A377" s="3710"/>
      <c r="B377" s="3710"/>
      <c r="C377" s="3710"/>
      <c r="D377" s="3710"/>
      <c r="E377" s="3710"/>
      <c r="F377" s="3710"/>
      <c r="G377" s="3710"/>
      <c r="H377" s="3710"/>
      <c r="I377" s="3710"/>
      <c r="J377" s="3710"/>
      <c r="K377" s="3711"/>
      <c r="L377" s="3712"/>
      <c r="M377" s="3710"/>
      <c r="N377" s="3710"/>
      <c r="O377" s="3710"/>
      <c r="P377" s="3752"/>
      <c r="Q377" s="3710"/>
      <c r="R377" s="3710"/>
      <c r="S377" s="3710"/>
      <c r="T377" s="3710"/>
      <c r="U377" s="3710"/>
      <c r="V377" s="3710"/>
      <c r="W377" s="3710"/>
      <c r="X377" s="3710"/>
      <c r="Y377" s="3710"/>
      <c r="Z377" s="3710"/>
      <c r="AA377" s="3710"/>
      <c r="AB377" s="3710"/>
      <c r="AC377" s="3710"/>
    </row>
    <row r="378" spans="1:29">
      <c r="A378" s="3710"/>
      <c r="B378" s="3710"/>
      <c r="C378" s="3710"/>
      <c r="D378" s="3710"/>
      <c r="E378" s="3710"/>
      <c r="F378" s="3710"/>
      <c r="G378" s="3710"/>
      <c r="H378" s="3710"/>
      <c r="I378" s="3710"/>
      <c r="J378" s="3710"/>
      <c r="K378" s="3711"/>
      <c r="L378" s="3712"/>
      <c r="M378" s="3710"/>
      <c r="N378" s="3710"/>
      <c r="O378" s="3710"/>
      <c r="P378" s="3752"/>
      <c r="Q378" s="3710"/>
      <c r="R378" s="3710"/>
      <c r="S378" s="3710"/>
      <c r="T378" s="3710"/>
      <c r="U378" s="3710"/>
      <c r="V378" s="3710"/>
      <c r="W378" s="3710"/>
      <c r="X378" s="3710"/>
      <c r="Y378" s="3710"/>
      <c r="Z378" s="3710"/>
      <c r="AA378" s="3710"/>
      <c r="AB378" s="3710"/>
      <c r="AC378" s="3710"/>
    </row>
    <row r="379" spans="1:29">
      <c r="A379" s="3710"/>
      <c r="B379" s="3710"/>
      <c r="C379" s="3710"/>
      <c r="D379" s="3710"/>
      <c r="E379" s="3710"/>
      <c r="F379" s="3710"/>
      <c r="G379" s="3710"/>
      <c r="H379" s="3710"/>
      <c r="I379" s="3710"/>
      <c r="J379" s="3710"/>
      <c r="K379" s="3711"/>
      <c r="L379" s="3712"/>
      <c r="M379" s="3710"/>
      <c r="N379" s="3710"/>
      <c r="O379" s="3710"/>
      <c r="P379" s="3752"/>
      <c r="Q379" s="3710"/>
      <c r="R379" s="3710"/>
      <c r="S379" s="3710"/>
      <c r="T379" s="3710"/>
      <c r="U379" s="3710"/>
      <c r="V379" s="3710"/>
      <c r="W379" s="3710"/>
      <c r="X379" s="3710"/>
      <c r="Y379" s="3710"/>
      <c r="Z379" s="3710"/>
      <c r="AA379" s="3710"/>
      <c r="AB379" s="3710"/>
      <c r="AC379" s="3710"/>
    </row>
    <row r="380" spans="1:29">
      <c r="A380" s="3710"/>
      <c r="B380" s="3710"/>
      <c r="C380" s="3710"/>
      <c r="D380" s="3710"/>
      <c r="E380" s="3710"/>
      <c r="F380" s="3710"/>
      <c r="G380" s="3710"/>
      <c r="H380" s="3710"/>
      <c r="I380" s="3710"/>
      <c r="J380" s="3710"/>
      <c r="K380" s="3711"/>
      <c r="L380" s="3712"/>
      <c r="M380" s="3710"/>
      <c r="N380" s="3710"/>
      <c r="O380" s="3710"/>
      <c r="P380" s="3752"/>
      <c r="Q380" s="3710"/>
      <c r="R380" s="3710"/>
      <c r="S380" s="3710"/>
      <c r="T380" s="3710"/>
      <c r="U380" s="3710"/>
      <c r="V380" s="3710"/>
      <c r="W380" s="3710"/>
      <c r="X380" s="3710"/>
      <c r="Y380" s="3710"/>
      <c r="Z380" s="3710"/>
      <c r="AA380" s="3710"/>
      <c r="AB380" s="3710"/>
      <c r="AC380" s="3710"/>
    </row>
    <row r="381" spans="1:29">
      <c r="A381" s="3710"/>
      <c r="B381" s="3710"/>
      <c r="C381" s="3710"/>
      <c r="D381" s="3710"/>
      <c r="E381" s="3710"/>
      <c r="F381" s="3710"/>
      <c r="G381" s="3710"/>
      <c r="H381" s="3710"/>
      <c r="I381" s="3710"/>
      <c r="J381" s="3710"/>
      <c r="K381" s="3711"/>
      <c r="L381" s="3712"/>
      <c r="M381" s="3710"/>
      <c r="N381" s="3710"/>
      <c r="O381" s="3710"/>
      <c r="P381" s="3752"/>
      <c r="Q381" s="3710"/>
      <c r="R381" s="3710"/>
      <c r="S381" s="3710"/>
      <c r="T381" s="3710"/>
      <c r="U381" s="3710"/>
      <c r="V381" s="3710"/>
      <c r="W381" s="3710"/>
      <c r="X381" s="3710"/>
      <c r="Y381" s="3710"/>
      <c r="Z381" s="3710"/>
      <c r="AA381" s="3710"/>
      <c r="AB381" s="3710"/>
      <c r="AC381" s="3710"/>
    </row>
    <row r="382" spans="1:29">
      <c r="A382" s="3710"/>
      <c r="B382" s="3710"/>
      <c r="C382" s="3710"/>
      <c r="D382" s="3710"/>
      <c r="E382" s="3710"/>
      <c r="F382" s="3710"/>
      <c r="G382" s="3710"/>
      <c r="H382" s="3710"/>
      <c r="I382" s="3710"/>
      <c r="J382" s="3710"/>
      <c r="K382" s="3711"/>
      <c r="L382" s="3712"/>
      <c r="M382" s="3710"/>
      <c r="N382" s="3710"/>
      <c r="O382" s="3710"/>
      <c r="P382" s="3752"/>
      <c r="Q382" s="3710"/>
      <c r="R382" s="3710"/>
      <c r="S382" s="3710"/>
      <c r="T382" s="3710"/>
      <c r="U382" s="3710"/>
      <c r="V382" s="3710"/>
      <c r="W382" s="3710"/>
      <c r="X382" s="3710"/>
      <c r="Y382" s="3710"/>
      <c r="Z382" s="3710"/>
      <c r="AA382" s="3710"/>
      <c r="AB382" s="3710"/>
      <c r="AC382" s="3710"/>
    </row>
    <row r="383" spans="1:29">
      <c r="A383" s="3710"/>
      <c r="B383" s="3710"/>
      <c r="C383" s="3710"/>
      <c r="D383" s="3710"/>
      <c r="E383" s="3710"/>
      <c r="F383" s="3710"/>
      <c r="G383" s="3710"/>
      <c r="H383" s="3710"/>
      <c r="I383" s="3710"/>
      <c r="J383" s="3710"/>
      <c r="K383" s="3711"/>
      <c r="L383" s="3712"/>
      <c r="M383" s="3710"/>
      <c r="N383" s="3710"/>
      <c r="O383" s="3710"/>
      <c r="P383" s="3752"/>
      <c r="Q383" s="3710"/>
      <c r="R383" s="3710"/>
      <c r="S383" s="3710"/>
      <c r="T383" s="3710"/>
      <c r="U383" s="3710"/>
      <c r="V383" s="3710"/>
      <c r="W383" s="3710"/>
      <c r="X383" s="3710"/>
      <c r="Y383" s="3710"/>
      <c r="Z383" s="3710"/>
      <c r="AA383" s="3710"/>
      <c r="AB383" s="3710"/>
      <c r="AC383" s="3710"/>
    </row>
    <row r="384" spans="1:29">
      <c r="A384" s="3710"/>
      <c r="B384" s="3710"/>
      <c r="C384" s="3710"/>
      <c r="D384" s="3710"/>
      <c r="E384" s="3710"/>
      <c r="F384" s="3710"/>
      <c r="G384" s="3710"/>
      <c r="H384" s="3710"/>
      <c r="I384" s="3710"/>
      <c r="J384" s="3710"/>
      <c r="K384" s="3711"/>
      <c r="L384" s="3712"/>
      <c r="M384" s="3710"/>
      <c r="N384" s="3710"/>
      <c r="O384" s="3710"/>
      <c r="P384" s="3752"/>
      <c r="Q384" s="3710"/>
      <c r="R384" s="3710"/>
      <c r="S384" s="3710"/>
      <c r="T384" s="3710"/>
      <c r="U384" s="3710"/>
      <c r="V384" s="3710"/>
      <c r="W384" s="3710"/>
      <c r="X384" s="3710"/>
      <c r="Y384" s="3710"/>
      <c r="Z384" s="3710"/>
      <c r="AA384" s="3710"/>
      <c r="AB384" s="3710"/>
      <c r="AC384" s="3710"/>
    </row>
    <row r="385" spans="1:29">
      <c r="A385" s="3710"/>
      <c r="B385" s="3710"/>
      <c r="C385" s="3710"/>
      <c r="D385" s="3710"/>
      <c r="E385" s="3710"/>
      <c r="F385" s="3710"/>
      <c r="G385" s="3710"/>
      <c r="H385" s="3710"/>
      <c r="I385" s="3710"/>
      <c r="J385" s="3710"/>
      <c r="K385" s="3711"/>
      <c r="L385" s="3712"/>
      <c r="M385" s="3710"/>
      <c r="N385" s="3710"/>
      <c r="O385" s="3710"/>
      <c r="P385" s="3752"/>
      <c r="Q385" s="3710"/>
      <c r="R385" s="3710"/>
      <c r="S385" s="3710"/>
      <c r="T385" s="3710"/>
      <c r="U385" s="3710"/>
      <c r="V385" s="3710"/>
      <c r="W385" s="3710"/>
      <c r="X385" s="3710"/>
      <c r="Y385" s="3710"/>
      <c r="Z385" s="3710"/>
      <c r="AA385" s="3710"/>
      <c r="AB385" s="3710"/>
      <c r="AC385" s="3710"/>
    </row>
    <row r="386" spans="1:29">
      <c r="A386" s="3710"/>
      <c r="B386" s="3710"/>
      <c r="C386" s="3710"/>
      <c r="D386" s="3710"/>
      <c r="E386" s="3710"/>
      <c r="F386" s="3710"/>
      <c r="G386" s="3710"/>
      <c r="H386" s="3710"/>
      <c r="I386" s="3710"/>
      <c r="J386" s="3710"/>
      <c r="K386" s="3711"/>
      <c r="L386" s="3712"/>
      <c r="M386" s="3710"/>
      <c r="N386" s="3710"/>
      <c r="O386" s="3710"/>
      <c r="P386" s="3752"/>
      <c r="Q386" s="3710"/>
      <c r="R386" s="3710"/>
      <c r="S386" s="3710"/>
      <c r="T386" s="3710"/>
      <c r="U386" s="3710"/>
      <c r="V386" s="3710"/>
      <c r="W386" s="3710"/>
      <c r="X386" s="3710"/>
      <c r="Y386" s="3710"/>
      <c r="Z386" s="3710"/>
      <c r="AA386" s="3710"/>
      <c r="AB386" s="3710"/>
      <c r="AC386" s="3710"/>
    </row>
    <row r="387" spans="1:29">
      <c r="A387" s="3710"/>
      <c r="B387" s="3710"/>
      <c r="C387" s="3710"/>
      <c r="D387" s="3710"/>
      <c r="E387" s="3710"/>
      <c r="F387" s="3710"/>
      <c r="G387" s="3710"/>
      <c r="H387" s="3710"/>
      <c r="I387" s="3710"/>
      <c r="J387" s="3710"/>
      <c r="K387" s="3711"/>
      <c r="L387" s="3712"/>
      <c r="M387" s="3710"/>
      <c r="N387" s="3710"/>
      <c r="O387" s="3710"/>
      <c r="P387" s="3752"/>
      <c r="Q387" s="3710"/>
      <c r="R387" s="3710"/>
      <c r="S387" s="3710"/>
      <c r="T387" s="3710"/>
      <c r="U387" s="3710"/>
      <c r="V387" s="3710"/>
      <c r="W387" s="3710"/>
      <c r="X387" s="3710"/>
      <c r="Y387" s="3710"/>
      <c r="Z387" s="3710"/>
      <c r="AA387" s="3710"/>
      <c r="AB387" s="3710"/>
      <c r="AC387" s="3710"/>
    </row>
    <row r="388" spans="1:29">
      <c r="A388" s="3710"/>
      <c r="B388" s="3710"/>
      <c r="C388" s="3710"/>
      <c r="D388" s="3710"/>
      <c r="E388" s="3710"/>
      <c r="F388" s="3710"/>
      <c r="G388" s="3710"/>
      <c r="H388" s="3710"/>
      <c r="I388" s="3710"/>
      <c r="J388" s="3710"/>
      <c r="K388" s="3711"/>
      <c r="L388" s="3712"/>
      <c r="M388" s="3710"/>
      <c r="N388" s="3710"/>
      <c r="O388" s="3710"/>
      <c r="P388" s="3752"/>
      <c r="Q388" s="3710"/>
      <c r="R388" s="3710"/>
      <c r="S388" s="3710"/>
      <c r="T388" s="3710"/>
      <c r="U388" s="3710"/>
      <c r="V388" s="3710"/>
      <c r="W388" s="3710"/>
      <c r="X388" s="3710"/>
      <c r="Y388" s="3710"/>
      <c r="Z388" s="3710"/>
      <c r="AA388" s="3710"/>
      <c r="AB388" s="3710"/>
      <c r="AC388" s="3710"/>
    </row>
    <row r="389" spans="1:29">
      <c r="A389" s="3710"/>
      <c r="B389" s="3710"/>
      <c r="C389" s="3710"/>
      <c r="D389" s="3710"/>
      <c r="E389" s="3710"/>
      <c r="F389" s="3710"/>
      <c r="G389" s="3710"/>
      <c r="H389" s="3710"/>
      <c r="I389" s="3710"/>
      <c r="J389" s="3710"/>
      <c r="K389" s="3711"/>
      <c r="L389" s="3712"/>
      <c r="M389" s="3710"/>
      <c r="N389" s="3710"/>
      <c r="O389" s="3710"/>
      <c r="P389" s="3752"/>
      <c r="Q389" s="3710"/>
      <c r="R389" s="3710"/>
      <c r="S389" s="3710"/>
      <c r="T389" s="3710"/>
      <c r="U389" s="3710"/>
      <c r="V389" s="3710"/>
      <c r="W389" s="3710"/>
      <c r="X389" s="3710"/>
      <c r="Y389" s="3710"/>
      <c r="Z389" s="3710"/>
      <c r="AA389" s="3710"/>
      <c r="AB389" s="3710"/>
      <c r="AC389" s="3710"/>
    </row>
    <row r="390" spans="1:29">
      <c r="A390" s="3710"/>
      <c r="B390" s="3710"/>
      <c r="C390" s="3710"/>
      <c r="D390" s="3710"/>
      <c r="E390" s="3710"/>
      <c r="F390" s="3710"/>
      <c r="G390" s="3710"/>
      <c r="H390" s="3710"/>
      <c r="I390" s="3710"/>
      <c r="J390" s="3710"/>
      <c r="K390" s="3711"/>
      <c r="L390" s="3712"/>
      <c r="M390" s="3710"/>
      <c r="N390" s="3710"/>
      <c r="O390" s="3710"/>
      <c r="P390" s="3752"/>
      <c r="Q390" s="3710"/>
      <c r="R390" s="3710"/>
      <c r="S390" s="3710"/>
      <c r="T390" s="3710"/>
      <c r="U390" s="3710"/>
      <c r="V390" s="3710"/>
      <c r="W390" s="3710"/>
      <c r="X390" s="3710"/>
      <c r="Y390" s="3710"/>
      <c r="Z390" s="3710"/>
      <c r="AA390" s="3710"/>
      <c r="AB390" s="3710"/>
      <c r="AC390" s="3710"/>
    </row>
    <row r="391" spans="1:29">
      <c r="A391" s="3710"/>
      <c r="B391" s="3710"/>
      <c r="C391" s="3710"/>
      <c r="D391" s="3710"/>
      <c r="E391" s="3710"/>
      <c r="F391" s="3710"/>
      <c r="G391" s="3710"/>
      <c r="H391" s="3710"/>
      <c r="I391" s="3710"/>
      <c r="J391" s="3710"/>
      <c r="K391" s="3711"/>
      <c r="L391" s="3712"/>
      <c r="M391" s="3710"/>
      <c r="N391" s="3710"/>
      <c r="O391" s="3710"/>
      <c r="P391" s="3752"/>
      <c r="Q391" s="3710"/>
      <c r="R391" s="3710"/>
      <c r="S391" s="3710"/>
      <c r="T391" s="3710"/>
      <c r="U391" s="3710"/>
      <c r="V391" s="3710"/>
      <c r="W391" s="3710"/>
      <c r="X391" s="3710"/>
      <c r="Y391" s="3710"/>
      <c r="Z391" s="3710"/>
      <c r="AA391" s="3710"/>
      <c r="AB391" s="3710"/>
      <c r="AC391" s="3710"/>
    </row>
    <row r="392" spans="1:29">
      <c r="A392" s="3710"/>
      <c r="B392" s="3710"/>
      <c r="C392" s="3710"/>
      <c r="D392" s="3710"/>
      <c r="E392" s="3710"/>
      <c r="F392" s="3710"/>
      <c r="G392" s="3710"/>
      <c r="H392" s="3710"/>
      <c r="I392" s="3710"/>
      <c r="J392" s="3710"/>
      <c r="K392" s="3711"/>
      <c r="L392" s="3712"/>
      <c r="M392" s="3710"/>
      <c r="N392" s="3710"/>
      <c r="O392" s="3710"/>
      <c r="P392" s="3752"/>
      <c r="Q392" s="3710"/>
      <c r="R392" s="3710"/>
      <c r="S392" s="3710"/>
      <c r="T392" s="3710"/>
      <c r="U392" s="3710"/>
      <c r="V392" s="3710"/>
      <c r="W392" s="3710"/>
      <c r="X392" s="3710"/>
      <c r="Y392" s="3710"/>
      <c r="Z392" s="3710"/>
      <c r="AA392" s="3710"/>
      <c r="AB392" s="3710"/>
      <c r="AC392" s="3710"/>
    </row>
    <row r="393" spans="1:29">
      <c r="A393" s="3710"/>
      <c r="B393" s="3710"/>
      <c r="C393" s="3710"/>
      <c r="D393" s="3710"/>
      <c r="E393" s="3710"/>
      <c r="F393" s="3710"/>
      <c r="G393" s="3710"/>
      <c r="H393" s="3710"/>
      <c r="I393" s="3710"/>
      <c r="J393" s="3710"/>
      <c r="K393" s="3711"/>
      <c r="L393" s="3712"/>
      <c r="M393" s="3710"/>
      <c r="N393" s="3710"/>
      <c r="O393" s="3710"/>
      <c r="P393" s="3752"/>
      <c r="Q393" s="3710"/>
      <c r="R393" s="3710"/>
      <c r="S393" s="3710"/>
      <c r="T393" s="3710"/>
      <c r="U393" s="3710"/>
      <c r="V393" s="3710"/>
      <c r="W393" s="3710"/>
      <c r="X393" s="3710"/>
      <c r="Y393" s="3710"/>
      <c r="Z393" s="3710"/>
      <c r="AA393" s="3710"/>
      <c r="AB393" s="3710"/>
      <c r="AC393" s="3710"/>
    </row>
    <row r="394" spans="1:29">
      <c r="A394" s="3710"/>
      <c r="B394" s="3710"/>
      <c r="C394" s="3710"/>
      <c r="D394" s="3710"/>
      <c r="E394" s="3710"/>
      <c r="F394" s="3710"/>
      <c r="G394" s="3710"/>
      <c r="H394" s="3710"/>
      <c r="I394" s="3710"/>
      <c r="J394" s="3710"/>
      <c r="K394" s="3711"/>
      <c r="L394" s="3712"/>
      <c r="M394" s="3710"/>
      <c r="N394" s="3710"/>
      <c r="O394" s="3710"/>
      <c r="P394" s="3752"/>
      <c r="Q394" s="3710"/>
      <c r="R394" s="3710"/>
      <c r="S394" s="3710"/>
      <c r="T394" s="3710"/>
      <c r="U394" s="3710"/>
      <c r="V394" s="3710"/>
      <c r="W394" s="3710"/>
      <c r="X394" s="3710"/>
      <c r="Y394" s="3710"/>
      <c r="Z394" s="3710"/>
      <c r="AA394" s="3710"/>
      <c r="AB394" s="3710"/>
      <c r="AC394" s="3710"/>
    </row>
    <row r="395" spans="1:29">
      <c r="A395" s="3710"/>
      <c r="B395" s="3710"/>
      <c r="C395" s="3710"/>
      <c r="D395" s="3710"/>
      <c r="E395" s="3710"/>
      <c r="F395" s="3710"/>
      <c r="G395" s="3710"/>
      <c r="H395" s="3710"/>
      <c r="I395" s="3710"/>
      <c r="J395" s="3710"/>
      <c r="K395" s="3711"/>
      <c r="L395" s="3712"/>
      <c r="M395" s="3710"/>
      <c r="N395" s="3710"/>
      <c r="O395" s="3710"/>
      <c r="P395" s="3752"/>
      <c r="Q395" s="3710"/>
      <c r="R395" s="3710"/>
      <c r="S395" s="3710"/>
      <c r="T395" s="3710"/>
      <c r="U395" s="3710"/>
      <c r="V395" s="3710"/>
      <c r="W395" s="3710"/>
      <c r="X395" s="3710"/>
      <c r="Y395" s="3710"/>
      <c r="Z395" s="3710"/>
      <c r="AA395" s="3710"/>
      <c r="AB395" s="3710"/>
      <c r="AC395" s="3710"/>
    </row>
    <row r="396" spans="1:29">
      <c r="A396" s="3710"/>
      <c r="B396" s="3710"/>
      <c r="C396" s="3710"/>
      <c r="D396" s="3710"/>
      <c r="E396" s="3710"/>
      <c r="F396" s="3710"/>
      <c r="G396" s="3710"/>
      <c r="H396" s="3710"/>
      <c r="I396" s="3710"/>
      <c r="J396" s="3710"/>
      <c r="K396" s="3711"/>
      <c r="L396" s="3712"/>
      <c r="M396" s="3710"/>
      <c r="N396" s="3710"/>
      <c r="O396" s="3710"/>
      <c r="P396" s="3752"/>
      <c r="Q396" s="3710"/>
      <c r="R396" s="3710"/>
      <c r="S396" s="3710"/>
      <c r="T396" s="3710"/>
      <c r="U396" s="3710"/>
      <c r="V396" s="3710"/>
      <c r="W396" s="3710"/>
      <c r="X396" s="3710"/>
      <c r="Y396" s="3710"/>
      <c r="Z396" s="3710"/>
      <c r="AA396" s="3710"/>
      <c r="AB396" s="3710"/>
      <c r="AC396" s="3710"/>
    </row>
    <row r="397" spans="1:29">
      <c r="A397" s="3710"/>
      <c r="B397" s="3710"/>
      <c r="C397" s="3710"/>
      <c r="D397" s="3710"/>
      <c r="E397" s="3710"/>
      <c r="F397" s="3710"/>
      <c r="G397" s="3710"/>
      <c r="H397" s="3710"/>
      <c r="I397" s="3710"/>
      <c r="J397" s="3710"/>
      <c r="K397" s="3711"/>
      <c r="L397" s="3712"/>
      <c r="M397" s="3710"/>
      <c r="N397" s="3710"/>
      <c r="O397" s="3710"/>
      <c r="P397" s="3752"/>
      <c r="Q397" s="3710"/>
      <c r="R397" s="3710"/>
      <c r="S397" s="3710"/>
      <c r="T397" s="3710"/>
      <c r="U397" s="3710"/>
      <c r="V397" s="3710"/>
      <c r="W397" s="3710"/>
      <c r="X397" s="3710"/>
      <c r="Y397" s="3710"/>
      <c r="Z397" s="3710"/>
      <c r="AA397" s="3710"/>
      <c r="AB397" s="3710"/>
      <c r="AC397" s="3710"/>
    </row>
    <row r="398" spans="1:29">
      <c r="A398" s="3710"/>
      <c r="B398" s="3710"/>
      <c r="C398" s="3710"/>
      <c r="D398" s="3710"/>
      <c r="E398" s="3710"/>
      <c r="F398" s="3710"/>
      <c r="G398" s="3710"/>
      <c r="H398" s="3710"/>
      <c r="I398" s="3710"/>
      <c r="J398" s="3710"/>
      <c r="K398" s="3711"/>
      <c r="L398" s="3712"/>
      <c r="M398" s="3710"/>
      <c r="N398" s="3710"/>
      <c r="O398" s="3710"/>
      <c r="P398" s="3752"/>
      <c r="Q398" s="3710"/>
      <c r="R398" s="3710"/>
      <c r="S398" s="3710"/>
      <c r="T398" s="3710"/>
      <c r="U398" s="3710"/>
      <c r="V398" s="3710"/>
      <c r="W398" s="3710"/>
      <c r="X398" s="3710"/>
      <c r="Y398" s="3710"/>
      <c r="Z398" s="3710"/>
      <c r="AA398" s="3710"/>
      <c r="AB398" s="3710"/>
      <c r="AC398" s="3710"/>
    </row>
    <row r="399" spans="1:29">
      <c r="A399" s="3710"/>
      <c r="B399" s="3710"/>
      <c r="C399" s="3710"/>
      <c r="D399" s="3710"/>
      <c r="E399" s="3710"/>
      <c r="F399" s="3710"/>
      <c r="G399" s="3710"/>
      <c r="H399" s="3710"/>
      <c r="I399" s="3710"/>
      <c r="J399" s="3710"/>
      <c r="K399" s="3711"/>
      <c r="L399" s="3712"/>
      <c r="M399" s="3710"/>
      <c r="N399" s="3710"/>
      <c r="O399" s="3710"/>
      <c r="P399" s="3752"/>
      <c r="Q399" s="3710"/>
      <c r="R399" s="3710"/>
      <c r="S399" s="3710"/>
      <c r="T399" s="3710"/>
      <c r="U399" s="3710"/>
      <c r="V399" s="3710"/>
      <c r="W399" s="3710"/>
      <c r="X399" s="3710"/>
      <c r="Y399" s="3710"/>
      <c r="Z399" s="3710"/>
      <c r="AA399" s="3710"/>
      <c r="AB399" s="3710"/>
      <c r="AC399" s="3710"/>
    </row>
    <row r="400" spans="1:29">
      <c r="A400" s="3710"/>
      <c r="B400" s="3710"/>
      <c r="C400" s="3710"/>
      <c r="D400" s="3710"/>
      <c r="E400" s="3710"/>
      <c r="F400" s="3710"/>
      <c r="G400" s="3710"/>
      <c r="H400" s="3710"/>
      <c r="I400" s="3710"/>
      <c r="J400" s="3710"/>
      <c r="K400" s="3711"/>
      <c r="L400" s="3712"/>
      <c r="M400" s="3710"/>
      <c r="N400" s="3710"/>
      <c r="O400" s="3710"/>
      <c r="P400" s="3752"/>
      <c r="Q400" s="3710"/>
      <c r="R400" s="3710"/>
      <c r="S400" s="3710"/>
      <c r="T400" s="3710"/>
      <c r="U400" s="3710"/>
      <c r="V400" s="3710"/>
      <c r="W400" s="3710"/>
      <c r="X400" s="3710"/>
      <c r="Y400" s="3710"/>
      <c r="Z400" s="3710"/>
      <c r="AA400" s="3710"/>
      <c r="AB400" s="3710"/>
      <c r="AC400" s="3710"/>
    </row>
    <row r="401" spans="1:29">
      <c r="A401" s="3710"/>
      <c r="B401" s="3710"/>
      <c r="C401" s="3710"/>
      <c r="D401" s="3710"/>
      <c r="E401" s="3710"/>
      <c r="F401" s="3710"/>
      <c r="G401" s="3710"/>
      <c r="H401" s="3710"/>
      <c r="I401" s="3710"/>
      <c r="J401" s="3710"/>
      <c r="K401" s="3711"/>
      <c r="L401" s="3712"/>
      <c r="M401" s="3710"/>
      <c r="N401" s="3710"/>
      <c r="O401" s="3710"/>
      <c r="P401" s="3752"/>
      <c r="Q401" s="3710"/>
      <c r="R401" s="3710"/>
      <c r="S401" s="3710"/>
      <c r="T401" s="3710"/>
      <c r="U401" s="3710"/>
      <c r="V401" s="3710"/>
      <c r="W401" s="3710"/>
      <c r="X401" s="3710"/>
      <c r="Y401" s="3710"/>
      <c r="Z401" s="3710"/>
      <c r="AA401" s="3710"/>
      <c r="AB401" s="3710"/>
      <c r="AC401" s="3710"/>
    </row>
    <row r="402" spans="1:29">
      <c r="A402" s="3710"/>
      <c r="B402" s="3710"/>
      <c r="C402" s="3710"/>
      <c r="D402" s="3710"/>
      <c r="E402" s="3710"/>
      <c r="F402" s="3710"/>
      <c r="G402" s="3710"/>
      <c r="H402" s="3710"/>
      <c r="I402" s="3710"/>
      <c r="J402" s="3710"/>
      <c r="K402" s="3711"/>
      <c r="L402" s="3712"/>
      <c r="M402" s="3710"/>
      <c r="N402" s="3710"/>
      <c r="O402" s="3710"/>
      <c r="P402" s="3752"/>
      <c r="Q402" s="3710"/>
      <c r="R402" s="3710"/>
      <c r="S402" s="3710"/>
      <c r="T402" s="3710"/>
      <c r="U402" s="3710"/>
      <c r="V402" s="3710"/>
      <c r="W402" s="3710"/>
      <c r="X402" s="3710"/>
      <c r="Y402" s="3710"/>
      <c r="Z402" s="3710"/>
      <c r="AA402" s="3710"/>
      <c r="AB402" s="3710"/>
      <c r="AC402" s="3710"/>
    </row>
    <row r="403" spans="1:29">
      <c r="A403" s="3710"/>
      <c r="B403" s="3710"/>
      <c r="C403" s="3710"/>
      <c r="D403" s="3710"/>
      <c r="E403" s="3710"/>
      <c r="F403" s="3710"/>
      <c r="G403" s="3710"/>
      <c r="H403" s="3710"/>
      <c r="I403" s="3710"/>
      <c r="J403" s="3710"/>
      <c r="K403" s="3711"/>
      <c r="L403" s="3712"/>
      <c r="M403" s="3710"/>
      <c r="N403" s="3710"/>
      <c r="O403" s="3710"/>
      <c r="P403" s="3752"/>
      <c r="Q403" s="3710"/>
      <c r="R403" s="3710"/>
      <c r="S403" s="3710"/>
      <c r="T403" s="3710"/>
      <c r="U403" s="3710"/>
      <c r="V403" s="3710"/>
      <c r="W403" s="3710"/>
      <c r="X403" s="3710"/>
      <c r="Y403" s="3710"/>
      <c r="Z403" s="3710"/>
      <c r="AA403" s="3710"/>
      <c r="AB403" s="3710"/>
      <c r="AC403" s="3710"/>
    </row>
    <row r="404" spans="1:29">
      <c r="A404" s="3710"/>
      <c r="B404" s="3710"/>
      <c r="C404" s="3710"/>
      <c r="D404" s="3710"/>
      <c r="E404" s="3710"/>
      <c r="F404" s="3710"/>
      <c r="G404" s="3710"/>
      <c r="H404" s="3710"/>
      <c r="I404" s="3710"/>
      <c r="J404" s="3710"/>
      <c r="K404" s="3711"/>
      <c r="L404" s="3712"/>
      <c r="M404" s="3710"/>
      <c r="N404" s="3710"/>
      <c r="O404" s="3710"/>
      <c r="P404" s="3752"/>
      <c r="Q404" s="3710"/>
      <c r="R404" s="3710"/>
      <c r="S404" s="3710"/>
      <c r="T404" s="3710"/>
      <c r="U404" s="3710"/>
      <c r="V404" s="3710"/>
      <c r="W404" s="3710"/>
      <c r="X404" s="3710"/>
      <c r="Y404" s="3710"/>
      <c r="Z404" s="3710"/>
      <c r="AA404" s="3710"/>
      <c r="AB404" s="3710"/>
      <c r="AC404" s="3710"/>
    </row>
    <row r="405" spans="1:29">
      <c r="A405" s="3710"/>
      <c r="B405" s="3710"/>
      <c r="C405" s="3710"/>
      <c r="D405" s="3710"/>
      <c r="E405" s="3710"/>
      <c r="F405" s="3710"/>
      <c r="G405" s="3710"/>
      <c r="H405" s="3710"/>
      <c r="I405" s="3710"/>
      <c r="J405" s="3710"/>
      <c r="K405" s="3711"/>
      <c r="L405" s="3712"/>
      <c r="M405" s="3710"/>
      <c r="N405" s="3710"/>
      <c r="O405" s="3710"/>
      <c r="P405" s="3752"/>
      <c r="Q405" s="3710"/>
      <c r="R405" s="3710"/>
      <c r="S405" s="3710"/>
      <c r="T405" s="3710"/>
      <c r="U405" s="3710"/>
      <c r="V405" s="3710"/>
      <c r="W405" s="3710"/>
      <c r="X405" s="3710"/>
      <c r="Y405" s="3710"/>
      <c r="Z405" s="3710"/>
      <c r="AA405" s="3710"/>
      <c r="AB405" s="3710"/>
      <c r="AC405" s="3710"/>
    </row>
    <row r="406" spans="1:29">
      <c r="A406" s="3710"/>
      <c r="B406" s="3710"/>
      <c r="C406" s="3710"/>
      <c r="D406" s="3710"/>
      <c r="E406" s="3710"/>
      <c r="F406" s="3710"/>
      <c r="G406" s="3710"/>
      <c r="H406" s="3710"/>
      <c r="I406" s="3710"/>
      <c r="J406" s="3710"/>
      <c r="K406" s="3711"/>
      <c r="L406" s="3712"/>
      <c r="M406" s="3710"/>
      <c r="N406" s="3710"/>
      <c r="O406" s="3710"/>
      <c r="P406" s="3752"/>
      <c r="Q406" s="3710"/>
      <c r="R406" s="3710"/>
      <c r="S406" s="3710"/>
      <c r="T406" s="3710"/>
      <c r="U406" s="3710"/>
      <c r="V406" s="3710"/>
      <c r="W406" s="3710"/>
      <c r="X406" s="3710"/>
      <c r="Y406" s="3710"/>
      <c r="Z406" s="3710"/>
      <c r="AA406" s="3710"/>
      <c r="AB406" s="3710"/>
      <c r="AC406" s="3710"/>
    </row>
    <row r="407" spans="1:29">
      <c r="A407" s="3710"/>
      <c r="B407" s="3710"/>
      <c r="C407" s="3710"/>
      <c r="D407" s="3710"/>
      <c r="E407" s="3710"/>
      <c r="F407" s="3710"/>
      <c r="G407" s="3710"/>
      <c r="H407" s="3710"/>
      <c r="I407" s="3710"/>
      <c r="J407" s="3710"/>
      <c r="K407" s="3711"/>
      <c r="L407" s="3712"/>
      <c r="M407" s="3710"/>
      <c r="N407" s="3710"/>
      <c r="O407" s="3710"/>
      <c r="P407" s="3752"/>
      <c r="Q407" s="3710"/>
      <c r="R407" s="3710"/>
      <c r="S407" s="3710"/>
      <c r="T407" s="3710"/>
      <c r="U407" s="3710"/>
      <c r="V407" s="3710"/>
      <c r="W407" s="3710"/>
      <c r="X407" s="3710"/>
      <c r="Y407" s="3710"/>
      <c r="Z407" s="3710"/>
      <c r="AA407" s="3710"/>
      <c r="AB407" s="3710"/>
      <c r="AC407" s="3710"/>
    </row>
    <row r="408" spans="1:29">
      <c r="A408" s="3710"/>
      <c r="B408" s="3710"/>
      <c r="C408" s="3710"/>
      <c r="D408" s="3710"/>
      <c r="E408" s="3710"/>
      <c r="F408" s="3710"/>
      <c r="G408" s="3710"/>
      <c r="H408" s="3710"/>
      <c r="I408" s="3710"/>
      <c r="J408" s="3710"/>
      <c r="K408" s="3711"/>
      <c r="L408" s="3712"/>
      <c r="M408" s="3710"/>
      <c r="N408" s="3710"/>
      <c r="O408" s="3710"/>
      <c r="P408" s="3752"/>
      <c r="Q408" s="3710"/>
      <c r="R408" s="3710"/>
      <c r="S408" s="3710"/>
      <c r="T408" s="3710"/>
      <c r="U408" s="3710"/>
      <c r="V408" s="3710"/>
      <c r="W408" s="3710"/>
      <c r="X408" s="3710"/>
      <c r="Y408" s="3710"/>
      <c r="Z408" s="3710"/>
      <c r="AA408" s="3710"/>
      <c r="AB408" s="3710"/>
      <c r="AC408" s="3710"/>
    </row>
    <row r="409" spans="1:29">
      <c r="A409" s="3710"/>
      <c r="B409" s="3710"/>
      <c r="C409" s="3710"/>
      <c r="D409" s="3710"/>
      <c r="E409" s="3710"/>
      <c r="F409" s="3710"/>
      <c r="G409" s="3710"/>
      <c r="H409" s="3710"/>
      <c r="I409" s="3710"/>
      <c r="J409" s="3710"/>
      <c r="K409" s="3711"/>
      <c r="L409" s="3712"/>
      <c r="M409" s="3710"/>
      <c r="N409" s="3710"/>
      <c r="O409" s="3710"/>
      <c r="P409" s="3752"/>
      <c r="Q409" s="3710"/>
      <c r="R409" s="3710"/>
      <c r="S409" s="3710"/>
      <c r="T409" s="3710"/>
      <c r="U409" s="3710"/>
      <c r="V409" s="3710"/>
      <c r="W409" s="3710"/>
      <c r="X409" s="3710"/>
      <c r="Y409" s="3710"/>
      <c r="Z409" s="3710"/>
      <c r="AA409" s="3710"/>
      <c r="AB409" s="3710"/>
      <c r="AC409" s="3710"/>
    </row>
    <row r="410" spans="1:29">
      <c r="A410" s="3710"/>
      <c r="B410" s="3710"/>
      <c r="C410" s="3710"/>
      <c r="D410" s="3710"/>
      <c r="E410" s="3710"/>
      <c r="F410" s="3710"/>
      <c r="G410" s="3710"/>
      <c r="H410" s="3710"/>
      <c r="I410" s="3710"/>
      <c r="J410" s="3710"/>
      <c r="K410" s="3711"/>
      <c r="L410" s="3712"/>
      <c r="M410" s="3710"/>
      <c r="N410" s="3710"/>
      <c r="O410" s="3710"/>
      <c r="P410" s="3752"/>
      <c r="Q410" s="3710"/>
      <c r="R410" s="3710"/>
      <c r="S410" s="3710"/>
      <c r="T410" s="3710"/>
      <c r="U410" s="3710"/>
      <c r="V410" s="3710"/>
      <c r="W410" s="3710"/>
      <c r="X410" s="3710"/>
      <c r="Y410" s="3710"/>
      <c r="Z410" s="3710"/>
      <c r="AA410" s="3710"/>
      <c r="AB410" s="3710"/>
      <c r="AC410" s="3710"/>
    </row>
    <row r="411" spans="1:29">
      <c r="A411" s="3710"/>
      <c r="B411" s="3710"/>
      <c r="C411" s="3710"/>
      <c r="D411" s="3710"/>
      <c r="E411" s="3710"/>
      <c r="F411" s="3710"/>
      <c r="G411" s="3710"/>
      <c r="H411" s="3710"/>
      <c r="I411" s="3710"/>
      <c r="J411" s="3710"/>
      <c r="K411" s="3711"/>
      <c r="L411" s="3712"/>
      <c r="M411" s="3710"/>
      <c r="N411" s="3710"/>
      <c r="O411" s="3710"/>
      <c r="P411" s="3752"/>
      <c r="Q411" s="3710"/>
      <c r="R411" s="3710"/>
      <c r="S411" s="3710"/>
      <c r="T411" s="3710"/>
      <c r="U411" s="3710"/>
      <c r="V411" s="3710"/>
      <c r="W411" s="3710"/>
      <c r="X411" s="3710"/>
      <c r="Y411" s="3710"/>
      <c r="Z411" s="3710"/>
      <c r="AA411" s="3710"/>
      <c r="AB411" s="3710"/>
      <c r="AC411" s="3710"/>
    </row>
    <row r="412" spans="1:29">
      <c r="A412" s="3710"/>
      <c r="B412" s="3710"/>
      <c r="C412" s="3710"/>
      <c r="D412" s="3710"/>
      <c r="E412" s="3710"/>
      <c r="F412" s="3710"/>
      <c r="G412" s="3710"/>
      <c r="H412" s="3710"/>
      <c r="I412" s="3710"/>
      <c r="J412" s="3710"/>
      <c r="K412" s="3711"/>
      <c r="L412" s="3712"/>
      <c r="M412" s="3710"/>
      <c r="N412" s="3710"/>
      <c r="O412" s="3710"/>
      <c r="P412" s="3752"/>
      <c r="Q412" s="3710"/>
      <c r="R412" s="3710"/>
      <c r="S412" s="3710"/>
      <c r="T412" s="3710"/>
      <c r="U412" s="3710"/>
      <c r="V412" s="3710"/>
      <c r="W412" s="3710"/>
      <c r="X412" s="3710"/>
      <c r="Y412" s="3710"/>
      <c r="Z412" s="3710"/>
      <c r="AA412" s="3710"/>
      <c r="AB412" s="3710"/>
      <c r="AC412" s="3710"/>
    </row>
    <row r="413" spans="1:29">
      <c r="A413" s="3710"/>
      <c r="B413" s="3710"/>
      <c r="C413" s="3710"/>
      <c r="D413" s="3710"/>
      <c r="E413" s="3710"/>
      <c r="F413" s="3710"/>
      <c r="G413" s="3710"/>
      <c r="H413" s="3710"/>
      <c r="I413" s="3710"/>
      <c r="J413" s="3710"/>
      <c r="K413" s="3711"/>
      <c r="L413" s="3712"/>
      <c r="M413" s="3710"/>
      <c r="N413" s="3710"/>
      <c r="O413" s="3710"/>
      <c r="P413" s="3752"/>
      <c r="Q413" s="3710"/>
      <c r="R413" s="3710"/>
      <c r="S413" s="3710"/>
      <c r="T413" s="3710"/>
      <c r="U413" s="3710"/>
      <c r="V413" s="3710"/>
      <c r="W413" s="3710"/>
      <c r="X413" s="3710"/>
      <c r="Y413" s="3710"/>
      <c r="Z413" s="3710"/>
      <c r="AA413" s="3710"/>
      <c r="AB413" s="3710"/>
      <c r="AC413" s="3710"/>
    </row>
    <row r="414" spans="1:29">
      <c r="A414" s="3710"/>
      <c r="B414" s="3710"/>
      <c r="C414" s="3710"/>
      <c r="D414" s="3710"/>
      <c r="E414" s="3710"/>
      <c r="F414" s="3710"/>
      <c r="G414" s="3710"/>
      <c r="H414" s="3710"/>
      <c r="I414" s="3710"/>
      <c r="J414" s="3710"/>
      <c r="K414" s="3711"/>
      <c r="L414" s="3712"/>
      <c r="M414" s="3710"/>
      <c r="N414" s="3710"/>
      <c r="O414" s="3710"/>
      <c r="P414" s="3752"/>
      <c r="Q414" s="3710"/>
      <c r="R414" s="3710"/>
      <c r="S414" s="3710"/>
      <c r="T414" s="3710"/>
      <c r="U414" s="3710"/>
      <c r="V414" s="3710"/>
      <c r="W414" s="3710"/>
      <c r="X414" s="3710"/>
      <c r="Y414" s="3710"/>
      <c r="Z414" s="3710"/>
      <c r="AA414" s="3710"/>
      <c r="AB414" s="3710"/>
      <c r="AC414" s="3710"/>
    </row>
    <row r="415" spans="1:29">
      <c r="A415" s="3710"/>
      <c r="B415" s="3710"/>
      <c r="C415" s="3710"/>
      <c r="D415" s="3710"/>
      <c r="E415" s="3710"/>
      <c r="F415" s="3710"/>
      <c r="G415" s="3710"/>
      <c r="H415" s="3710"/>
      <c r="I415" s="3710"/>
      <c r="J415" s="3710"/>
      <c r="K415" s="3711"/>
      <c r="L415" s="3712"/>
      <c r="M415" s="3710"/>
      <c r="N415" s="3710"/>
      <c r="O415" s="3710"/>
      <c r="P415" s="3752"/>
      <c r="Q415" s="3710"/>
      <c r="R415" s="3710"/>
      <c r="S415" s="3710"/>
      <c r="T415" s="3710"/>
      <c r="U415" s="3710"/>
      <c r="V415" s="3710"/>
      <c r="W415" s="3710"/>
      <c r="X415" s="3710"/>
      <c r="Y415" s="3710"/>
      <c r="Z415" s="3710"/>
      <c r="AA415" s="3710"/>
      <c r="AB415" s="3710"/>
      <c r="AC415" s="3710"/>
    </row>
    <row r="416" spans="1:29">
      <c r="A416" s="3710"/>
      <c r="B416" s="3710"/>
      <c r="C416" s="3710"/>
      <c r="D416" s="3710"/>
      <c r="E416" s="3710"/>
      <c r="F416" s="3710"/>
      <c r="G416" s="3710"/>
      <c r="H416" s="3710"/>
      <c r="I416" s="3710"/>
      <c r="J416" s="3710"/>
      <c r="K416" s="3711"/>
      <c r="L416" s="3712"/>
      <c r="M416" s="3710"/>
      <c r="N416" s="3710"/>
      <c r="O416" s="3710"/>
      <c r="P416" s="3752"/>
      <c r="Q416" s="3710"/>
      <c r="R416" s="3710"/>
      <c r="S416" s="3710"/>
      <c r="T416" s="3710"/>
      <c r="U416" s="3710"/>
      <c r="V416" s="3710"/>
      <c r="W416" s="3710"/>
      <c r="X416" s="3710"/>
      <c r="Y416" s="3710"/>
      <c r="Z416" s="3710"/>
      <c r="AA416" s="3710"/>
      <c r="AB416" s="3710"/>
      <c r="AC416" s="3710"/>
    </row>
    <row r="417" spans="1:29">
      <c r="A417" s="3710"/>
      <c r="B417" s="3710"/>
      <c r="C417" s="3710"/>
      <c r="D417" s="3710"/>
      <c r="E417" s="3710"/>
      <c r="F417" s="3710"/>
      <c r="G417" s="3710"/>
      <c r="H417" s="3710"/>
      <c r="I417" s="3710"/>
      <c r="J417" s="3710"/>
      <c r="K417" s="3711"/>
      <c r="L417" s="3712"/>
      <c r="M417" s="3710"/>
      <c r="N417" s="3710"/>
      <c r="O417" s="3710"/>
      <c r="P417" s="3752"/>
      <c r="Q417" s="3710"/>
      <c r="R417" s="3710"/>
      <c r="S417" s="3710"/>
      <c r="T417" s="3710"/>
      <c r="U417" s="3710"/>
      <c r="V417" s="3710"/>
      <c r="W417" s="3710"/>
      <c r="X417" s="3710"/>
      <c r="Y417" s="3710"/>
      <c r="Z417" s="3710"/>
      <c r="AA417" s="3710"/>
      <c r="AB417" s="3710"/>
      <c r="AC417" s="3710"/>
    </row>
    <row r="418" spans="1:29">
      <c r="A418" s="3710"/>
      <c r="B418" s="3710"/>
      <c r="C418" s="3710"/>
      <c r="D418" s="3710"/>
      <c r="E418" s="3710"/>
      <c r="F418" s="3710"/>
      <c r="G418" s="3710"/>
      <c r="H418" s="3710"/>
      <c r="I418" s="3710"/>
      <c r="J418" s="3710"/>
      <c r="K418" s="3711"/>
      <c r="L418" s="3712"/>
      <c r="M418" s="3710"/>
      <c r="N418" s="3710"/>
      <c r="O418" s="3710"/>
      <c r="P418" s="3752"/>
      <c r="Q418" s="3710"/>
      <c r="R418" s="3710"/>
      <c r="S418" s="3710"/>
      <c r="T418" s="3710"/>
      <c r="U418" s="3710"/>
      <c r="V418" s="3710"/>
      <c r="W418" s="3710"/>
      <c r="X418" s="3710"/>
      <c r="Y418" s="3710"/>
      <c r="Z418" s="3710"/>
      <c r="AA418" s="3710"/>
      <c r="AB418" s="3710"/>
      <c r="AC418" s="3710"/>
    </row>
    <row r="419" spans="1:29">
      <c r="A419" s="3710"/>
      <c r="B419" s="3710"/>
      <c r="C419" s="3710"/>
      <c r="D419" s="3710"/>
      <c r="E419" s="3710"/>
      <c r="F419" s="3710"/>
      <c r="G419" s="3710"/>
      <c r="H419" s="3710"/>
      <c r="I419" s="3710"/>
      <c r="J419" s="3710"/>
      <c r="K419" s="3711"/>
      <c r="L419" s="3712"/>
      <c r="M419" s="3710"/>
      <c r="N419" s="3710"/>
      <c r="O419" s="3710"/>
      <c r="P419" s="3752"/>
      <c r="Q419" s="3710"/>
      <c r="R419" s="3710"/>
      <c r="S419" s="3710"/>
      <c r="T419" s="3710"/>
      <c r="U419" s="3710"/>
      <c r="V419" s="3710"/>
      <c r="W419" s="3710"/>
      <c r="X419" s="3710"/>
      <c r="Y419" s="3710"/>
      <c r="Z419" s="3710"/>
      <c r="AA419" s="3710"/>
      <c r="AB419" s="3710"/>
      <c r="AC419" s="3710"/>
    </row>
    <row r="420" spans="1:29">
      <c r="A420" s="3710"/>
      <c r="B420" s="3710"/>
      <c r="C420" s="3710"/>
      <c r="D420" s="3710"/>
      <c r="E420" s="3710"/>
      <c r="F420" s="3710"/>
      <c r="G420" s="3710"/>
      <c r="H420" s="3710"/>
      <c r="I420" s="3710"/>
      <c r="J420" s="3710"/>
      <c r="K420" s="3711"/>
      <c r="L420" s="3712"/>
      <c r="M420" s="3710"/>
      <c r="N420" s="3710"/>
      <c r="O420" s="3710"/>
      <c r="P420" s="3752"/>
      <c r="Q420" s="3710"/>
      <c r="R420" s="3710"/>
      <c r="S420" s="3710"/>
      <c r="T420" s="3710"/>
      <c r="U420" s="3710"/>
      <c r="V420" s="3710"/>
      <c r="W420" s="3710"/>
      <c r="X420" s="3710"/>
      <c r="Y420" s="3710"/>
      <c r="Z420" s="3710"/>
      <c r="AA420" s="3710"/>
      <c r="AB420" s="3710"/>
      <c r="AC420" s="3710"/>
    </row>
    <row r="421" spans="1:29">
      <c r="A421" s="3710"/>
      <c r="B421" s="3710"/>
      <c r="C421" s="3710"/>
      <c r="D421" s="3710"/>
      <c r="E421" s="3710"/>
      <c r="F421" s="3710"/>
      <c r="G421" s="3710"/>
      <c r="H421" s="3710"/>
      <c r="I421" s="3710"/>
      <c r="J421" s="3710"/>
      <c r="K421" s="3711"/>
      <c r="L421" s="3712"/>
      <c r="M421" s="3710"/>
      <c r="N421" s="3710"/>
      <c r="O421" s="3710"/>
      <c r="P421" s="3752"/>
      <c r="Q421" s="3710"/>
      <c r="R421" s="3710"/>
      <c r="S421" s="3710"/>
      <c r="T421" s="3710"/>
      <c r="U421" s="3710"/>
      <c r="V421" s="3710"/>
      <c r="W421" s="3710"/>
      <c r="X421" s="3710"/>
      <c r="Y421" s="3710"/>
      <c r="Z421" s="3710"/>
      <c r="AA421" s="3710"/>
      <c r="AB421" s="3710"/>
      <c r="AC421" s="3710"/>
    </row>
    <row r="422" spans="1:29">
      <c r="A422" s="3710"/>
      <c r="B422" s="3710"/>
      <c r="C422" s="3710"/>
      <c r="D422" s="3710"/>
      <c r="E422" s="3710"/>
      <c r="F422" s="3710"/>
      <c r="G422" s="3710"/>
      <c r="H422" s="3710"/>
      <c r="I422" s="3710"/>
      <c r="J422" s="3710"/>
      <c r="K422" s="3711"/>
      <c r="L422" s="3712"/>
      <c r="M422" s="3710"/>
      <c r="N422" s="3710"/>
      <c r="O422" s="3710"/>
      <c r="P422" s="3752"/>
      <c r="Q422" s="3710"/>
      <c r="R422" s="3710"/>
      <c r="S422" s="3710"/>
      <c r="T422" s="3710"/>
      <c r="U422" s="3710"/>
      <c r="V422" s="3710"/>
      <c r="W422" s="3710"/>
      <c r="X422" s="3710"/>
      <c r="Y422" s="3710"/>
      <c r="Z422" s="3710"/>
      <c r="AA422" s="3710"/>
      <c r="AB422" s="3710"/>
      <c r="AC422" s="3710"/>
    </row>
    <row r="423" spans="1:29">
      <c r="A423" s="3710"/>
      <c r="B423" s="3710"/>
      <c r="C423" s="3710"/>
      <c r="D423" s="3710"/>
      <c r="E423" s="3710"/>
      <c r="F423" s="3710"/>
      <c r="G423" s="3710"/>
      <c r="H423" s="3710"/>
      <c r="I423" s="3710"/>
      <c r="J423" s="3710"/>
      <c r="K423" s="3711"/>
      <c r="L423" s="3712"/>
      <c r="M423" s="3710"/>
      <c r="N423" s="3710"/>
      <c r="O423" s="3710"/>
      <c r="P423" s="3752"/>
      <c r="Q423" s="3710"/>
      <c r="R423" s="3710"/>
      <c r="S423" s="3710"/>
      <c r="T423" s="3710"/>
      <c r="U423" s="3710"/>
      <c r="V423" s="3710"/>
      <c r="W423" s="3710"/>
      <c r="X423" s="3710"/>
      <c r="Y423" s="3710"/>
      <c r="Z423" s="3710"/>
      <c r="AA423" s="3710"/>
      <c r="AB423" s="3710"/>
      <c r="AC423" s="3710"/>
    </row>
    <row r="424" spans="1:29">
      <c r="A424" s="3710"/>
      <c r="B424" s="3710"/>
      <c r="C424" s="3710"/>
      <c r="D424" s="3710"/>
      <c r="E424" s="3710"/>
      <c r="F424" s="3710"/>
      <c r="G424" s="3710"/>
      <c r="H424" s="3710"/>
      <c r="I424" s="3710"/>
      <c r="J424" s="3710"/>
      <c r="K424" s="3711"/>
      <c r="L424" s="3712"/>
      <c r="M424" s="3710"/>
      <c r="N424" s="3710"/>
      <c r="O424" s="3710"/>
      <c r="P424" s="3752"/>
      <c r="Q424" s="3710"/>
      <c r="R424" s="3710"/>
      <c r="S424" s="3710"/>
      <c r="T424" s="3710"/>
      <c r="U424" s="3710"/>
      <c r="V424" s="3710"/>
      <c r="W424" s="3710"/>
      <c r="X424" s="3710"/>
      <c r="Y424" s="3710"/>
      <c r="Z424" s="3710"/>
      <c r="AA424" s="3710"/>
      <c r="AB424" s="3710"/>
      <c r="AC424" s="3710"/>
    </row>
    <row r="425" spans="1:29">
      <c r="A425" s="3710"/>
      <c r="B425" s="3710"/>
      <c r="C425" s="3710"/>
      <c r="D425" s="3710"/>
      <c r="E425" s="3710"/>
      <c r="F425" s="3710"/>
      <c r="G425" s="3710"/>
      <c r="H425" s="3710"/>
      <c r="I425" s="3710"/>
      <c r="J425" s="3710"/>
      <c r="K425" s="3711"/>
      <c r="L425" s="3712"/>
      <c r="M425" s="3710"/>
      <c r="N425" s="3710"/>
      <c r="O425" s="3710"/>
      <c r="P425" s="3752"/>
      <c r="Q425" s="3710"/>
      <c r="R425" s="3710"/>
      <c r="S425" s="3710"/>
      <c r="T425" s="3710"/>
      <c r="U425" s="3710"/>
      <c r="V425" s="3710"/>
      <c r="W425" s="3710"/>
      <c r="X425" s="3710"/>
      <c r="Y425" s="3710"/>
      <c r="Z425" s="3710"/>
      <c r="AA425" s="3710"/>
      <c r="AB425" s="3710"/>
      <c r="AC425" s="3710"/>
    </row>
    <row r="426" spans="1:29">
      <c r="A426" s="3710"/>
      <c r="B426" s="3710"/>
      <c r="C426" s="3710"/>
      <c r="D426" s="3710"/>
      <c r="E426" s="3710"/>
      <c r="F426" s="3710"/>
      <c r="G426" s="3710"/>
      <c r="H426" s="3710"/>
      <c r="I426" s="3710"/>
      <c r="J426" s="3710"/>
      <c r="K426" s="3711"/>
      <c r="L426" s="3712"/>
      <c r="M426" s="3710"/>
      <c r="N426" s="3710"/>
      <c r="O426" s="3710"/>
      <c r="P426" s="3752"/>
      <c r="Q426" s="3710"/>
      <c r="R426" s="3710"/>
      <c r="S426" s="3710"/>
      <c r="T426" s="3710"/>
      <c r="U426" s="3710"/>
      <c r="V426" s="3710"/>
      <c r="W426" s="3710"/>
      <c r="X426" s="3710"/>
      <c r="Y426" s="3710"/>
      <c r="Z426" s="3710"/>
      <c r="AA426" s="3710"/>
      <c r="AB426" s="3710"/>
      <c r="AC426" s="3710"/>
    </row>
    <row r="427" spans="1:29">
      <c r="A427" s="3710"/>
      <c r="B427" s="3710"/>
      <c r="C427" s="3710"/>
      <c r="D427" s="3710"/>
      <c r="E427" s="3710"/>
      <c r="F427" s="3710"/>
      <c r="G427" s="3710"/>
      <c r="H427" s="3710"/>
      <c r="I427" s="3710"/>
      <c r="J427" s="3710"/>
      <c r="K427" s="3711"/>
      <c r="L427" s="3712"/>
      <c r="M427" s="3710"/>
      <c r="N427" s="3710"/>
      <c r="O427" s="3710"/>
      <c r="P427" s="3752"/>
      <c r="Q427" s="3710"/>
      <c r="R427" s="3710"/>
      <c r="S427" s="3710"/>
      <c r="T427" s="3710"/>
      <c r="U427" s="3710"/>
      <c r="V427" s="3710"/>
      <c r="W427" s="3710"/>
      <c r="X427" s="3710"/>
      <c r="Y427" s="3710"/>
      <c r="Z427" s="3710"/>
      <c r="AA427" s="3710"/>
      <c r="AB427" s="3710"/>
      <c r="AC427" s="3710"/>
    </row>
    <row r="428" spans="1:29">
      <c r="A428" s="3710"/>
      <c r="B428" s="3710"/>
      <c r="C428" s="3710"/>
      <c r="D428" s="3710"/>
      <c r="E428" s="3710"/>
      <c r="F428" s="3710"/>
      <c r="G428" s="3710"/>
      <c r="H428" s="3710"/>
      <c r="I428" s="3710"/>
      <c r="J428" s="3710"/>
      <c r="K428" s="3711"/>
      <c r="L428" s="3712"/>
      <c r="M428" s="3710"/>
      <c r="N428" s="3710"/>
      <c r="O428" s="3710"/>
      <c r="P428" s="3752"/>
      <c r="Q428" s="3710"/>
      <c r="R428" s="3710"/>
      <c r="S428" s="3710"/>
      <c r="T428" s="3710"/>
      <c r="U428" s="3710"/>
      <c r="V428" s="3710"/>
      <c r="W428" s="3710"/>
      <c r="X428" s="3710"/>
      <c r="Y428" s="3710"/>
      <c r="Z428" s="3710"/>
      <c r="AA428" s="3710"/>
      <c r="AB428" s="3710"/>
      <c r="AC428" s="3710"/>
    </row>
    <row r="429" spans="1:29">
      <c r="A429" s="3710"/>
      <c r="B429" s="3710"/>
      <c r="C429" s="3710"/>
      <c r="D429" s="3710"/>
      <c r="E429" s="3710"/>
      <c r="F429" s="3710"/>
      <c r="G429" s="3710"/>
      <c r="H429" s="3710"/>
      <c r="I429" s="3710"/>
      <c r="J429" s="3710"/>
      <c r="K429" s="3711"/>
      <c r="L429" s="3712"/>
      <c r="M429" s="3710"/>
      <c r="N429" s="3710"/>
      <c r="O429" s="3710"/>
      <c r="P429" s="3752"/>
      <c r="Q429" s="3710"/>
      <c r="R429" s="3710"/>
      <c r="S429" s="3710"/>
      <c r="T429" s="3710"/>
      <c r="U429" s="3710"/>
      <c r="V429" s="3710"/>
      <c r="W429" s="3710"/>
      <c r="X429" s="3710"/>
      <c r="Y429" s="3710"/>
      <c r="Z429" s="3710"/>
      <c r="AA429" s="3710"/>
      <c r="AB429" s="3710"/>
      <c r="AC429" s="3710"/>
    </row>
    <row r="430" spans="1:29">
      <c r="A430" s="3710"/>
      <c r="B430" s="3710"/>
      <c r="C430" s="3710"/>
      <c r="D430" s="3710"/>
      <c r="E430" s="3710"/>
      <c r="F430" s="3710"/>
      <c r="G430" s="3710"/>
      <c r="H430" s="3710"/>
      <c r="I430" s="3710"/>
      <c r="J430" s="3710"/>
      <c r="K430" s="3711"/>
      <c r="L430" s="3712"/>
      <c r="M430" s="3710"/>
      <c r="N430" s="3710"/>
      <c r="O430" s="3710"/>
      <c r="P430" s="3752"/>
      <c r="Q430" s="3710"/>
      <c r="R430" s="3710"/>
      <c r="S430" s="3710"/>
      <c r="T430" s="3710"/>
      <c r="U430" s="3710"/>
      <c r="V430" s="3710"/>
      <c r="W430" s="3710"/>
      <c r="X430" s="3710"/>
      <c r="Y430" s="3710"/>
      <c r="Z430" s="3710"/>
      <c r="AA430" s="3710"/>
      <c r="AB430" s="3710"/>
      <c r="AC430" s="3710"/>
    </row>
    <row r="431" spans="1:29">
      <c r="A431" s="3710"/>
      <c r="B431" s="3710"/>
      <c r="C431" s="3710"/>
      <c r="D431" s="3710"/>
      <c r="E431" s="3710"/>
      <c r="F431" s="3710"/>
      <c r="G431" s="3710"/>
      <c r="H431" s="3710"/>
      <c r="I431" s="3710"/>
      <c r="J431" s="3710"/>
      <c r="K431" s="3711"/>
      <c r="L431" s="3712"/>
      <c r="M431" s="3710"/>
      <c r="N431" s="3710"/>
      <c r="O431" s="3710"/>
      <c r="P431" s="3752"/>
      <c r="Q431" s="3710"/>
      <c r="R431" s="3710"/>
      <c r="S431" s="3710"/>
      <c r="T431" s="3710"/>
      <c r="U431" s="3710"/>
      <c r="V431" s="3710"/>
      <c r="W431" s="3710"/>
      <c r="X431" s="3710"/>
      <c r="Y431" s="3710"/>
      <c r="Z431" s="3710"/>
      <c r="AA431" s="3710"/>
      <c r="AB431" s="3710"/>
      <c r="AC431" s="3710"/>
    </row>
    <row r="432" spans="1:29">
      <c r="A432" s="3710"/>
      <c r="B432" s="3710"/>
      <c r="C432" s="3710"/>
      <c r="D432" s="3710"/>
      <c r="E432" s="3710"/>
      <c r="F432" s="3710"/>
      <c r="G432" s="3710"/>
      <c r="H432" s="3710"/>
      <c r="I432" s="3710"/>
      <c r="J432" s="3710"/>
      <c r="K432" s="3711"/>
      <c r="L432" s="3712"/>
      <c r="M432" s="3710"/>
      <c r="N432" s="3710"/>
      <c r="O432" s="3710"/>
      <c r="P432" s="3752"/>
      <c r="Q432" s="3710"/>
      <c r="R432" s="3710"/>
      <c r="S432" s="3710"/>
      <c r="T432" s="3710"/>
      <c r="U432" s="3710"/>
      <c r="V432" s="3710"/>
      <c r="W432" s="3710"/>
      <c r="X432" s="3710"/>
      <c r="Y432" s="3710"/>
      <c r="Z432" s="3710"/>
      <c r="AA432" s="3710"/>
      <c r="AB432" s="3710"/>
      <c r="AC432" s="3710"/>
    </row>
    <row r="433" spans="1:29">
      <c r="A433" s="3710"/>
      <c r="B433" s="3710"/>
      <c r="C433" s="3710"/>
      <c r="D433" s="3710"/>
      <c r="E433" s="3710"/>
      <c r="F433" s="3710"/>
      <c r="G433" s="3710"/>
      <c r="H433" s="3710"/>
      <c r="I433" s="3710"/>
      <c r="J433" s="3710"/>
      <c r="K433" s="3711"/>
      <c r="L433" s="3712"/>
      <c r="M433" s="3710"/>
      <c r="N433" s="3710"/>
      <c r="O433" s="3710"/>
      <c r="P433" s="3752"/>
      <c r="Q433" s="3710"/>
      <c r="R433" s="3710"/>
      <c r="S433" s="3710"/>
      <c r="T433" s="3710"/>
      <c r="U433" s="3710"/>
      <c r="V433" s="3710"/>
      <c r="W433" s="3710"/>
      <c r="X433" s="3710"/>
      <c r="Y433" s="3710"/>
      <c r="Z433" s="3710"/>
      <c r="AA433" s="3710"/>
      <c r="AB433" s="3710"/>
      <c r="AC433" s="3710"/>
    </row>
    <row r="434" spans="1:29">
      <c r="A434" s="3710"/>
      <c r="B434" s="3710"/>
      <c r="C434" s="3710"/>
      <c r="D434" s="3710"/>
      <c r="E434" s="3710"/>
      <c r="F434" s="3710"/>
      <c r="G434" s="3710"/>
      <c r="H434" s="3710"/>
      <c r="I434" s="3710"/>
      <c r="J434" s="3710"/>
      <c r="K434" s="3711"/>
      <c r="L434" s="3712"/>
      <c r="M434" s="3710"/>
      <c r="N434" s="3710"/>
      <c r="O434" s="3710"/>
      <c r="P434" s="3752"/>
      <c r="Q434" s="3710"/>
      <c r="R434" s="3710"/>
      <c r="S434" s="3710"/>
      <c r="T434" s="3710"/>
      <c r="U434" s="3710"/>
      <c r="V434" s="3710"/>
      <c r="W434" s="3710"/>
      <c r="X434" s="3710"/>
      <c r="Y434" s="3710"/>
      <c r="Z434" s="3710"/>
      <c r="AA434" s="3710"/>
      <c r="AB434" s="3710"/>
      <c r="AC434" s="3710"/>
    </row>
    <row r="435" spans="1:29">
      <c r="A435" s="3710"/>
      <c r="B435" s="3710"/>
      <c r="C435" s="3710"/>
      <c r="D435" s="3710"/>
      <c r="E435" s="3710"/>
      <c r="F435" s="3710"/>
      <c r="G435" s="3710"/>
      <c r="H435" s="3710"/>
      <c r="I435" s="3710"/>
      <c r="J435" s="3710"/>
      <c r="K435" s="3711"/>
      <c r="L435" s="3712"/>
      <c r="M435" s="3710"/>
      <c r="N435" s="3710"/>
      <c r="O435" s="3710"/>
      <c r="P435" s="3752"/>
      <c r="Q435" s="3710"/>
      <c r="R435" s="3710"/>
      <c r="S435" s="3710"/>
      <c r="T435" s="3710"/>
      <c r="U435" s="3710"/>
      <c r="V435" s="3710"/>
      <c r="W435" s="3710"/>
      <c r="X435" s="3710"/>
      <c r="Y435" s="3710"/>
      <c r="Z435" s="3710"/>
      <c r="AA435" s="3710"/>
      <c r="AB435" s="3710"/>
      <c r="AC435" s="3710"/>
    </row>
    <row r="436" spans="1:29">
      <c r="A436" s="3710"/>
      <c r="B436" s="3710"/>
      <c r="C436" s="3710"/>
      <c r="D436" s="3710"/>
      <c r="E436" s="3710"/>
      <c r="F436" s="3710"/>
      <c r="G436" s="3710"/>
      <c r="H436" s="3710"/>
      <c r="I436" s="3710"/>
      <c r="J436" s="3710"/>
      <c r="K436" s="3711"/>
      <c r="L436" s="3712"/>
      <c r="M436" s="3710"/>
      <c r="N436" s="3710"/>
      <c r="O436" s="3710"/>
      <c r="P436" s="3752"/>
      <c r="Q436" s="3710"/>
      <c r="R436" s="3710"/>
      <c r="S436" s="3710"/>
      <c r="T436" s="3710"/>
      <c r="U436" s="3710"/>
      <c r="V436" s="3710"/>
      <c r="W436" s="3710"/>
      <c r="X436" s="3710"/>
      <c r="Y436" s="3710"/>
      <c r="Z436" s="3710"/>
      <c r="AA436" s="3710"/>
      <c r="AB436" s="3710"/>
      <c r="AC436" s="3710"/>
    </row>
    <row r="437" spans="1:29">
      <c r="A437" s="3710"/>
      <c r="B437" s="3710"/>
      <c r="C437" s="3710"/>
      <c r="D437" s="3710"/>
      <c r="E437" s="3710"/>
      <c r="F437" s="3710"/>
      <c r="G437" s="3710"/>
      <c r="H437" s="3710"/>
      <c r="I437" s="3710"/>
      <c r="J437" s="3710"/>
      <c r="K437" s="3711"/>
      <c r="L437" s="3712"/>
      <c r="M437" s="3710"/>
      <c r="N437" s="3710"/>
      <c r="O437" s="3710"/>
      <c r="P437" s="3752"/>
      <c r="Q437" s="3710"/>
      <c r="R437" s="3710"/>
      <c r="S437" s="3710"/>
      <c r="T437" s="3710"/>
      <c r="U437" s="3710"/>
      <c r="V437" s="3710"/>
      <c r="W437" s="3710"/>
      <c r="X437" s="3710"/>
      <c r="Y437" s="3710"/>
      <c r="Z437" s="3710"/>
      <c r="AA437" s="3710"/>
      <c r="AB437" s="3710"/>
      <c r="AC437" s="3710"/>
    </row>
    <row r="438" spans="1:29">
      <c r="A438" s="3710"/>
      <c r="B438" s="3710"/>
      <c r="C438" s="3710"/>
      <c r="D438" s="3710"/>
      <c r="E438" s="3710"/>
      <c r="F438" s="3710"/>
      <c r="G438" s="3710"/>
      <c r="H438" s="3710"/>
      <c r="I438" s="3710"/>
      <c r="J438" s="3710"/>
      <c r="K438" s="3711"/>
      <c r="L438" s="3712"/>
      <c r="M438" s="3710"/>
      <c r="N438" s="3710"/>
      <c r="O438" s="3710"/>
      <c r="P438" s="3752"/>
      <c r="Q438" s="3710"/>
      <c r="R438" s="3710"/>
      <c r="S438" s="3710"/>
      <c r="T438" s="3710"/>
      <c r="U438" s="3710"/>
      <c r="V438" s="3710"/>
      <c r="W438" s="3710"/>
      <c r="X438" s="3710"/>
      <c r="Y438" s="3710"/>
      <c r="Z438" s="3710"/>
      <c r="AA438" s="3710"/>
      <c r="AB438" s="3710"/>
      <c r="AC438" s="3710"/>
    </row>
    <row r="439" spans="1:29">
      <c r="A439" s="3710"/>
      <c r="B439" s="3710"/>
      <c r="C439" s="3710"/>
      <c r="D439" s="3710"/>
      <c r="E439" s="3710"/>
      <c r="F439" s="3710"/>
      <c r="G439" s="3710"/>
      <c r="H439" s="3710"/>
      <c r="I439" s="3710"/>
      <c r="J439" s="3710"/>
      <c r="K439" s="3711"/>
      <c r="L439" s="3712"/>
      <c r="M439" s="3710"/>
      <c r="N439" s="3710"/>
      <c r="O439" s="3710"/>
      <c r="P439" s="3752"/>
      <c r="Q439" s="3710"/>
      <c r="R439" s="3710"/>
      <c r="S439" s="3710"/>
      <c r="T439" s="3710"/>
      <c r="U439" s="3710"/>
      <c r="V439" s="3710"/>
      <c r="W439" s="3710"/>
      <c r="X439" s="3710"/>
      <c r="Y439" s="3710"/>
      <c r="Z439" s="3710"/>
      <c r="AA439" s="3710"/>
      <c r="AB439" s="3710"/>
      <c r="AC439" s="3710"/>
    </row>
    <row r="440" spans="1:29">
      <c r="A440" s="3710"/>
      <c r="B440" s="3710"/>
      <c r="C440" s="3710"/>
      <c r="D440" s="3710"/>
      <c r="E440" s="3710"/>
      <c r="F440" s="3710"/>
      <c r="G440" s="3710"/>
      <c r="H440" s="3710"/>
      <c r="I440" s="3710"/>
      <c r="J440" s="3710"/>
      <c r="K440" s="3711"/>
      <c r="L440" s="3712"/>
      <c r="M440" s="3710"/>
      <c r="N440" s="3710"/>
      <c r="O440" s="3710"/>
      <c r="P440" s="3752"/>
      <c r="Q440" s="3710"/>
      <c r="R440" s="3710"/>
      <c r="S440" s="3710"/>
      <c r="T440" s="3710"/>
      <c r="U440" s="3710"/>
      <c r="V440" s="3710"/>
      <c r="W440" s="3710"/>
      <c r="X440" s="3710"/>
      <c r="Y440" s="3710"/>
      <c r="Z440" s="3710"/>
      <c r="AA440" s="3710"/>
      <c r="AB440" s="3710"/>
      <c r="AC440" s="3710"/>
    </row>
    <row r="441" spans="1:29">
      <c r="A441" s="3710"/>
      <c r="B441" s="3710"/>
      <c r="C441" s="3710"/>
      <c r="D441" s="3710"/>
      <c r="E441" s="3710"/>
      <c r="F441" s="3710"/>
      <c r="G441" s="3710"/>
      <c r="H441" s="3710"/>
      <c r="I441" s="3710"/>
      <c r="J441" s="3710"/>
      <c r="K441" s="3711"/>
      <c r="L441" s="3712"/>
      <c r="M441" s="3710"/>
      <c r="N441" s="3710"/>
      <c r="O441" s="3710"/>
      <c r="P441" s="3752"/>
      <c r="Q441" s="3710"/>
      <c r="R441" s="3710"/>
      <c r="S441" s="3710"/>
      <c r="T441" s="3710"/>
      <c r="U441" s="3710"/>
      <c r="V441" s="3710"/>
      <c r="W441" s="3710"/>
      <c r="X441" s="3710"/>
      <c r="Y441" s="3710"/>
      <c r="Z441" s="3710"/>
      <c r="AA441" s="3710"/>
      <c r="AB441" s="3710"/>
      <c r="AC441" s="3710"/>
    </row>
    <row r="442" spans="1:29">
      <c r="A442" s="3710"/>
      <c r="B442" s="3710"/>
      <c r="C442" s="3710"/>
      <c r="D442" s="3710"/>
      <c r="E442" s="3710"/>
      <c r="F442" s="3710"/>
      <c r="G442" s="3710"/>
      <c r="H442" s="3710"/>
      <c r="I442" s="3710"/>
      <c r="J442" s="3710"/>
      <c r="K442" s="3711"/>
      <c r="L442" s="3712"/>
      <c r="M442" s="3710"/>
      <c r="N442" s="3710"/>
      <c r="O442" s="3710"/>
      <c r="P442" s="3752"/>
      <c r="Q442" s="3710"/>
      <c r="R442" s="3710"/>
      <c r="S442" s="3710"/>
      <c r="T442" s="3710"/>
      <c r="U442" s="3710"/>
      <c r="V442" s="3710"/>
      <c r="W442" s="3710"/>
      <c r="X442" s="3710"/>
      <c r="Y442" s="3710"/>
      <c r="Z442" s="3710"/>
      <c r="AA442" s="3710"/>
      <c r="AB442" s="3710"/>
      <c r="AC442" s="3710"/>
    </row>
    <row r="443" spans="1:29">
      <c r="A443" s="3710"/>
      <c r="B443" s="3710"/>
      <c r="C443" s="3710"/>
      <c r="D443" s="3710"/>
      <c r="E443" s="3710"/>
      <c r="F443" s="3710"/>
      <c r="G443" s="3710"/>
      <c r="H443" s="3710"/>
      <c r="I443" s="3710"/>
      <c r="J443" s="3710"/>
      <c r="K443" s="3711"/>
      <c r="L443" s="3712"/>
      <c r="M443" s="3710"/>
      <c r="N443" s="3710"/>
      <c r="O443" s="3710"/>
      <c r="P443" s="3752"/>
      <c r="Q443" s="3710"/>
      <c r="R443" s="3710"/>
      <c r="S443" s="3710"/>
      <c r="T443" s="3710"/>
      <c r="U443" s="3710"/>
      <c r="V443" s="3710"/>
      <c r="W443" s="3710"/>
      <c r="X443" s="3710"/>
      <c r="Y443" s="3710"/>
      <c r="Z443" s="3710"/>
      <c r="AA443" s="3710"/>
      <c r="AB443" s="3710"/>
      <c r="AC443" s="3710"/>
    </row>
    <row r="444" spans="1:29">
      <c r="A444" s="3710"/>
      <c r="B444" s="3710"/>
      <c r="C444" s="3710"/>
      <c r="D444" s="3710"/>
      <c r="E444" s="3710"/>
      <c r="F444" s="3710"/>
      <c r="G444" s="3710"/>
      <c r="H444" s="3710"/>
      <c r="I444" s="3710"/>
      <c r="J444" s="3710"/>
      <c r="K444" s="3711"/>
      <c r="L444" s="3712"/>
      <c r="M444" s="3710"/>
      <c r="N444" s="3710"/>
      <c r="O444" s="3710"/>
      <c r="P444" s="3752"/>
      <c r="Q444" s="3710"/>
      <c r="R444" s="3710"/>
      <c r="S444" s="3710"/>
      <c r="T444" s="3710"/>
      <c r="U444" s="3710"/>
      <c r="V444" s="3710"/>
      <c r="W444" s="3710"/>
      <c r="X444" s="3710"/>
      <c r="Y444" s="3710"/>
      <c r="Z444" s="3710"/>
      <c r="AA444" s="3710"/>
      <c r="AB444" s="3710"/>
      <c r="AC444" s="3710"/>
    </row>
    <row r="445" spans="1:29">
      <c r="A445" s="3710"/>
      <c r="B445" s="3710"/>
      <c r="C445" s="3710"/>
      <c r="D445" s="3710"/>
      <c r="E445" s="3710"/>
      <c r="F445" s="3710"/>
      <c r="G445" s="3710"/>
      <c r="H445" s="3710"/>
      <c r="I445" s="3710"/>
      <c r="J445" s="3710"/>
      <c r="K445" s="3711"/>
      <c r="L445" s="3712"/>
      <c r="M445" s="3710"/>
      <c r="N445" s="3710"/>
      <c r="O445" s="3710"/>
      <c r="P445" s="3752"/>
      <c r="Q445" s="3710"/>
      <c r="R445" s="3710"/>
      <c r="S445" s="3710"/>
      <c r="T445" s="3710"/>
      <c r="U445" s="3710"/>
      <c r="V445" s="3710"/>
      <c r="W445" s="3710"/>
      <c r="X445" s="3710"/>
      <c r="Y445" s="3710"/>
      <c r="Z445" s="3710"/>
      <c r="AA445" s="3710"/>
      <c r="AB445" s="3710"/>
      <c r="AC445" s="3710"/>
    </row>
    <row r="446" spans="1:29">
      <c r="A446" s="3710"/>
      <c r="B446" s="3710"/>
      <c r="C446" s="3710"/>
      <c r="D446" s="3710"/>
      <c r="E446" s="3710"/>
      <c r="F446" s="3710"/>
      <c r="G446" s="3710"/>
      <c r="H446" s="3710"/>
      <c r="I446" s="3710"/>
      <c r="J446" s="3710"/>
      <c r="K446" s="3711"/>
      <c r="L446" s="3712"/>
      <c r="M446" s="3710"/>
      <c r="N446" s="3710"/>
      <c r="O446" s="3710"/>
      <c r="P446" s="3752"/>
      <c r="Q446" s="3710"/>
      <c r="R446" s="3710"/>
      <c r="S446" s="3710"/>
      <c r="T446" s="3710"/>
      <c r="U446" s="3710"/>
      <c r="V446" s="3710"/>
      <c r="W446" s="3710"/>
      <c r="X446" s="3710"/>
      <c r="Y446" s="3710"/>
      <c r="Z446" s="3710"/>
      <c r="AA446" s="3710"/>
      <c r="AB446" s="3710"/>
      <c r="AC446" s="3710"/>
    </row>
    <row r="447" spans="1:29">
      <c r="A447" s="3710"/>
      <c r="B447" s="3710"/>
      <c r="C447" s="3710"/>
      <c r="D447" s="3710"/>
      <c r="E447" s="3710"/>
      <c r="F447" s="3710"/>
      <c r="G447" s="3710"/>
      <c r="H447" s="3710"/>
      <c r="I447" s="3710"/>
      <c r="J447" s="3710"/>
      <c r="K447" s="3711"/>
      <c r="L447" s="3712"/>
      <c r="M447" s="3710"/>
      <c r="N447" s="3710"/>
      <c r="O447" s="3710"/>
      <c r="P447" s="3752"/>
      <c r="Q447" s="3710"/>
      <c r="R447" s="3710"/>
      <c r="S447" s="3710"/>
      <c r="T447" s="3710"/>
      <c r="U447" s="3710"/>
      <c r="V447" s="3710"/>
      <c r="W447" s="3710"/>
      <c r="X447" s="3710"/>
      <c r="Y447" s="3710"/>
      <c r="Z447" s="3710"/>
      <c r="AA447" s="3710"/>
      <c r="AB447" s="3710"/>
      <c r="AC447" s="3710"/>
    </row>
    <row r="448" spans="1:29">
      <c r="A448" s="3710"/>
      <c r="B448" s="3710"/>
      <c r="C448" s="3710"/>
      <c r="D448" s="3710"/>
      <c r="E448" s="3710"/>
      <c r="F448" s="3710"/>
      <c r="G448" s="3710"/>
      <c r="H448" s="3710"/>
      <c r="I448" s="3710"/>
      <c r="J448" s="3710"/>
      <c r="K448" s="3711"/>
      <c r="L448" s="3712"/>
      <c r="M448" s="3710"/>
      <c r="N448" s="3710"/>
      <c r="O448" s="3710"/>
      <c r="P448" s="3752"/>
      <c r="Q448" s="3710"/>
      <c r="R448" s="3710"/>
      <c r="S448" s="3710"/>
      <c r="T448" s="3710"/>
      <c r="U448" s="3710"/>
      <c r="V448" s="3710"/>
      <c r="W448" s="3710"/>
      <c r="X448" s="3710"/>
      <c r="Y448" s="3710"/>
      <c r="Z448" s="3710"/>
      <c r="AA448" s="3710"/>
      <c r="AB448" s="3710"/>
      <c r="AC448" s="3710"/>
    </row>
    <row r="449" spans="1:29">
      <c r="A449" s="3710"/>
      <c r="B449" s="3710"/>
      <c r="C449" s="3710"/>
      <c r="D449" s="3710"/>
      <c r="E449" s="3710"/>
      <c r="F449" s="3710"/>
      <c r="G449" s="3710"/>
      <c r="H449" s="3710"/>
      <c r="I449" s="3710"/>
      <c r="J449" s="3710"/>
      <c r="K449" s="3711"/>
      <c r="L449" s="3712"/>
      <c r="M449" s="3710"/>
      <c r="N449" s="3710"/>
      <c r="O449" s="3710"/>
      <c r="P449" s="3752"/>
      <c r="Q449" s="3710"/>
      <c r="R449" s="3710"/>
      <c r="S449" s="3710"/>
      <c r="T449" s="3710"/>
      <c r="U449" s="3710"/>
      <c r="V449" s="3710"/>
      <c r="W449" s="3710"/>
      <c r="X449" s="3710"/>
      <c r="Y449" s="3710"/>
      <c r="Z449" s="3710"/>
      <c r="AA449" s="3710"/>
      <c r="AB449" s="3710"/>
      <c r="AC449" s="3710"/>
    </row>
    <row r="450" spans="1:29">
      <c r="A450" s="3710"/>
      <c r="B450" s="3710"/>
      <c r="C450" s="3710"/>
      <c r="D450" s="3710"/>
      <c r="E450" s="3710"/>
      <c r="F450" s="3710"/>
      <c r="G450" s="3710"/>
      <c r="H450" s="3710"/>
      <c r="I450" s="3710"/>
      <c r="J450" s="3710"/>
      <c r="K450" s="3711"/>
      <c r="L450" s="3712"/>
      <c r="M450" s="3710"/>
      <c r="N450" s="3710"/>
      <c r="O450" s="3710"/>
      <c r="P450" s="3752"/>
      <c r="Q450" s="3710"/>
      <c r="R450" s="3710"/>
      <c r="S450" s="3710"/>
      <c r="T450" s="3710"/>
      <c r="U450" s="3710"/>
      <c r="V450" s="3710"/>
      <c r="W450" s="3710"/>
      <c r="X450" s="3710"/>
      <c r="Y450" s="3710"/>
      <c r="Z450" s="3710"/>
      <c r="AA450" s="3710"/>
      <c r="AB450" s="3710"/>
      <c r="AC450" s="3710"/>
    </row>
    <row r="451" spans="1:29">
      <c r="A451" s="3710"/>
      <c r="B451" s="3710"/>
      <c r="C451" s="3710"/>
      <c r="D451" s="3710"/>
      <c r="E451" s="3710"/>
      <c r="F451" s="3710"/>
      <c r="G451" s="3710"/>
      <c r="H451" s="3710"/>
      <c r="I451" s="3710"/>
      <c r="J451" s="3710"/>
      <c r="K451" s="3711"/>
      <c r="L451" s="3712"/>
      <c r="M451" s="3710"/>
      <c r="N451" s="3710"/>
      <c r="O451" s="3710"/>
      <c r="P451" s="3752"/>
      <c r="Q451" s="3710"/>
      <c r="R451" s="3710"/>
      <c r="S451" s="3710"/>
      <c r="T451" s="3710"/>
      <c r="U451" s="3710"/>
      <c r="V451" s="3710"/>
      <c r="W451" s="3710"/>
      <c r="X451" s="3710"/>
      <c r="Y451" s="3710"/>
      <c r="Z451" s="3710"/>
      <c r="AA451" s="3710"/>
      <c r="AB451" s="3710"/>
      <c r="AC451" s="3710"/>
    </row>
    <row r="452" spans="1:29">
      <c r="A452" s="3710"/>
      <c r="B452" s="3710"/>
      <c r="C452" s="3710"/>
      <c r="D452" s="3710"/>
      <c r="E452" s="3710"/>
      <c r="F452" s="3710"/>
      <c r="G452" s="3710"/>
      <c r="H452" s="3710"/>
      <c r="I452" s="3710"/>
      <c r="J452" s="3710"/>
      <c r="K452" s="3711"/>
      <c r="L452" s="3712"/>
      <c r="M452" s="3710"/>
      <c r="N452" s="3710"/>
      <c r="O452" s="3710"/>
      <c r="P452" s="3752"/>
      <c r="Q452" s="3710"/>
      <c r="R452" s="3710"/>
      <c r="S452" s="3710"/>
      <c r="T452" s="3710"/>
      <c r="U452" s="3710"/>
      <c r="V452" s="3710"/>
      <c r="W452" s="3710"/>
      <c r="X452" s="3710"/>
      <c r="Y452" s="3710"/>
      <c r="Z452" s="3710"/>
      <c r="AA452" s="3710"/>
      <c r="AB452" s="3710"/>
      <c r="AC452" s="3710"/>
    </row>
    <row r="453" spans="1:29">
      <c r="A453" s="3710"/>
      <c r="B453" s="3710"/>
      <c r="C453" s="3710"/>
      <c r="D453" s="3710"/>
      <c r="E453" s="3710"/>
      <c r="F453" s="3710"/>
      <c r="G453" s="3710"/>
      <c r="H453" s="3710"/>
      <c r="I453" s="3710"/>
      <c r="J453" s="3710"/>
      <c r="K453" s="3711"/>
      <c r="L453" s="3712"/>
      <c r="M453" s="3710"/>
      <c r="N453" s="3710"/>
      <c r="O453" s="3710"/>
      <c r="P453" s="3752"/>
      <c r="Q453" s="3710"/>
      <c r="R453" s="3710"/>
      <c r="S453" s="3710"/>
      <c r="T453" s="3710"/>
      <c r="U453" s="3710"/>
      <c r="V453" s="3710"/>
      <c r="W453" s="3710"/>
      <c r="X453" s="3710"/>
      <c r="Y453" s="3710"/>
      <c r="Z453" s="3710"/>
      <c r="AA453" s="3710"/>
      <c r="AB453" s="3710"/>
      <c r="AC453" s="3710"/>
    </row>
    <row r="454" spans="1:29">
      <c r="A454" s="3710"/>
      <c r="B454" s="3710"/>
      <c r="C454" s="3710"/>
      <c r="D454" s="3710"/>
      <c r="E454" s="3710"/>
      <c r="F454" s="3710"/>
      <c r="G454" s="3710"/>
      <c r="H454" s="3710"/>
      <c r="I454" s="3710"/>
      <c r="J454" s="3710"/>
      <c r="K454" s="3711"/>
      <c r="L454" s="3712"/>
      <c r="M454" s="3710"/>
      <c r="N454" s="3710"/>
      <c r="O454" s="3710"/>
      <c r="P454" s="3752"/>
      <c r="Q454" s="3710"/>
      <c r="R454" s="3710"/>
      <c r="S454" s="3710"/>
      <c r="T454" s="3710"/>
      <c r="U454" s="3710"/>
      <c r="V454" s="3710"/>
      <c r="W454" s="3710"/>
      <c r="X454" s="3710"/>
      <c r="Y454" s="3710"/>
      <c r="Z454" s="3710"/>
      <c r="AA454" s="3710"/>
      <c r="AB454" s="3710"/>
      <c r="AC454" s="3710"/>
    </row>
    <row r="455" spans="1:29">
      <c r="A455" s="3710"/>
      <c r="B455" s="3710"/>
      <c r="C455" s="3710"/>
      <c r="D455" s="3710"/>
      <c r="E455" s="3710"/>
      <c r="F455" s="3710"/>
      <c r="G455" s="3710"/>
      <c r="H455" s="3710"/>
      <c r="I455" s="3710"/>
      <c r="J455" s="3710"/>
      <c r="K455" s="3711"/>
      <c r="L455" s="3712"/>
      <c r="M455" s="3710"/>
      <c r="N455" s="3710"/>
      <c r="O455" s="3710"/>
      <c r="P455" s="3752"/>
      <c r="Q455" s="3710"/>
      <c r="R455" s="3710"/>
      <c r="S455" s="3710"/>
      <c r="T455" s="3710"/>
      <c r="U455" s="3710"/>
      <c r="V455" s="3710"/>
      <c r="W455" s="3710"/>
      <c r="X455" s="3710"/>
      <c r="Y455" s="3710"/>
      <c r="Z455" s="3710"/>
      <c r="AA455" s="3710"/>
      <c r="AB455" s="3710"/>
      <c r="AC455" s="3710"/>
    </row>
    <row r="456" spans="1:29">
      <c r="A456" s="3710"/>
      <c r="B456" s="3710"/>
      <c r="C456" s="3710"/>
      <c r="D456" s="3710"/>
      <c r="E456" s="3710"/>
      <c r="F456" s="3710"/>
      <c r="G456" s="3710"/>
      <c r="H456" s="3710"/>
      <c r="I456" s="3710"/>
      <c r="J456" s="3710"/>
      <c r="K456" s="3711"/>
      <c r="L456" s="3712"/>
      <c r="M456" s="3710"/>
      <c r="N456" s="3710"/>
      <c r="O456" s="3710"/>
      <c r="P456" s="3752"/>
      <c r="Q456" s="3710"/>
      <c r="R456" s="3710"/>
      <c r="S456" s="3710"/>
      <c r="T456" s="3710"/>
      <c r="U456" s="3710"/>
      <c r="V456" s="3710"/>
      <c r="W456" s="3710"/>
      <c r="X456" s="3710"/>
      <c r="Y456" s="3710"/>
      <c r="Z456" s="3710"/>
      <c r="AA456" s="3710"/>
      <c r="AB456" s="3710"/>
      <c r="AC456" s="3710"/>
    </row>
    <row r="457" spans="1:29">
      <c r="A457" s="3710"/>
      <c r="B457" s="3710"/>
      <c r="C457" s="3710"/>
      <c r="D457" s="3710"/>
      <c r="E457" s="3710"/>
      <c r="F457" s="3710"/>
      <c r="G457" s="3710"/>
      <c r="H457" s="3710"/>
      <c r="I457" s="3710"/>
      <c r="J457" s="3710"/>
      <c r="K457" s="3711"/>
      <c r="L457" s="3712"/>
      <c r="M457" s="3710"/>
      <c r="N457" s="3710"/>
      <c r="O457" s="3710"/>
      <c r="P457" s="3752"/>
      <c r="Q457" s="3710"/>
      <c r="R457" s="3710"/>
      <c r="S457" s="3710"/>
      <c r="T457" s="3710"/>
      <c r="U457" s="3710"/>
      <c r="V457" s="3710"/>
      <c r="W457" s="3710"/>
      <c r="X457" s="3710"/>
      <c r="Y457" s="3710"/>
      <c r="Z457" s="3710"/>
      <c r="AA457" s="3710"/>
      <c r="AB457" s="3710"/>
      <c r="AC457" s="3710"/>
    </row>
    <row r="458" spans="1:29">
      <c r="A458" s="3710"/>
      <c r="B458" s="3710"/>
      <c r="C458" s="3710"/>
      <c r="D458" s="3710"/>
      <c r="E458" s="3710"/>
      <c r="F458" s="3710"/>
      <c r="G458" s="3710"/>
      <c r="H458" s="3710"/>
      <c r="I458" s="3710"/>
      <c r="J458" s="3710"/>
      <c r="K458" s="3711"/>
      <c r="L458" s="3712"/>
      <c r="M458" s="3710"/>
      <c r="N458" s="3710"/>
      <c r="O458" s="3710"/>
      <c r="P458" s="3752"/>
      <c r="Q458" s="3710"/>
      <c r="R458" s="3710"/>
      <c r="S458" s="3710"/>
      <c r="T458" s="3710"/>
      <c r="U458" s="3710"/>
      <c r="V458" s="3710"/>
      <c r="W458" s="3710"/>
      <c r="X458" s="3710"/>
      <c r="Y458" s="3710"/>
      <c r="Z458" s="3710"/>
      <c r="AA458" s="3710"/>
      <c r="AB458" s="3710"/>
      <c r="AC458" s="3710"/>
    </row>
    <row r="459" spans="1:29">
      <c r="A459" s="3710"/>
      <c r="B459" s="3710"/>
      <c r="C459" s="3710"/>
      <c r="D459" s="3710"/>
      <c r="E459" s="3710"/>
      <c r="F459" s="3710"/>
      <c r="G459" s="3710"/>
      <c r="H459" s="3710"/>
      <c r="I459" s="3710"/>
      <c r="J459" s="3710"/>
      <c r="K459" s="3711"/>
      <c r="L459" s="3712"/>
      <c r="M459" s="3710"/>
      <c r="N459" s="3710"/>
      <c r="O459" s="3710"/>
      <c r="P459" s="3752"/>
      <c r="Q459" s="3710"/>
      <c r="R459" s="3710"/>
      <c r="S459" s="3710"/>
      <c r="T459" s="3710"/>
      <c r="U459" s="3710"/>
      <c r="V459" s="3710"/>
      <c r="W459" s="3710"/>
      <c r="X459" s="3710"/>
      <c r="Y459" s="3710"/>
      <c r="Z459" s="3710"/>
      <c r="AA459" s="3710"/>
      <c r="AB459" s="3710"/>
      <c r="AC459" s="3710"/>
    </row>
    <row r="460" spans="1:29">
      <c r="A460" s="3710"/>
      <c r="B460" s="3710"/>
      <c r="C460" s="3710"/>
      <c r="D460" s="3710"/>
      <c r="E460" s="3710"/>
      <c r="F460" s="3710"/>
      <c r="G460" s="3710"/>
      <c r="H460" s="3710"/>
      <c r="I460" s="3710"/>
      <c r="J460" s="3710"/>
      <c r="K460" s="3711"/>
      <c r="L460" s="3712"/>
      <c r="M460" s="3710"/>
      <c r="N460" s="3710"/>
      <c r="O460" s="3710"/>
      <c r="P460" s="3752"/>
      <c r="Q460" s="3710"/>
      <c r="R460" s="3710"/>
      <c r="S460" s="3710"/>
      <c r="T460" s="3710"/>
      <c r="U460" s="3710"/>
      <c r="V460" s="3710"/>
      <c r="W460" s="3710"/>
      <c r="X460" s="3710"/>
      <c r="Y460" s="3710"/>
      <c r="Z460" s="3710"/>
      <c r="AA460" s="3710"/>
      <c r="AB460" s="3710"/>
      <c r="AC460" s="3710"/>
    </row>
    <row r="461" spans="1:29">
      <c r="A461" s="3710"/>
      <c r="B461" s="3710"/>
      <c r="C461" s="3710"/>
      <c r="D461" s="3710"/>
      <c r="E461" s="3710"/>
      <c r="F461" s="3710"/>
      <c r="G461" s="3710"/>
      <c r="H461" s="3710"/>
      <c r="I461" s="3710"/>
      <c r="J461" s="3710"/>
      <c r="K461" s="3711"/>
      <c r="L461" s="3712"/>
      <c r="M461" s="3710"/>
      <c r="N461" s="3710"/>
      <c r="O461" s="3710"/>
      <c r="P461" s="3752"/>
      <c r="Q461" s="3710"/>
      <c r="R461" s="3710"/>
      <c r="S461" s="3710"/>
      <c r="T461" s="3710"/>
      <c r="U461" s="3710"/>
      <c r="V461" s="3710"/>
      <c r="W461" s="3710"/>
      <c r="X461" s="3710"/>
      <c r="Y461" s="3710"/>
      <c r="Z461" s="3710"/>
      <c r="AA461" s="3710"/>
      <c r="AB461" s="3710"/>
      <c r="AC461" s="3710"/>
    </row>
    <row r="462" spans="1:29">
      <c r="A462" s="3710"/>
      <c r="B462" s="3710"/>
      <c r="C462" s="3710"/>
      <c r="D462" s="3710"/>
      <c r="E462" s="3710"/>
      <c r="F462" s="3710"/>
      <c r="G462" s="3710"/>
      <c r="H462" s="3710"/>
      <c r="I462" s="3710"/>
      <c r="J462" s="3710"/>
      <c r="K462" s="3711"/>
      <c r="L462" s="3712"/>
      <c r="M462" s="3710"/>
      <c r="N462" s="3710"/>
      <c r="O462" s="3710"/>
      <c r="P462" s="3752"/>
      <c r="Q462" s="3710"/>
      <c r="R462" s="3710"/>
      <c r="S462" s="3710"/>
      <c r="T462" s="3710"/>
      <c r="U462" s="3710"/>
      <c r="V462" s="3710"/>
      <c r="W462" s="3710"/>
      <c r="X462" s="3710"/>
      <c r="Y462" s="3710"/>
      <c r="Z462" s="3710"/>
      <c r="AA462" s="3710"/>
      <c r="AB462" s="3710"/>
      <c r="AC462" s="3710"/>
    </row>
    <row r="463" spans="1:29">
      <c r="A463" s="3710"/>
      <c r="B463" s="3710"/>
      <c r="C463" s="3710"/>
      <c r="D463" s="3710"/>
      <c r="E463" s="3710"/>
      <c r="F463" s="3710"/>
      <c r="G463" s="3710"/>
      <c r="H463" s="3710"/>
      <c r="I463" s="3710"/>
      <c r="J463" s="3710"/>
      <c r="K463" s="3711"/>
      <c r="L463" s="3712"/>
      <c r="M463" s="3710"/>
      <c r="N463" s="3710"/>
      <c r="O463" s="3710"/>
      <c r="P463" s="3752"/>
      <c r="Q463" s="3710"/>
      <c r="R463" s="3710"/>
      <c r="S463" s="3710"/>
      <c r="T463" s="3710"/>
      <c r="U463" s="3710"/>
      <c r="V463" s="3710"/>
      <c r="W463" s="3710"/>
      <c r="X463" s="3710"/>
      <c r="Y463" s="3710"/>
      <c r="Z463" s="3710"/>
      <c r="AA463" s="3710"/>
      <c r="AB463" s="3710"/>
      <c r="AC463" s="3710"/>
    </row>
    <row r="464" spans="1:29">
      <c r="A464" s="3710"/>
      <c r="B464" s="3710"/>
      <c r="C464" s="3710"/>
      <c r="D464" s="3710"/>
      <c r="E464" s="3710"/>
      <c r="F464" s="3710"/>
      <c r="G464" s="3710"/>
      <c r="H464" s="3710"/>
      <c r="I464" s="3710"/>
      <c r="J464" s="3710"/>
      <c r="K464" s="3711"/>
      <c r="L464" s="3712"/>
      <c r="M464" s="3710"/>
      <c r="N464" s="3710"/>
      <c r="O464" s="3710"/>
      <c r="P464" s="3752"/>
      <c r="Q464" s="3710"/>
      <c r="R464" s="3710"/>
      <c r="S464" s="3710"/>
      <c r="T464" s="3710"/>
      <c r="U464" s="3710"/>
      <c r="V464" s="3710"/>
      <c r="W464" s="3710"/>
      <c r="X464" s="3710"/>
      <c r="Y464" s="3710"/>
      <c r="Z464" s="3710"/>
      <c r="AA464" s="3710"/>
      <c r="AB464" s="3710"/>
      <c r="AC464" s="3710"/>
    </row>
    <row r="465" spans="1:29">
      <c r="A465" s="3710"/>
      <c r="B465" s="3710"/>
      <c r="C465" s="3710"/>
      <c r="D465" s="3710"/>
      <c r="E465" s="3710"/>
      <c r="F465" s="3710"/>
      <c r="G465" s="3710"/>
      <c r="H465" s="3710"/>
      <c r="I465" s="3710"/>
      <c r="J465" s="3710"/>
      <c r="K465" s="3711"/>
      <c r="L465" s="3712"/>
      <c r="M465" s="3710"/>
      <c r="N465" s="3710"/>
      <c r="O465" s="3710"/>
      <c r="P465" s="3752"/>
      <c r="Q465" s="3710"/>
      <c r="R465" s="3710"/>
      <c r="S465" s="3710"/>
      <c r="T465" s="3710"/>
      <c r="U465" s="3710"/>
      <c r="V465" s="3710"/>
      <c r="W465" s="3710"/>
      <c r="X465" s="3710"/>
      <c r="Y465" s="3710"/>
      <c r="Z465" s="3710"/>
      <c r="AA465" s="3710"/>
      <c r="AB465" s="3710"/>
      <c r="AC465" s="3710"/>
    </row>
    <row r="466" spans="1:29">
      <c r="A466" s="3710"/>
      <c r="B466" s="3710"/>
      <c r="C466" s="3710"/>
      <c r="D466" s="3710"/>
      <c r="E466" s="3710"/>
      <c r="F466" s="3710"/>
      <c r="G466" s="3710"/>
      <c r="H466" s="3710"/>
      <c r="I466" s="3710"/>
      <c r="J466" s="3710"/>
      <c r="K466" s="3711"/>
      <c r="L466" s="3712"/>
      <c r="M466" s="3710"/>
      <c r="N466" s="3710"/>
      <c r="O466" s="3710"/>
      <c r="P466" s="3752"/>
      <c r="Q466" s="3710"/>
      <c r="R466" s="3710"/>
      <c r="S466" s="3710"/>
      <c r="T466" s="3710"/>
      <c r="U466" s="3710"/>
      <c r="V466" s="3710"/>
      <c r="W466" s="3710"/>
      <c r="X466" s="3710"/>
      <c r="Y466" s="3710"/>
      <c r="Z466" s="3710"/>
      <c r="AA466" s="3710"/>
      <c r="AB466" s="3710"/>
      <c r="AC466" s="3710"/>
    </row>
    <row r="467" spans="1:29">
      <c r="A467" s="3710"/>
      <c r="B467" s="3710"/>
      <c r="C467" s="3710"/>
      <c r="D467" s="3710"/>
      <c r="E467" s="3710"/>
      <c r="F467" s="3710"/>
      <c r="G467" s="3710"/>
      <c r="H467" s="3710"/>
      <c r="I467" s="3710"/>
      <c r="J467" s="3710"/>
      <c r="K467" s="3711"/>
      <c r="L467" s="3712"/>
      <c r="M467" s="3710"/>
      <c r="N467" s="3710"/>
      <c r="O467" s="3710"/>
      <c r="P467" s="3752"/>
      <c r="Q467" s="3710"/>
      <c r="R467" s="3710"/>
      <c r="S467" s="3710"/>
      <c r="T467" s="3710"/>
      <c r="U467" s="3710"/>
      <c r="V467" s="3710"/>
      <c r="W467" s="3710"/>
      <c r="X467" s="3710"/>
      <c r="Y467" s="3710"/>
      <c r="Z467" s="3710"/>
      <c r="AA467" s="3710"/>
      <c r="AB467" s="3710"/>
      <c r="AC467" s="3710"/>
    </row>
    <row r="468" spans="1:29">
      <c r="A468" s="3710"/>
      <c r="B468" s="3710"/>
      <c r="C468" s="3710"/>
      <c r="D468" s="3710"/>
      <c r="E468" s="3710"/>
      <c r="F468" s="3710"/>
      <c r="G468" s="3710"/>
      <c r="H468" s="3710"/>
      <c r="I468" s="3710"/>
      <c r="J468" s="3710"/>
      <c r="K468" s="3711"/>
      <c r="L468" s="3712"/>
      <c r="M468" s="3710"/>
      <c r="N468" s="3710"/>
      <c r="O468" s="3710"/>
      <c r="P468" s="3752"/>
      <c r="Q468" s="3710"/>
      <c r="R468" s="3710"/>
      <c r="S468" s="3710"/>
      <c r="T468" s="3710"/>
      <c r="U468" s="3710"/>
      <c r="V468" s="3710"/>
      <c r="W468" s="3710"/>
      <c r="X468" s="3710"/>
      <c r="Y468" s="3710"/>
      <c r="Z468" s="3710"/>
      <c r="AA468" s="3710"/>
      <c r="AB468" s="3710"/>
      <c r="AC468" s="3710"/>
    </row>
    <row r="469" spans="1:29">
      <c r="A469" s="3710"/>
      <c r="B469" s="3710"/>
      <c r="C469" s="3710"/>
      <c r="D469" s="3710"/>
      <c r="E469" s="3710"/>
      <c r="F469" s="3710"/>
      <c r="G469" s="3710"/>
      <c r="H469" s="3710"/>
      <c r="I469" s="3710"/>
      <c r="J469" s="3710"/>
      <c r="K469" s="3711"/>
      <c r="L469" s="3712"/>
      <c r="M469" s="3710"/>
      <c r="N469" s="3710"/>
      <c r="O469" s="3710"/>
      <c r="P469" s="3752"/>
      <c r="Q469" s="3710"/>
      <c r="R469" s="3710"/>
      <c r="S469" s="3710"/>
      <c r="T469" s="3710"/>
      <c r="U469" s="3710"/>
      <c r="V469" s="3710"/>
      <c r="W469" s="3710"/>
      <c r="X469" s="3710"/>
      <c r="Y469" s="3710"/>
      <c r="Z469" s="3710"/>
      <c r="AA469" s="3710"/>
      <c r="AB469" s="3710"/>
      <c r="AC469" s="3710"/>
    </row>
    <row r="470" spans="1:29">
      <c r="A470" s="3710"/>
      <c r="B470" s="3710"/>
      <c r="C470" s="3710"/>
      <c r="D470" s="3710"/>
      <c r="E470" s="3710"/>
      <c r="F470" s="3710"/>
      <c r="G470" s="3710"/>
      <c r="H470" s="3710"/>
      <c r="I470" s="3710"/>
      <c r="J470" s="3710"/>
      <c r="K470" s="3711"/>
      <c r="L470" s="3712"/>
      <c r="M470" s="3710"/>
      <c r="N470" s="3710"/>
      <c r="O470" s="3710"/>
      <c r="P470" s="3752"/>
      <c r="Q470" s="3710"/>
      <c r="R470" s="3710"/>
      <c r="S470" s="3710"/>
      <c r="T470" s="3710"/>
      <c r="U470" s="3710"/>
      <c r="V470" s="3710"/>
      <c r="W470" s="3710"/>
      <c r="X470" s="3710"/>
      <c r="Y470" s="3710"/>
      <c r="Z470" s="3710"/>
      <c r="AA470" s="3710"/>
      <c r="AB470" s="3710"/>
      <c r="AC470" s="3710"/>
    </row>
    <row r="471" spans="1:29">
      <c r="A471" s="3710"/>
      <c r="B471" s="3710"/>
      <c r="C471" s="3710"/>
      <c r="D471" s="3710"/>
      <c r="E471" s="3710"/>
      <c r="F471" s="3710"/>
      <c r="G471" s="3710"/>
      <c r="H471" s="3710"/>
      <c r="I471" s="3710"/>
      <c r="J471" s="3710"/>
      <c r="K471" s="3711"/>
      <c r="L471" s="3712"/>
      <c r="M471" s="3710"/>
      <c r="N471" s="3710"/>
      <c r="O471" s="3710"/>
      <c r="P471" s="3752"/>
      <c r="Q471" s="3710"/>
      <c r="R471" s="3710"/>
      <c r="S471" s="3710"/>
      <c r="T471" s="3710"/>
      <c r="U471" s="3710"/>
      <c r="V471" s="3710"/>
      <c r="W471" s="3710"/>
      <c r="X471" s="3710"/>
      <c r="Y471" s="3710"/>
      <c r="Z471" s="3710"/>
      <c r="AA471" s="3710"/>
      <c r="AB471" s="3710"/>
      <c r="AC471" s="3710"/>
    </row>
    <row r="472" spans="1:29">
      <c r="A472" s="3710"/>
      <c r="B472" s="3710"/>
      <c r="C472" s="3710"/>
      <c r="D472" s="3710"/>
      <c r="E472" s="3710"/>
      <c r="F472" s="3710"/>
      <c r="G472" s="3710"/>
      <c r="H472" s="3710"/>
      <c r="I472" s="3710"/>
      <c r="J472" s="3710"/>
      <c r="K472" s="3711"/>
      <c r="L472" s="3712"/>
      <c r="M472" s="3710"/>
      <c r="N472" s="3710"/>
      <c r="O472" s="3710"/>
      <c r="P472" s="3752"/>
      <c r="Q472" s="3710"/>
      <c r="R472" s="3710"/>
      <c r="S472" s="3710"/>
      <c r="T472" s="3710"/>
      <c r="U472" s="3710"/>
      <c r="V472" s="3710"/>
      <c r="W472" s="3710"/>
      <c r="X472" s="3710"/>
      <c r="Y472" s="3710"/>
      <c r="Z472" s="3710"/>
      <c r="AA472" s="3710"/>
      <c r="AB472" s="3710"/>
      <c r="AC472" s="3710"/>
    </row>
    <row r="473" spans="1:29">
      <c r="A473" s="3710"/>
      <c r="B473" s="3710"/>
      <c r="C473" s="3710"/>
      <c r="D473" s="3710"/>
      <c r="E473" s="3710"/>
      <c r="F473" s="3710"/>
      <c r="G473" s="3710"/>
      <c r="H473" s="3710"/>
      <c r="I473" s="3710"/>
      <c r="J473" s="3710"/>
      <c r="K473" s="3711"/>
      <c r="L473" s="3712"/>
      <c r="M473" s="3710"/>
      <c r="N473" s="3710"/>
      <c r="O473" s="3710"/>
      <c r="P473" s="3752"/>
      <c r="Q473" s="3710"/>
      <c r="R473" s="3710"/>
      <c r="S473" s="3710"/>
      <c r="T473" s="3710"/>
      <c r="U473" s="3710"/>
      <c r="V473" s="3710"/>
      <c r="W473" s="3710"/>
      <c r="X473" s="3710"/>
      <c r="Y473" s="3710"/>
      <c r="Z473" s="3710"/>
      <c r="AA473" s="3710"/>
      <c r="AB473" s="3710"/>
      <c r="AC473" s="3710"/>
    </row>
    <row r="474" spans="1:29">
      <c r="A474" s="3710"/>
      <c r="B474" s="3710"/>
      <c r="C474" s="3710"/>
      <c r="D474" s="3710"/>
      <c r="E474" s="3710"/>
      <c r="F474" s="3710"/>
      <c r="G474" s="3710"/>
      <c r="H474" s="3710"/>
      <c r="I474" s="3710"/>
      <c r="J474" s="3710"/>
      <c r="K474" s="3711"/>
      <c r="L474" s="3712"/>
      <c r="M474" s="3710"/>
      <c r="N474" s="3710"/>
      <c r="O474" s="3710"/>
      <c r="P474" s="3752"/>
      <c r="Q474" s="3710"/>
      <c r="R474" s="3710"/>
      <c r="S474" s="3710"/>
      <c r="T474" s="3710"/>
      <c r="U474" s="3710"/>
      <c r="V474" s="3710"/>
      <c r="W474" s="3710"/>
      <c r="X474" s="3710"/>
      <c r="Y474" s="3710"/>
      <c r="Z474" s="3710"/>
      <c r="AA474" s="3710"/>
      <c r="AB474" s="3710"/>
      <c r="AC474" s="3710"/>
    </row>
    <row r="475" spans="1:29">
      <c r="A475" s="3710"/>
      <c r="B475" s="3710"/>
      <c r="C475" s="3710"/>
      <c r="D475" s="3710"/>
      <c r="E475" s="3710"/>
      <c r="F475" s="3710"/>
      <c r="G475" s="3710"/>
      <c r="H475" s="3710"/>
      <c r="I475" s="3710"/>
      <c r="J475" s="3710"/>
      <c r="K475" s="3711"/>
      <c r="L475" s="3712"/>
      <c r="M475" s="3710"/>
      <c r="N475" s="3710"/>
      <c r="O475" s="3710"/>
      <c r="P475" s="3752"/>
      <c r="Q475" s="3710"/>
      <c r="R475" s="3710"/>
      <c r="S475" s="3710"/>
      <c r="T475" s="3710"/>
      <c r="U475" s="3710"/>
      <c r="V475" s="3710"/>
      <c r="W475" s="3710"/>
      <c r="X475" s="3710"/>
      <c r="Y475" s="3710"/>
      <c r="Z475" s="3710"/>
      <c r="AA475" s="3710"/>
      <c r="AB475" s="3710"/>
      <c r="AC475" s="3710"/>
    </row>
    <row r="476" spans="1:29">
      <c r="A476" s="3710"/>
      <c r="B476" s="3710"/>
      <c r="C476" s="3710"/>
      <c r="D476" s="3710"/>
      <c r="E476" s="3710"/>
      <c r="F476" s="3710"/>
      <c r="G476" s="3710"/>
      <c r="H476" s="3710"/>
      <c r="I476" s="3710"/>
      <c r="J476" s="3710"/>
      <c r="K476" s="3711"/>
      <c r="L476" s="3712"/>
      <c r="M476" s="3710"/>
      <c r="N476" s="3710"/>
      <c r="O476" s="3710"/>
      <c r="P476" s="3752"/>
      <c r="Q476" s="3710"/>
      <c r="R476" s="3710"/>
      <c r="S476" s="3710"/>
      <c r="T476" s="3710"/>
      <c r="U476" s="3710"/>
      <c r="V476" s="3710"/>
      <c r="W476" s="3710"/>
      <c r="X476" s="3710"/>
      <c r="Y476" s="3710"/>
      <c r="Z476" s="3710"/>
      <c r="AA476" s="3710"/>
      <c r="AB476" s="3710"/>
      <c r="AC476" s="3710"/>
    </row>
    <row r="477" spans="1:29">
      <c r="A477" s="3710"/>
      <c r="B477" s="3710"/>
      <c r="C477" s="3710"/>
      <c r="D477" s="3710"/>
      <c r="E477" s="3710"/>
      <c r="F477" s="3710"/>
      <c r="G477" s="3710"/>
      <c r="H477" s="3710"/>
      <c r="I477" s="3710"/>
      <c r="J477" s="3710"/>
      <c r="K477" s="3711"/>
      <c r="L477" s="3712"/>
      <c r="M477" s="3710"/>
      <c r="N477" s="3710"/>
      <c r="O477" s="3710"/>
      <c r="P477" s="3752"/>
      <c r="Q477" s="3710"/>
      <c r="R477" s="3710"/>
      <c r="S477" s="3710"/>
      <c r="T477" s="3710"/>
      <c r="U477" s="3710"/>
      <c r="V477" s="3710"/>
      <c r="W477" s="3710"/>
      <c r="X477" s="3710"/>
      <c r="Y477" s="3710"/>
      <c r="Z477" s="3710"/>
      <c r="AA477" s="3710"/>
      <c r="AB477" s="3710"/>
      <c r="AC477" s="3710"/>
    </row>
    <row r="478" spans="1:29">
      <c r="A478" s="3710"/>
      <c r="B478" s="3710"/>
      <c r="C478" s="3710"/>
      <c r="D478" s="3710"/>
      <c r="E478" s="3710"/>
      <c r="F478" s="3710"/>
      <c r="G478" s="3710"/>
      <c r="H478" s="3710"/>
      <c r="I478" s="3710"/>
      <c r="J478" s="3710"/>
      <c r="K478" s="3711"/>
      <c r="L478" s="3712"/>
      <c r="M478" s="3710"/>
      <c r="N478" s="3710"/>
      <c r="O478" s="3710"/>
      <c r="P478" s="3752"/>
      <c r="Q478" s="3710"/>
      <c r="R478" s="3710"/>
      <c r="S478" s="3710"/>
      <c r="T478" s="3710"/>
      <c r="U478" s="3710"/>
      <c r="V478" s="3710"/>
      <c r="W478" s="3710"/>
      <c r="X478" s="3710"/>
      <c r="Y478" s="3710"/>
      <c r="Z478" s="3710"/>
      <c r="AA478" s="3710"/>
      <c r="AB478" s="3710"/>
      <c r="AC478" s="3710"/>
    </row>
    <row r="479" spans="1:29">
      <c r="A479" s="3710"/>
      <c r="B479" s="3710"/>
      <c r="C479" s="3710"/>
      <c r="D479" s="3710"/>
      <c r="E479" s="3710"/>
      <c r="F479" s="3710"/>
      <c r="G479" s="3710"/>
      <c r="H479" s="3710"/>
      <c r="I479" s="3710"/>
      <c r="J479" s="3710"/>
      <c r="K479" s="3711"/>
      <c r="L479" s="3712"/>
      <c r="M479" s="3710"/>
      <c r="N479" s="3710"/>
      <c r="O479" s="3710"/>
      <c r="P479" s="3752"/>
      <c r="Q479" s="3710"/>
      <c r="R479" s="3710"/>
      <c r="S479" s="3710"/>
      <c r="T479" s="3710"/>
      <c r="U479" s="3710"/>
      <c r="V479" s="3710"/>
      <c r="W479" s="3710"/>
      <c r="X479" s="3710"/>
      <c r="Y479" s="3710"/>
      <c r="Z479" s="3710"/>
      <c r="AA479" s="3710"/>
      <c r="AB479" s="3710"/>
      <c r="AC479" s="3710"/>
    </row>
    <row r="480" spans="1:29">
      <c r="A480" s="3710"/>
      <c r="B480" s="3710"/>
      <c r="C480" s="3710"/>
      <c r="D480" s="3710"/>
      <c r="E480" s="3710"/>
      <c r="F480" s="3710"/>
      <c r="G480" s="3710"/>
      <c r="H480" s="3710"/>
      <c r="I480" s="3710"/>
      <c r="J480" s="3710"/>
      <c r="K480" s="3711"/>
      <c r="L480" s="3712"/>
      <c r="M480" s="3710"/>
      <c r="N480" s="3710"/>
      <c r="O480" s="3710"/>
      <c r="P480" s="3752"/>
      <c r="Q480" s="3710"/>
      <c r="R480" s="3710"/>
      <c r="S480" s="3710"/>
      <c r="T480" s="3710"/>
      <c r="U480" s="3710"/>
      <c r="V480" s="3710"/>
      <c r="W480" s="3710"/>
      <c r="X480" s="3710"/>
      <c r="Y480" s="3710"/>
      <c r="Z480" s="3710"/>
      <c r="AA480" s="3710"/>
      <c r="AB480" s="3710"/>
      <c r="AC480" s="3710"/>
    </row>
    <row r="481" spans="1:29">
      <c r="A481" s="3710"/>
      <c r="B481" s="3710"/>
      <c r="C481" s="3710"/>
      <c r="D481" s="3710"/>
      <c r="E481" s="3710"/>
      <c r="F481" s="3710"/>
      <c r="G481" s="3710"/>
      <c r="H481" s="3710"/>
      <c r="I481" s="3710"/>
      <c r="J481" s="3710"/>
      <c r="K481" s="3711"/>
      <c r="L481" s="3712"/>
      <c r="M481" s="3710"/>
      <c r="N481" s="3710"/>
      <c r="O481" s="3710"/>
      <c r="P481" s="3752"/>
      <c r="Q481" s="3710"/>
      <c r="R481" s="3710"/>
      <c r="S481" s="3710"/>
      <c r="T481" s="3710"/>
      <c r="U481" s="3710"/>
      <c r="V481" s="3710"/>
      <c r="W481" s="3710"/>
      <c r="X481" s="3710"/>
      <c r="Y481" s="3710"/>
      <c r="Z481" s="3710"/>
      <c r="AA481" s="3710"/>
      <c r="AB481" s="3710"/>
      <c r="AC481" s="3710"/>
    </row>
    <row r="482" spans="1:29">
      <c r="A482" s="3710"/>
      <c r="B482" s="3710"/>
      <c r="C482" s="3710"/>
      <c r="D482" s="3710"/>
      <c r="E482" s="3710"/>
      <c r="F482" s="3710"/>
      <c r="G482" s="3710"/>
      <c r="H482" s="3710"/>
      <c r="I482" s="3710"/>
      <c r="J482" s="3710"/>
      <c r="K482" s="3711"/>
      <c r="L482" s="3712"/>
      <c r="M482" s="3710"/>
      <c r="N482" s="3710"/>
      <c r="O482" s="3710"/>
      <c r="P482" s="3752"/>
      <c r="Q482" s="3710"/>
      <c r="R482" s="3710"/>
      <c r="S482" s="3710"/>
      <c r="T482" s="3710"/>
      <c r="U482" s="3710"/>
      <c r="V482" s="3710"/>
      <c r="W482" s="3710"/>
      <c r="X482" s="3710"/>
      <c r="Y482" s="3710"/>
      <c r="Z482" s="3710"/>
      <c r="AA482" s="3710"/>
      <c r="AB482" s="3710"/>
      <c r="AC482" s="3710"/>
    </row>
    <row r="483" spans="1:29">
      <c r="A483" s="3710"/>
      <c r="B483" s="3710"/>
      <c r="C483" s="3710"/>
      <c r="D483" s="3710"/>
      <c r="E483" s="3710"/>
      <c r="F483" s="3710"/>
      <c r="G483" s="3710"/>
      <c r="H483" s="3710"/>
      <c r="I483" s="3710"/>
      <c r="J483" s="3710"/>
      <c r="K483" s="3711"/>
      <c r="L483" s="3712"/>
      <c r="M483" s="3710"/>
      <c r="N483" s="3710"/>
      <c r="O483" s="3710"/>
      <c r="P483" s="3752"/>
      <c r="Q483" s="3710"/>
      <c r="R483" s="3710"/>
      <c r="S483" s="3710"/>
      <c r="T483" s="3710"/>
      <c r="U483" s="3710"/>
      <c r="V483" s="3710"/>
      <c r="W483" s="3710"/>
      <c r="X483" s="3710"/>
      <c r="Y483" s="3710"/>
      <c r="Z483" s="3710"/>
      <c r="AA483" s="3710"/>
      <c r="AB483" s="3710"/>
      <c r="AC483" s="3710"/>
    </row>
    <row r="484" spans="1:29">
      <c r="A484" s="3710"/>
      <c r="B484" s="3710"/>
      <c r="C484" s="3710"/>
      <c r="D484" s="3710"/>
      <c r="E484" s="3710"/>
      <c r="F484" s="3710"/>
      <c r="G484" s="3710"/>
      <c r="H484" s="3710"/>
      <c r="I484" s="3710"/>
      <c r="J484" s="3710"/>
      <c r="K484" s="3711"/>
      <c r="L484" s="3712"/>
      <c r="M484" s="3710"/>
      <c r="N484" s="3710"/>
      <c r="O484" s="3710"/>
      <c r="P484" s="3752"/>
      <c r="Q484" s="3710"/>
      <c r="R484" s="3710"/>
      <c r="S484" s="3710"/>
      <c r="T484" s="3710"/>
      <c r="U484" s="3710"/>
      <c r="V484" s="3710"/>
      <c r="W484" s="3710"/>
      <c r="X484" s="3710"/>
      <c r="Y484" s="3710"/>
      <c r="Z484" s="3710"/>
      <c r="AA484" s="3710"/>
      <c r="AB484" s="3710"/>
      <c r="AC484" s="3710"/>
    </row>
    <row r="485" spans="1:29">
      <c r="A485" s="3710"/>
      <c r="B485" s="3710"/>
      <c r="C485" s="3710"/>
      <c r="D485" s="3710"/>
      <c r="E485" s="3710"/>
      <c r="F485" s="3710"/>
      <c r="G485" s="3710"/>
      <c r="H485" s="3710"/>
      <c r="I485" s="3710"/>
      <c r="J485" s="3710"/>
      <c r="K485" s="3711"/>
      <c r="L485" s="3712"/>
      <c r="M485" s="3710"/>
      <c r="N485" s="3710"/>
      <c r="O485" s="3710"/>
      <c r="P485" s="3752"/>
      <c r="Q485" s="3710"/>
      <c r="R485" s="3710"/>
      <c r="S485" s="3710"/>
      <c r="T485" s="3710"/>
      <c r="U485" s="3710"/>
      <c r="V485" s="3710"/>
      <c r="W485" s="3710"/>
      <c r="X485" s="3710"/>
      <c r="Y485" s="3710"/>
      <c r="Z485" s="3710"/>
      <c r="AA485" s="3710"/>
      <c r="AB485" s="3710"/>
      <c r="AC485" s="3710"/>
    </row>
    <row r="486" spans="1:29">
      <c r="A486" s="3710"/>
      <c r="B486" s="3710"/>
      <c r="C486" s="3710"/>
      <c r="D486" s="3710"/>
      <c r="E486" s="3710"/>
      <c r="F486" s="3710"/>
      <c r="G486" s="3710"/>
      <c r="H486" s="3710"/>
      <c r="I486" s="3710"/>
      <c r="J486" s="3710"/>
      <c r="K486" s="3711"/>
      <c r="L486" s="3712"/>
      <c r="M486" s="3710"/>
      <c r="N486" s="3710"/>
      <c r="O486" s="3710"/>
      <c r="P486" s="3752"/>
      <c r="Q486" s="3710"/>
      <c r="R486" s="3710"/>
      <c r="S486" s="3710"/>
      <c r="T486" s="3710"/>
      <c r="U486" s="3710"/>
      <c r="V486" s="3710"/>
      <c r="W486" s="3710"/>
      <c r="X486" s="3710"/>
      <c r="Y486" s="3710"/>
      <c r="Z486" s="3710"/>
      <c r="AA486" s="3710"/>
      <c r="AB486" s="3710"/>
      <c r="AC486" s="3710"/>
    </row>
    <row r="487" spans="1:29">
      <c r="A487" s="3710"/>
      <c r="B487" s="3710"/>
      <c r="C487" s="3710"/>
      <c r="D487" s="3710"/>
      <c r="E487" s="3710"/>
      <c r="F487" s="3710"/>
      <c r="G487" s="3710"/>
      <c r="H487" s="3710"/>
      <c r="I487" s="3710"/>
      <c r="J487" s="3710"/>
      <c r="K487" s="3711"/>
      <c r="L487" s="3712"/>
      <c r="M487" s="3710"/>
      <c r="N487" s="3710"/>
      <c r="O487" s="3710"/>
      <c r="P487" s="3752"/>
      <c r="Q487" s="3710"/>
      <c r="R487" s="3710"/>
      <c r="S487" s="3710"/>
      <c r="T487" s="3710"/>
      <c r="U487" s="3710"/>
      <c r="V487" s="3710"/>
      <c r="W487" s="3710"/>
      <c r="X487" s="3710"/>
      <c r="Y487" s="3710"/>
      <c r="Z487" s="3710"/>
      <c r="AA487" s="3710"/>
      <c r="AB487" s="3710"/>
      <c r="AC487" s="3710"/>
    </row>
    <row r="488" spans="1:29">
      <c r="A488" s="3710"/>
      <c r="B488" s="3710"/>
      <c r="C488" s="3710"/>
      <c r="D488" s="3710"/>
      <c r="E488" s="3710"/>
      <c r="F488" s="3710"/>
      <c r="G488" s="3710"/>
      <c r="H488" s="3710"/>
      <c r="I488" s="3710"/>
      <c r="J488" s="3710"/>
      <c r="K488" s="3711"/>
      <c r="L488" s="3712"/>
      <c r="M488" s="3710"/>
      <c r="N488" s="3710"/>
      <c r="O488" s="3710"/>
      <c r="P488" s="3752"/>
      <c r="Q488" s="3710"/>
      <c r="R488" s="3710"/>
      <c r="S488" s="3710"/>
      <c r="T488" s="3710"/>
      <c r="U488" s="3710"/>
      <c r="V488" s="3710"/>
      <c r="W488" s="3710"/>
      <c r="X488" s="3710"/>
      <c r="Y488" s="3710"/>
      <c r="Z488" s="3710"/>
      <c r="AA488" s="3710"/>
      <c r="AB488" s="3710"/>
      <c r="AC488" s="3710"/>
    </row>
    <row r="489" spans="1:29">
      <c r="A489" s="3710"/>
      <c r="B489" s="3710"/>
      <c r="C489" s="3710"/>
      <c r="D489" s="3710"/>
      <c r="E489" s="3710"/>
      <c r="F489" s="3710"/>
      <c r="G489" s="3710"/>
      <c r="H489" s="3710"/>
      <c r="I489" s="3710"/>
      <c r="J489" s="3710"/>
      <c r="K489" s="3711"/>
      <c r="L489" s="3712"/>
      <c r="M489" s="3710"/>
      <c r="N489" s="3710"/>
      <c r="O489" s="3710"/>
      <c r="P489" s="3752"/>
      <c r="Q489" s="3710"/>
      <c r="R489" s="3710"/>
      <c r="S489" s="3710"/>
      <c r="T489" s="3710"/>
      <c r="U489" s="3710"/>
      <c r="V489" s="3710"/>
      <c r="W489" s="3710"/>
      <c r="X489" s="3710"/>
      <c r="Y489" s="3710"/>
      <c r="Z489" s="3710"/>
      <c r="AA489" s="3710"/>
      <c r="AB489" s="3710"/>
      <c r="AC489" s="3710"/>
    </row>
    <row r="490" spans="1:29">
      <c r="A490" s="3710"/>
      <c r="B490" s="3710"/>
      <c r="C490" s="3710"/>
      <c r="D490" s="3710"/>
      <c r="E490" s="3710"/>
      <c r="F490" s="3710"/>
      <c r="G490" s="3710"/>
      <c r="H490" s="3710"/>
      <c r="I490" s="3710"/>
      <c r="J490" s="3710"/>
      <c r="K490" s="3711"/>
      <c r="L490" s="3712"/>
      <c r="M490" s="3710"/>
      <c r="N490" s="3710"/>
      <c r="O490" s="3710"/>
      <c r="P490" s="3752"/>
      <c r="Q490" s="3710"/>
      <c r="R490" s="3710"/>
      <c r="S490" s="3710"/>
      <c r="T490" s="3710"/>
      <c r="U490" s="3710"/>
      <c r="V490" s="3710"/>
      <c r="W490" s="3710"/>
      <c r="X490" s="3710"/>
      <c r="Y490" s="3710"/>
      <c r="Z490" s="3710"/>
      <c r="AA490" s="3710"/>
      <c r="AB490" s="3710"/>
      <c r="AC490" s="3710"/>
    </row>
    <row r="491" spans="1:29">
      <c r="A491" s="3710"/>
      <c r="B491" s="3710"/>
      <c r="C491" s="3710"/>
      <c r="D491" s="3710"/>
      <c r="E491" s="3710"/>
      <c r="F491" s="3710"/>
      <c r="G491" s="3710"/>
      <c r="H491" s="3710"/>
      <c r="I491" s="3710"/>
      <c r="J491" s="3710"/>
      <c r="K491" s="3711"/>
      <c r="L491" s="3712"/>
      <c r="M491" s="3710"/>
      <c r="N491" s="3710"/>
      <c r="O491" s="3710"/>
      <c r="P491" s="3752"/>
      <c r="Q491" s="3710"/>
      <c r="R491" s="3710"/>
      <c r="S491" s="3710"/>
      <c r="T491" s="3710"/>
      <c r="U491" s="3710"/>
      <c r="V491" s="3710"/>
      <c r="W491" s="3710"/>
      <c r="X491" s="3710"/>
      <c r="Y491" s="3710"/>
      <c r="Z491" s="3710"/>
      <c r="AA491" s="3710"/>
      <c r="AB491" s="3710"/>
      <c r="AC491" s="3710"/>
    </row>
    <row r="492" spans="1:29">
      <c r="A492" s="3710"/>
      <c r="B492" s="3710"/>
      <c r="C492" s="3710"/>
      <c r="D492" s="3710"/>
      <c r="E492" s="3710"/>
      <c r="F492" s="3710"/>
      <c r="G492" s="3710"/>
      <c r="H492" s="3710"/>
      <c r="I492" s="3710"/>
      <c r="J492" s="3710"/>
      <c r="K492" s="3711"/>
      <c r="L492" s="3712"/>
      <c r="M492" s="3710"/>
      <c r="N492" s="3710"/>
      <c r="O492" s="3710"/>
      <c r="P492" s="3752"/>
      <c r="Q492" s="3710"/>
      <c r="R492" s="3710"/>
      <c r="S492" s="3710"/>
      <c r="T492" s="3710"/>
      <c r="U492" s="3710"/>
      <c r="V492" s="3710"/>
      <c r="W492" s="3710"/>
      <c r="X492" s="3710"/>
      <c r="Y492" s="3710"/>
      <c r="Z492" s="3710"/>
      <c r="AA492" s="3710"/>
      <c r="AB492" s="3710"/>
      <c r="AC492" s="3710"/>
    </row>
    <row r="493" spans="1:29">
      <c r="A493" s="3710"/>
      <c r="B493" s="3710"/>
      <c r="C493" s="3710"/>
      <c r="D493" s="3710"/>
      <c r="E493" s="3710"/>
      <c r="F493" s="3710"/>
      <c r="G493" s="3710"/>
      <c r="H493" s="3710"/>
      <c r="I493" s="3710"/>
      <c r="J493" s="3710"/>
      <c r="K493" s="3711"/>
      <c r="L493" s="3712"/>
      <c r="M493" s="3710"/>
      <c r="N493" s="3710"/>
      <c r="O493" s="3710"/>
      <c r="P493" s="3752"/>
      <c r="Q493" s="3710"/>
      <c r="R493" s="3710"/>
      <c r="S493" s="3710"/>
      <c r="T493" s="3710"/>
      <c r="U493" s="3710"/>
      <c r="V493" s="3710"/>
      <c r="W493" s="3710"/>
      <c r="X493" s="3710"/>
      <c r="Y493" s="3710"/>
      <c r="Z493" s="3710"/>
      <c r="AA493" s="3710"/>
      <c r="AB493" s="3710"/>
      <c r="AC493" s="3710"/>
    </row>
    <row r="494" spans="1:29">
      <c r="A494" s="3710"/>
      <c r="B494" s="3710"/>
      <c r="C494" s="3710"/>
      <c r="D494" s="3710"/>
      <c r="E494" s="3710"/>
      <c r="F494" s="3710"/>
      <c r="G494" s="3710"/>
      <c r="H494" s="3710"/>
      <c r="I494" s="3710"/>
      <c r="J494" s="3710"/>
      <c r="K494" s="3711"/>
      <c r="L494" s="3712"/>
      <c r="M494" s="3710"/>
      <c r="N494" s="3710"/>
      <c r="O494" s="3710"/>
      <c r="P494" s="3752"/>
      <c r="Q494" s="3710"/>
      <c r="R494" s="3710"/>
      <c r="S494" s="3710"/>
      <c r="T494" s="3710"/>
      <c r="U494" s="3710"/>
      <c r="V494" s="3710"/>
      <c r="W494" s="3710"/>
      <c r="X494" s="3710"/>
      <c r="Y494" s="3710"/>
      <c r="Z494" s="3710"/>
      <c r="AA494" s="3710"/>
      <c r="AB494" s="3710"/>
      <c r="AC494" s="3710"/>
    </row>
    <row r="495" spans="1:29">
      <c r="A495" s="3710"/>
      <c r="B495" s="3710"/>
      <c r="C495" s="3710"/>
      <c r="D495" s="3710"/>
      <c r="E495" s="3710"/>
      <c r="F495" s="3710"/>
      <c r="G495" s="3710"/>
      <c r="H495" s="3710"/>
      <c r="I495" s="3710"/>
      <c r="J495" s="3710"/>
      <c r="K495" s="3711"/>
      <c r="L495" s="3712"/>
      <c r="M495" s="3710"/>
      <c r="N495" s="3710"/>
      <c r="O495" s="3710"/>
      <c r="P495" s="3752"/>
      <c r="Q495" s="3710"/>
      <c r="R495" s="3710"/>
      <c r="S495" s="3710"/>
      <c r="T495" s="3710"/>
      <c r="U495" s="3710"/>
      <c r="V495" s="3710"/>
      <c r="W495" s="3710"/>
      <c r="X495" s="3710"/>
      <c r="Y495" s="3710"/>
      <c r="Z495" s="3710"/>
      <c r="AA495" s="3710"/>
      <c r="AB495" s="3710"/>
      <c r="AC495" s="3710"/>
    </row>
    <row r="496" spans="1:29">
      <c r="A496" s="3710"/>
      <c r="B496" s="3710"/>
      <c r="C496" s="3710"/>
      <c r="D496" s="3710"/>
      <c r="E496" s="3710"/>
      <c r="F496" s="3710"/>
      <c r="G496" s="3710"/>
      <c r="H496" s="3710"/>
      <c r="I496" s="3710"/>
      <c r="J496" s="3710"/>
      <c r="K496" s="3711"/>
      <c r="L496" s="3712"/>
      <c r="M496" s="3710"/>
      <c r="N496" s="3710"/>
      <c r="O496" s="3710"/>
      <c r="P496" s="3752"/>
      <c r="Q496" s="3710"/>
      <c r="R496" s="3710"/>
      <c r="S496" s="3710"/>
      <c r="T496" s="3710"/>
      <c r="U496" s="3710"/>
      <c r="V496" s="3710"/>
      <c r="W496" s="3710"/>
      <c r="X496" s="3710"/>
      <c r="Y496" s="3710"/>
      <c r="Z496" s="3710"/>
      <c r="AA496" s="3710"/>
      <c r="AB496" s="3710"/>
      <c r="AC496" s="3710"/>
    </row>
    <row r="497" spans="1:29">
      <c r="A497" s="3710"/>
      <c r="B497" s="3710"/>
      <c r="C497" s="3710"/>
      <c r="D497" s="3710"/>
      <c r="E497" s="3710"/>
      <c r="F497" s="3710"/>
      <c r="G497" s="3710"/>
      <c r="H497" s="3710"/>
      <c r="I497" s="3710"/>
      <c r="J497" s="3710"/>
      <c r="K497" s="3711"/>
      <c r="L497" s="3712"/>
      <c r="M497" s="3710"/>
      <c r="N497" s="3710"/>
      <c r="O497" s="3710"/>
      <c r="P497" s="3752"/>
      <c r="Q497" s="3710"/>
      <c r="R497" s="3710"/>
      <c r="S497" s="3710"/>
      <c r="T497" s="3710"/>
      <c r="U497" s="3710"/>
      <c r="V497" s="3710"/>
      <c r="W497" s="3710"/>
      <c r="X497" s="3710"/>
      <c r="Y497" s="3710"/>
      <c r="Z497" s="3710"/>
      <c r="AA497" s="3710"/>
      <c r="AB497" s="3710"/>
      <c r="AC497" s="3710"/>
    </row>
    <row r="498" spans="1:29">
      <c r="A498" s="3710"/>
      <c r="B498" s="3710"/>
      <c r="C498" s="3710"/>
      <c r="D498" s="3710"/>
      <c r="E498" s="3710"/>
      <c r="F498" s="3710"/>
      <c r="G498" s="3710"/>
      <c r="H498" s="3710"/>
      <c r="I498" s="3710"/>
      <c r="J498" s="3710"/>
      <c r="K498" s="3711"/>
      <c r="L498" s="3712"/>
      <c r="M498" s="3710"/>
      <c r="N498" s="3710"/>
      <c r="O498" s="3710"/>
      <c r="P498" s="3752"/>
      <c r="Q498" s="3710"/>
      <c r="R498" s="3710"/>
      <c r="S498" s="3710"/>
      <c r="T498" s="3710"/>
      <c r="U498" s="3710"/>
      <c r="V498" s="3710"/>
      <c r="W498" s="3710"/>
      <c r="X498" s="3710"/>
      <c r="Y498" s="3710"/>
      <c r="Z498" s="3710"/>
      <c r="AA498" s="3710"/>
      <c r="AB498" s="3710"/>
      <c r="AC498" s="3710"/>
    </row>
    <row r="499" spans="1:29">
      <c r="A499" s="3710"/>
      <c r="B499" s="3710"/>
      <c r="C499" s="3710"/>
      <c r="D499" s="3710"/>
      <c r="E499" s="3710"/>
      <c r="F499" s="3710"/>
      <c r="G499" s="3710"/>
      <c r="H499" s="3710"/>
      <c r="I499" s="3710"/>
      <c r="J499" s="3710"/>
      <c r="K499" s="3711"/>
      <c r="L499" s="3712"/>
      <c r="M499" s="3710"/>
      <c r="N499" s="3710"/>
      <c r="O499" s="3710"/>
      <c r="P499" s="3752"/>
      <c r="Q499" s="3710"/>
      <c r="R499" s="3710"/>
      <c r="S499" s="3710"/>
      <c r="T499" s="3710"/>
      <c r="U499" s="3710"/>
      <c r="V499" s="3710"/>
      <c r="W499" s="3710"/>
      <c r="X499" s="3710"/>
      <c r="Y499" s="3710"/>
      <c r="Z499" s="3710"/>
      <c r="AA499" s="3710"/>
      <c r="AB499" s="3710"/>
      <c r="AC499" s="3710"/>
    </row>
    <row r="500" spans="1:29">
      <c r="A500" s="3710"/>
      <c r="B500" s="3710"/>
      <c r="C500" s="3710"/>
      <c r="D500" s="3710"/>
      <c r="E500" s="3710"/>
      <c r="F500" s="3710"/>
      <c r="G500" s="3710"/>
      <c r="H500" s="3710"/>
      <c r="I500" s="3710"/>
      <c r="J500" s="3710"/>
      <c r="K500" s="3711"/>
      <c r="L500" s="3712"/>
      <c r="M500" s="3710"/>
      <c r="N500" s="3710"/>
      <c r="O500" s="3710"/>
      <c r="P500" s="3752"/>
      <c r="Q500" s="3710"/>
      <c r="R500" s="3710"/>
      <c r="S500" s="3710"/>
      <c r="T500" s="3710"/>
      <c r="U500" s="3710"/>
      <c r="V500" s="3710"/>
      <c r="W500" s="3710"/>
      <c r="X500" s="3710"/>
      <c r="Y500" s="3710"/>
      <c r="Z500" s="3710"/>
      <c r="AA500" s="3710"/>
      <c r="AB500" s="3710"/>
      <c r="AC500" s="3710"/>
    </row>
    <row r="501" spans="1:29">
      <c r="A501" s="3710"/>
      <c r="B501" s="3710"/>
      <c r="C501" s="3710"/>
      <c r="D501" s="3710"/>
      <c r="E501" s="3710"/>
      <c r="F501" s="3710"/>
      <c r="G501" s="3710"/>
      <c r="H501" s="3710"/>
      <c r="I501" s="3710"/>
      <c r="J501" s="3710"/>
      <c r="K501" s="3711"/>
      <c r="L501" s="3712"/>
      <c r="M501" s="3710"/>
      <c r="N501" s="3710"/>
      <c r="O501" s="3710"/>
      <c r="P501" s="3752"/>
      <c r="Q501" s="3710"/>
      <c r="R501" s="3710"/>
      <c r="S501" s="3710"/>
      <c r="T501" s="3710"/>
      <c r="U501" s="3710"/>
      <c r="V501" s="3710"/>
      <c r="W501" s="3710"/>
      <c r="X501" s="3710"/>
      <c r="Y501" s="3710"/>
      <c r="Z501" s="3710"/>
      <c r="AA501" s="3710"/>
      <c r="AB501" s="3710"/>
      <c r="AC501" s="3710"/>
    </row>
    <row r="502" spans="1:29">
      <c r="A502" s="3710"/>
      <c r="B502" s="3710"/>
      <c r="C502" s="3710"/>
      <c r="D502" s="3710"/>
      <c r="E502" s="3710"/>
      <c r="F502" s="3710"/>
      <c r="G502" s="3710"/>
      <c r="H502" s="3710"/>
      <c r="I502" s="3710"/>
      <c r="J502" s="3710"/>
      <c r="K502" s="3711"/>
      <c r="L502" s="3712"/>
      <c r="M502" s="3710"/>
      <c r="N502" s="3710"/>
      <c r="O502" s="3710"/>
      <c r="P502" s="3752"/>
      <c r="Q502" s="3710"/>
      <c r="R502" s="3710"/>
      <c r="S502" s="3710"/>
      <c r="T502" s="3710"/>
      <c r="U502" s="3710"/>
      <c r="V502" s="3710"/>
      <c r="W502" s="3710"/>
      <c r="X502" s="3710"/>
      <c r="Y502" s="3710"/>
      <c r="Z502" s="3710"/>
      <c r="AA502" s="3710"/>
      <c r="AB502" s="3710"/>
      <c r="AC502" s="3710"/>
    </row>
    <row r="503" spans="1:29">
      <c r="A503" s="3710"/>
      <c r="B503" s="3710"/>
      <c r="C503" s="3710"/>
      <c r="D503" s="3710"/>
      <c r="E503" s="3710"/>
      <c r="F503" s="3710"/>
      <c r="G503" s="3710"/>
      <c r="H503" s="3710"/>
      <c r="I503" s="3710"/>
      <c r="J503" s="3710"/>
      <c r="K503" s="3711"/>
      <c r="L503" s="3712"/>
      <c r="M503" s="3710"/>
      <c r="N503" s="3710"/>
      <c r="O503" s="3710"/>
      <c r="P503" s="3752"/>
      <c r="Q503" s="3710"/>
      <c r="R503" s="3710"/>
      <c r="S503" s="3710"/>
      <c r="T503" s="3710"/>
      <c r="U503" s="3710"/>
      <c r="V503" s="3710"/>
      <c r="W503" s="3710"/>
      <c r="X503" s="3710"/>
      <c r="Y503" s="3710"/>
      <c r="Z503" s="3710"/>
      <c r="AA503" s="3710"/>
      <c r="AB503" s="3710"/>
      <c r="AC503" s="3710"/>
    </row>
    <row r="504" spans="1:29">
      <c r="A504" s="3710"/>
      <c r="B504" s="3710"/>
      <c r="C504" s="3710"/>
      <c r="D504" s="3710"/>
      <c r="E504" s="3710"/>
      <c r="F504" s="3710"/>
      <c r="G504" s="3710"/>
      <c r="H504" s="3710"/>
      <c r="I504" s="3710"/>
      <c r="J504" s="3710"/>
      <c r="K504" s="3711"/>
      <c r="L504" s="3712"/>
      <c r="M504" s="3710"/>
      <c r="N504" s="3710"/>
      <c r="O504" s="3710"/>
      <c r="P504" s="3752"/>
      <c r="Q504" s="3710"/>
      <c r="R504" s="3710"/>
      <c r="S504" s="3710"/>
      <c r="T504" s="3710"/>
      <c r="U504" s="3710"/>
      <c r="V504" s="3710"/>
      <c r="W504" s="3710"/>
      <c r="X504" s="3710"/>
      <c r="Y504" s="3710"/>
      <c r="Z504" s="3710"/>
      <c r="AA504" s="3710"/>
      <c r="AB504" s="3710"/>
      <c r="AC504" s="3710"/>
    </row>
    <row r="505" spans="1:29">
      <c r="A505" s="3710"/>
      <c r="B505" s="3710"/>
      <c r="C505" s="3710"/>
      <c r="D505" s="3710"/>
      <c r="E505" s="3710"/>
      <c r="F505" s="3710"/>
      <c r="G505" s="3710"/>
      <c r="H505" s="3710"/>
      <c r="I505" s="3710"/>
      <c r="J505" s="3710"/>
      <c r="K505" s="3711"/>
      <c r="L505" s="3712"/>
      <c r="M505" s="3710"/>
      <c r="N505" s="3710"/>
      <c r="O505" s="3710"/>
      <c r="P505" s="3752"/>
      <c r="Q505" s="3710"/>
      <c r="R505" s="3710"/>
      <c r="S505" s="3710"/>
      <c r="T505" s="3710"/>
      <c r="U505" s="3710"/>
      <c r="V505" s="3710"/>
      <c r="W505" s="3710"/>
      <c r="X505" s="3710"/>
      <c r="Y505" s="3710"/>
      <c r="Z505" s="3710"/>
      <c r="AA505" s="3710"/>
      <c r="AB505" s="3710"/>
      <c r="AC505" s="3710"/>
    </row>
    <row r="506" spans="1:29">
      <c r="A506" s="3710"/>
      <c r="B506" s="3710"/>
      <c r="C506" s="3710"/>
      <c r="D506" s="3710"/>
      <c r="E506" s="3710"/>
      <c r="F506" s="3710"/>
      <c r="G506" s="3710"/>
      <c r="H506" s="3710"/>
      <c r="I506" s="3710"/>
      <c r="J506" s="3710"/>
      <c r="K506" s="3711"/>
      <c r="L506" s="3712"/>
      <c r="M506" s="3710"/>
      <c r="N506" s="3710"/>
      <c r="O506" s="3710"/>
      <c r="P506" s="3752"/>
      <c r="Q506" s="3710"/>
      <c r="R506" s="3710"/>
      <c r="S506" s="3710"/>
      <c r="T506" s="3710"/>
      <c r="U506" s="3710"/>
      <c r="V506" s="3710"/>
      <c r="W506" s="3710"/>
      <c r="X506" s="3710"/>
      <c r="Y506" s="3710"/>
      <c r="Z506" s="3710"/>
      <c r="AA506" s="3710"/>
      <c r="AB506" s="3710"/>
      <c r="AC506" s="3710"/>
    </row>
    <row r="507" spans="1:29">
      <c r="A507" s="3710"/>
      <c r="B507" s="3710"/>
      <c r="C507" s="3710"/>
      <c r="D507" s="3710"/>
      <c r="E507" s="3710"/>
      <c r="F507" s="3710"/>
      <c r="G507" s="3710"/>
      <c r="H507" s="3710"/>
      <c r="I507" s="3710"/>
      <c r="J507" s="3710"/>
      <c r="K507" s="3711"/>
      <c r="L507" s="3712"/>
      <c r="M507" s="3710"/>
      <c r="N507" s="3710"/>
      <c r="O507" s="3710"/>
      <c r="P507" s="3752"/>
      <c r="Q507" s="3710"/>
      <c r="R507" s="3710"/>
      <c r="S507" s="3710"/>
      <c r="T507" s="3710"/>
      <c r="U507" s="3710"/>
      <c r="V507" s="3710"/>
      <c r="W507" s="3710"/>
      <c r="X507" s="3710"/>
      <c r="Y507" s="3710"/>
      <c r="Z507" s="3710"/>
      <c r="AA507" s="3710"/>
      <c r="AB507" s="3710"/>
      <c r="AC507" s="3710"/>
    </row>
    <row r="508" spans="1:29">
      <c r="A508" s="3710"/>
      <c r="B508" s="3710"/>
      <c r="C508" s="3710"/>
      <c r="D508" s="3710"/>
      <c r="E508" s="3710"/>
      <c r="F508" s="3710"/>
      <c r="G508" s="3710"/>
      <c r="H508" s="3710"/>
      <c r="I508" s="3710"/>
      <c r="J508" s="3710"/>
      <c r="K508" s="3711"/>
      <c r="L508" s="3712"/>
      <c r="M508" s="3710"/>
      <c r="N508" s="3710"/>
      <c r="O508" s="3710"/>
      <c r="P508" s="3752"/>
      <c r="Q508" s="3710"/>
      <c r="R508" s="3710"/>
      <c r="S508" s="3710"/>
      <c r="T508" s="3710"/>
      <c r="U508" s="3710"/>
      <c r="V508" s="3710"/>
      <c r="W508" s="3710"/>
      <c r="X508" s="3710"/>
      <c r="Y508" s="3710"/>
      <c r="Z508" s="3710"/>
      <c r="AA508" s="3710"/>
      <c r="AB508" s="3710"/>
      <c r="AC508" s="3710"/>
    </row>
    <row r="509" spans="1:29">
      <c r="A509" s="3710"/>
      <c r="B509" s="3710"/>
      <c r="C509" s="3710"/>
      <c r="D509" s="3710"/>
      <c r="E509" s="3710"/>
      <c r="F509" s="3710"/>
      <c r="G509" s="3710"/>
      <c r="H509" s="3710"/>
      <c r="I509" s="3710"/>
      <c r="J509" s="3710"/>
      <c r="K509" s="3711"/>
      <c r="L509" s="3712"/>
      <c r="M509" s="3710"/>
      <c r="N509" s="3710"/>
      <c r="O509" s="3710"/>
      <c r="P509" s="3752"/>
      <c r="Q509" s="3710"/>
      <c r="R509" s="3710"/>
      <c r="S509" s="3710"/>
      <c r="T509" s="3710"/>
      <c r="U509" s="3710"/>
      <c r="V509" s="3710"/>
      <c r="W509" s="3710"/>
      <c r="X509" s="3710"/>
      <c r="Y509" s="3710"/>
      <c r="Z509" s="3710"/>
      <c r="AA509" s="3710"/>
      <c r="AB509" s="3710"/>
      <c r="AC509" s="3710"/>
    </row>
    <row r="510" spans="1:29">
      <c r="A510" s="3710"/>
      <c r="B510" s="3710"/>
      <c r="C510" s="3710"/>
      <c r="D510" s="3710"/>
      <c r="E510" s="3710"/>
      <c r="F510" s="3710"/>
      <c r="G510" s="3710"/>
      <c r="H510" s="3710"/>
      <c r="I510" s="3710"/>
      <c r="J510" s="3710"/>
      <c r="K510" s="3711"/>
      <c r="L510" s="3712"/>
      <c r="M510" s="3710"/>
      <c r="N510" s="3710"/>
      <c r="O510" s="3710"/>
      <c r="P510" s="3752"/>
      <c r="Q510" s="3710"/>
      <c r="R510" s="3710"/>
      <c r="S510" s="3710"/>
      <c r="T510" s="3710"/>
      <c r="U510" s="3710"/>
      <c r="V510" s="3710"/>
      <c r="W510" s="3710"/>
      <c r="X510" s="3710"/>
      <c r="Y510" s="3710"/>
      <c r="Z510" s="3710"/>
      <c r="AA510" s="3710"/>
      <c r="AB510" s="3710"/>
      <c r="AC510" s="3710"/>
    </row>
    <row r="511" spans="1:29">
      <c r="A511" s="3710"/>
      <c r="B511" s="3710"/>
      <c r="C511" s="3710"/>
      <c r="D511" s="3710"/>
      <c r="E511" s="3710"/>
      <c r="F511" s="3710"/>
      <c r="G511" s="3710"/>
      <c r="H511" s="3710"/>
      <c r="I511" s="3710"/>
      <c r="J511" s="3710"/>
      <c r="K511" s="3711"/>
      <c r="L511" s="3712"/>
      <c r="M511" s="3710"/>
      <c r="N511" s="3710"/>
      <c r="O511" s="3710"/>
      <c r="P511" s="3752"/>
      <c r="Q511" s="3710"/>
      <c r="R511" s="3710"/>
      <c r="S511" s="3710"/>
      <c r="T511" s="3710"/>
      <c r="U511" s="3710"/>
      <c r="V511" s="3710"/>
      <c r="W511" s="3710"/>
      <c r="X511" s="3710"/>
      <c r="Y511" s="3710"/>
      <c r="Z511" s="3710"/>
      <c r="AA511" s="3710"/>
      <c r="AB511" s="3710"/>
      <c r="AC511" s="3710"/>
    </row>
    <row r="512" spans="1:29">
      <c r="A512" s="3710"/>
      <c r="B512" s="3710"/>
      <c r="C512" s="3710"/>
      <c r="D512" s="3710"/>
      <c r="E512" s="3710"/>
      <c r="F512" s="3710"/>
      <c r="G512" s="3710"/>
      <c r="H512" s="3710"/>
      <c r="I512" s="3710"/>
      <c r="J512" s="3710"/>
      <c r="K512" s="3711"/>
      <c r="L512" s="3712"/>
      <c r="M512" s="3710"/>
      <c r="N512" s="3710"/>
      <c r="O512" s="3710"/>
      <c r="P512" s="3752"/>
      <c r="Q512" s="3710"/>
      <c r="R512" s="3710"/>
      <c r="S512" s="3710"/>
      <c r="T512" s="3710"/>
      <c r="U512" s="3710"/>
      <c r="V512" s="3710"/>
      <c r="W512" s="3710"/>
      <c r="X512" s="3710"/>
      <c r="Y512" s="3710"/>
      <c r="Z512" s="3710"/>
      <c r="AA512" s="3710"/>
      <c r="AB512" s="3710"/>
      <c r="AC512" s="3710"/>
    </row>
    <row r="513" spans="1:29">
      <c r="A513" s="3710"/>
      <c r="B513" s="3710"/>
      <c r="C513" s="3710"/>
      <c r="D513" s="3710"/>
      <c r="E513" s="3710"/>
      <c r="F513" s="3710"/>
      <c r="G513" s="3710"/>
      <c r="H513" s="3710"/>
      <c r="I513" s="3710"/>
      <c r="J513" s="3710"/>
      <c r="K513" s="3711"/>
      <c r="L513" s="3712"/>
      <c r="M513" s="3710"/>
      <c r="N513" s="3710"/>
      <c r="O513" s="3710"/>
      <c r="P513" s="3752"/>
      <c r="Q513" s="3710"/>
      <c r="R513" s="3710"/>
      <c r="S513" s="3710"/>
      <c r="T513" s="3710"/>
      <c r="U513" s="3710"/>
      <c r="V513" s="3710"/>
      <c r="W513" s="3710"/>
      <c r="X513" s="3710"/>
      <c r="Y513" s="3710"/>
      <c r="Z513" s="3710"/>
      <c r="AA513" s="3710"/>
      <c r="AB513" s="3710"/>
      <c r="AC513" s="3710"/>
    </row>
    <row r="514" spans="1:29">
      <c r="A514" s="3710"/>
      <c r="B514" s="3710"/>
      <c r="C514" s="3710"/>
      <c r="D514" s="3710"/>
      <c r="E514" s="3710"/>
      <c r="F514" s="3710"/>
      <c r="G514" s="3710"/>
      <c r="H514" s="3710"/>
      <c r="I514" s="3710"/>
      <c r="J514" s="3710"/>
      <c r="K514" s="3711"/>
      <c r="L514" s="3712"/>
      <c r="M514" s="3710"/>
      <c r="N514" s="3710"/>
      <c r="O514" s="3710"/>
      <c r="P514" s="3752"/>
      <c r="Q514" s="3710"/>
      <c r="R514" s="3710"/>
      <c r="S514" s="3710"/>
      <c r="T514" s="3710"/>
      <c r="U514" s="3710"/>
      <c r="V514" s="3710"/>
      <c r="W514" s="3710"/>
      <c r="X514" s="3710"/>
      <c r="Y514" s="3710"/>
      <c r="Z514" s="3710"/>
      <c r="AA514" s="3710"/>
      <c r="AB514" s="3710"/>
      <c r="AC514" s="3710"/>
    </row>
    <row r="515" spans="1:29">
      <c r="A515" s="3710"/>
      <c r="B515" s="3710"/>
      <c r="C515" s="3710"/>
      <c r="D515" s="3710"/>
      <c r="E515" s="3710"/>
      <c r="F515" s="3710"/>
      <c r="G515" s="3710"/>
      <c r="H515" s="3710"/>
      <c r="I515" s="3710"/>
      <c r="J515" s="3710"/>
      <c r="K515" s="3711"/>
      <c r="L515" s="3712"/>
      <c r="M515" s="3710"/>
      <c r="N515" s="3710"/>
      <c r="O515" s="3710"/>
      <c r="P515" s="3752"/>
      <c r="Q515" s="3710"/>
      <c r="R515" s="3710"/>
      <c r="S515" s="3710"/>
      <c r="T515" s="3710"/>
      <c r="U515" s="3710"/>
      <c r="V515" s="3710"/>
      <c r="W515" s="3710"/>
      <c r="X515" s="3710"/>
      <c r="Y515" s="3710"/>
      <c r="Z515" s="3710"/>
      <c r="AA515" s="3710"/>
      <c r="AB515" s="3710"/>
      <c r="AC515" s="3710"/>
    </row>
    <row r="516" spans="1:29">
      <c r="A516" s="3710"/>
      <c r="B516" s="3710"/>
      <c r="C516" s="3710"/>
      <c r="D516" s="3710"/>
      <c r="E516" s="3710"/>
      <c r="F516" s="3710"/>
      <c r="G516" s="3710"/>
      <c r="H516" s="3710"/>
      <c r="I516" s="3710"/>
      <c r="J516" s="3710"/>
      <c r="K516" s="3711"/>
      <c r="L516" s="3712"/>
      <c r="M516" s="3710"/>
      <c r="N516" s="3710"/>
      <c r="O516" s="3710"/>
      <c r="P516" s="3752"/>
      <c r="Q516" s="3710"/>
      <c r="R516" s="3710"/>
      <c r="S516" s="3710"/>
      <c r="T516" s="3710"/>
      <c r="U516" s="3710"/>
      <c r="V516" s="3710"/>
      <c r="W516" s="3710"/>
      <c r="X516" s="3710"/>
      <c r="Y516" s="3710"/>
      <c r="Z516" s="3710"/>
      <c r="AA516" s="3710"/>
      <c r="AB516" s="3710"/>
      <c r="AC516" s="3710"/>
    </row>
    <row r="517" spans="1:29">
      <c r="A517" s="3710"/>
      <c r="B517" s="3710"/>
      <c r="C517" s="3710"/>
      <c r="D517" s="3710"/>
      <c r="E517" s="3710"/>
      <c r="F517" s="3710"/>
      <c r="G517" s="3710"/>
      <c r="H517" s="3710"/>
      <c r="I517" s="3710"/>
      <c r="J517" s="3710"/>
      <c r="K517" s="3711"/>
      <c r="L517" s="3712"/>
      <c r="M517" s="3710"/>
      <c r="N517" s="3710"/>
      <c r="O517" s="3710"/>
      <c r="P517" s="3752"/>
      <c r="Q517" s="3710"/>
      <c r="R517" s="3710"/>
      <c r="S517" s="3710"/>
      <c r="T517" s="3710"/>
      <c r="U517" s="3710"/>
      <c r="V517" s="3710"/>
      <c r="W517" s="3710"/>
      <c r="X517" s="3710"/>
      <c r="Y517" s="3710"/>
      <c r="Z517" s="3710"/>
      <c r="AA517" s="3710"/>
      <c r="AB517" s="3710"/>
      <c r="AC517" s="3710"/>
    </row>
    <row r="518" spans="1:29">
      <c r="A518" s="3710"/>
      <c r="B518" s="3710"/>
      <c r="C518" s="3710"/>
      <c r="D518" s="3710"/>
      <c r="E518" s="3710"/>
      <c r="F518" s="3710"/>
      <c r="G518" s="3710"/>
      <c r="H518" s="3710"/>
      <c r="I518" s="3710"/>
      <c r="J518" s="3710"/>
      <c r="K518" s="3711"/>
      <c r="L518" s="3712"/>
      <c r="M518" s="3710"/>
      <c r="N518" s="3710"/>
      <c r="O518" s="3710"/>
      <c r="P518" s="3752"/>
      <c r="Q518" s="3710"/>
      <c r="R518" s="3710"/>
      <c r="S518" s="3710"/>
      <c r="T518" s="3710"/>
      <c r="U518" s="3710"/>
      <c r="V518" s="3710"/>
      <c r="W518" s="3710"/>
      <c r="X518" s="3710"/>
      <c r="Y518" s="3710"/>
      <c r="Z518" s="3710"/>
      <c r="AA518" s="3710"/>
      <c r="AB518" s="3710"/>
      <c r="AC518" s="3710"/>
    </row>
    <row r="519" spans="1:29">
      <c r="A519" s="3710"/>
      <c r="B519" s="3710"/>
      <c r="C519" s="3710"/>
      <c r="D519" s="3710"/>
      <c r="E519" s="3710"/>
      <c r="F519" s="3710"/>
      <c r="G519" s="3710"/>
      <c r="H519" s="3710"/>
      <c r="I519" s="3710"/>
      <c r="J519" s="3710"/>
      <c r="K519" s="3711"/>
      <c r="L519" s="3712"/>
      <c r="M519" s="3710"/>
      <c r="N519" s="3710"/>
      <c r="O519" s="3710"/>
      <c r="P519" s="3752"/>
      <c r="Q519" s="3710"/>
      <c r="R519" s="3710"/>
      <c r="S519" s="3710"/>
      <c r="T519" s="3710"/>
      <c r="U519" s="3710"/>
      <c r="V519" s="3710"/>
      <c r="W519" s="3710"/>
      <c r="X519" s="3710"/>
      <c r="Y519" s="3710"/>
      <c r="Z519" s="3710"/>
      <c r="AA519" s="3710"/>
      <c r="AB519" s="3710"/>
      <c r="AC519" s="3710"/>
    </row>
    <row r="520" spans="1:29">
      <c r="A520" s="3710"/>
      <c r="B520" s="3710"/>
      <c r="C520" s="3710"/>
      <c r="D520" s="3710"/>
      <c r="E520" s="3710"/>
      <c r="F520" s="3710"/>
      <c r="G520" s="3710"/>
      <c r="H520" s="3710"/>
      <c r="I520" s="3710"/>
      <c r="J520" s="3710"/>
      <c r="K520" s="3711"/>
      <c r="L520" s="3712"/>
      <c r="M520" s="3710"/>
      <c r="N520" s="3710"/>
      <c r="O520" s="3710"/>
      <c r="P520" s="3752"/>
      <c r="Q520" s="3710"/>
      <c r="R520" s="3710"/>
      <c r="S520" s="3710"/>
      <c r="T520" s="3710"/>
      <c r="U520" s="3710"/>
      <c r="V520" s="3710"/>
      <c r="W520" s="3710"/>
      <c r="X520" s="3710"/>
      <c r="Y520" s="3710"/>
      <c r="Z520" s="3710"/>
      <c r="AA520" s="3710"/>
      <c r="AB520" s="3710"/>
      <c r="AC520" s="3710"/>
    </row>
    <row r="521" spans="1:29">
      <c r="A521" s="3710"/>
      <c r="B521" s="3710"/>
      <c r="C521" s="3710"/>
      <c r="D521" s="3710"/>
      <c r="E521" s="3710"/>
      <c r="F521" s="3710"/>
      <c r="G521" s="3710"/>
      <c r="H521" s="3710"/>
      <c r="I521" s="3710"/>
      <c r="J521" s="3710"/>
      <c r="K521" s="3711"/>
      <c r="L521" s="3712"/>
      <c r="M521" s="3710"/>
      <c r="N521" s="3710"/>
      <c r="O521" s="3710"/>
      <c r="P521" s="3752"/>
      <c r="Q521" s="3710"/>
      <c r="R521" s="3710"/>
      <c r="S521" s="3710"/>
      <c r="T521" s="3710"/>
      <c r="U521" s="3710"/>
      <c r="V521" s="3710"/>
      <c r="W521" s="3710"/>
      <c r="X521" s="3710"/>
      <c r="Y521" s="3710"/>
      <c r="Z521" s="3710"/>
      <c r="AA521" s="3710"/>
      <c r="AB521" s="3710"/>
      <c r="AC521" s="3710"/>
    </row>
    <row r="522" spans="1:29">
      <c r="A522" s="3710"/>
      <c r="B522" s="3710"/>
      <c r="C522" s="3710"/>
      <c r="D522" s="3710"/>
      <c r="E522" s="3710"/>
      <c r="F522" s="3710"/>
      <c r="G522" s="3710"/>
      <c r="H522" s="3710"/>
      <c r="I522" s="3710"/>
      <c r="J522" s="3710"/>
      <c r="K522" s="3711"/>
      <c r="L522" s="3712"/>
      <c r="M522" s="3710"/>
      <c r="N522" s="3710"/>
      <c r="O522" s="3710"/>
      <c r="P522" s="3752"/>
      <c r="Q522" s="3710"/>
      <c r="R522" s="3710"/>
      <c r="S522" s="3710"/>
      <c r="T522" s="3710"/>
      <c r="U522" s="3710"/>
      <c r="V522" s="3710"/>
      <c r="W522" s="3710"/>
      <c r="X522" s="3710"/>
      <c r="Y522" s="3710"/>
      <c r="Z522" s="3710"/>
      <c r="AA522" s="3710"/>
      <c r="AB522" s="3710"/>
      <c r="AC522" s="3710"/>
    </row>
    <row r="523" spans="1:29">
      <c r="A523" s="3710"/>
      <c r="B523" s="3710"/>
      <c r="C523" s="3710"/>
      <c r="D523" s="3710"/>
      <c r="E523" s="3710"/>
      <c r="F523" s="3710"/>
      <c r="G523" s="3710"/>
      <c r="H523" s="3710"/>
      <c r="I523" s="3710"/>
      <c r="J523" s="3710"/>
      <c r="K523" s="3711"/>
      <c r="L523" s="3712"/>
      <c r="M523" s="3710"/>
      <c r="N523" s="3710"/>
      <c r="O523" s="3710"/>
      <c r="P523" s="3752"/>
      <c r="Q523" s="3710"/>
      <c r="R523" s="3710"/>
      <c r="S523" s="3710"/>
      <c r="T523" s="3710"/>
      <c r="U523" s="3710"/>
      <c r="V523" s="3710"/>
      <c r="W523" s="3710"/>
      <c r="X523" s="3710"/>
      <c r="Y523" s="3710"/>
      <c r="Z523" s="3710"/>
      <c r="AA523" s="3710"/>
      <c r="AB523" s="3710"/>
      <c r="AC523" s="3710"/>
    </row>
    <row r="524" spans="1:29">
      <c r="A524" s="3710"/>
      <c r="B524" s="3710"/>
      <c r="C524" s="3710"/>
      <c r="D524" s="3710"/>
      <c r="E524" s="3710"/>
      <c r="F524" s="3710"/>
      <c r="G524" s="3710"/>
      <c r="H524" s="3710"/>
      <c r="I524" s="3710"/>
      <c r="J524" s="3710"/>
      <c r="K524" s="3711"/>
      <c r="L524" s="3712"/>
      <c r="M524" s="3710"/>
      <c r="N524" s="3710"/>
      <c r="O524" s="3710"/>
      <c r="P524" s="3752"/>
      <c r="Q524" s="3710"/>
      <c r="R524" s="3710"/>
      <c r="S524" s="3710"/>
      <c r="T524" s="3710"/>
      <c r="U524" s="3710"/>
      <c r="V524" s="3710"/>
      <c r="W524" s="3710"/>
      <c r="X524" s="3710"/>
      <c r="Y524" s="3710"/>
      <c r="Z524" s="3710"/>
      <c r="AA524" s="3710"/>
      <c r="AB524" s="3710"/>
      <c r="AC524" s="3710"/>
    </row>
    <row r="525" spans="1:29">
      <c r="A525" s="3710"/>
      <c r="B525" s="3710"/>
      <c r="C525" s="3710"/>
      <c r="D525" s="3710"/>
      <c r="E525" s="3710"/>
      <c r="F525" s="3710"/>
      <c r="G525" s="3710"/>
      <c r="H525" s="3710"/>
      <c r="I525" s="3710"/>
      <c r="J525" s="3710"/>
      <c r="K525" s="3711"/>
      <c r="L525" s="3712"/>
      <c r="M525" s="3710"/>
      <c r="N525" s="3710"/>
      <c r="O525" s="3710"/>
      <c r="P525" s="3752"/>
      <c r="Q525" s="3710"/>
      <c r="R525" s="3710"/>
      <c r="S525" s="3710"/>
      <c r="T525" s="3710"/>
      <c r="U525" s="3710"/>
      <c r="V525" s="3710"/>
      <c r="W525" s="3710"/>
      <c r="X525" s="3710"/>
      <c r="Y525" s="3710"/>
      <c r="Z525" s="3710"/>
      <c r="AA525" s="3710"/>
      <c r="AB525" s="3710"/>
      <c r="AC525" s="3710"/>
    </row>
    <row r="526" spans="1:29">
      <c r="A526" s="3710"/>
      <c r="B526" s="3710"/>
      <c r="C526" s="3710"/>
      <c r="D526" s="3710"/>
      <c r="E526" s="3710"/>
      <c r="F526" s="3710"/>
      <c r="G526" s="3710"/>
      <c r="H526" s="3710"/>
      <c r="I526" s="3710"/>
      <c r="J526" s="3710"/>
      <c r="K526" s="3711"/>
      <c r="L526" s="3712"/>
      <c r="M526" s="3710"/>
      <c r="N526" s="3710"/>
      <c r="O526" s="3710"/>
      <c r="P526" s="3752"/>
      <c r="Q526" s="3710"/>
      <c r="R526" s="3710"/>
      <c r="S526" s="3710"/>
      <c r="T526" s="3710"/>
      <c r="U526" s="3710"/>
      <c r="V526" s="3710"/>
      <c r="W526" s="3710"/>
      <c r="X526" s="3710"/>
      <c r="Y526" s="3710"/>
      <c r="Z526" s="3710"/>
      <c r="AA526" s="3710"/>
      <c r="AB526" s="3710"/>
      <c r="AC526" s="3710"/>
    </row>
    <row r="527" spans="1:29">
      <c r="A527" s="3710"/>
      <c r="B527" s="3710"/>
      <c r="C527" s="3710"/>
      <c r="D527" s="3710"/>
      <c r="E527" s="3710"/>
      <c r="F527" s="3710"/>
      <c r="G527" s="3710"/>
      <c r="H527" s="3710"/>
      <c r="I527" s="3710"/>
      <c r="J527" s="3710"/>
      <c r="K527" s="3711"/>
      <c r="L527" s="3712"/>
      <c r="M527" s="3710"/>
      <c r="N527" s="3710"/>
      <c r="O527" s="3710"/>
      <c r="P527" s="3752"/>
      <c r="Q527" s="3710"/>
      <c r="R527" s="3710"/>
      <c r="S527" s="3710"/>
      <c r="T527" s="3710"/>
      <c r="U527" s="3710"/>
      <c r="V527" s="3710"/>
      <c r="W527" s="3710"/>
      <c r="X527" s="3710"/>
      <c r="Y527" s="3710"/>
      <c r="Z527" s="3710"/>
      <c r="AA527" s="3710"/>
      <c r="AB527" s="3710"/>
      <c r="AC527" s="3710"/>
    </row>
    <row r="528" spans="1:29">
      <c r="A528" s="3710"/>
      <c r="B528" s="3710"/>
      <c r="C528" s="3710"/>
      <c r="D528" s="3710"/>
      <c r="E528" s="3710"/>
      <c r="F528" s="3710"/>
      <c r="G528" s="3710"/>
      <c r="H528" s="3710"/>
      <c r="I528" s="3710"/>
      <c r="J528" s="3710"/>
      <c r="K528" s="3711"/>
      <c r="L528" s="3712"/>
      <c r="M528" s="3710"/>
      <c r="N528" s="3710"/>
      <c r="O528" s="3710"/>
      <c r="P528" s="3752"/>
      <c r="Q528" s="3710"/>
      <c r="R528" s="3710"/>
      <c r="S528" s="3710"/>
      <c r="T528" s="3710"/>
      <c r="U528" s="3710"/>
      <c r="V528" s="3710"/>
      <c r="W528" s="3710"/>
      <c r="X528" s="3710"/>
      <c r="Y528" s="3710"/>
      <c r="Z528" s="3710"/>
      <c r="AA528" s="3710"/>
      <c r="AB528" s="3710"/>
      <c r="AC528" s="3710"/>
    </row>
    <row r="529" spans="1:29">
      <c r="A529" s="3710"/>
      <c r="B529" s="3710"/>
      <c r="C529" s="3710"/>
      <c r="D529" s="3710"/>
      <c r="E529" s="3710"/>
      <c r="F529" s="3710"/>
      <c r="G529" s="3710"/>
      <c r="H529" s="3710"/>
      <c r="I529" s="3710"/>
      <c r="J529" s="3710"/>
      <c r="K529" s="3711"/>
      <c r="L529" s="3712"/>
      <c r="M529" s="3710"/>
      <c r="N529" s="3710"/>
      <c r="O529" s="3710"/>
      <c r="P529" s="3752"/>
      <c r="Q529" s="3710"/>
      <c r="R529" s="3710"/>
      <c r="S529" s="3710"/>
      <c r="T529" s="3710"/>
      <c r="U529" s="3710"/>
      <c r="V529" s="3710"/>
      <c r="W529" s="3710"/>
      <c r="X529" s="3710"/>
      <c r="Y529" s="3710"/>
      <c r="Z529" s="3710"/>
      <c r="AA529" s="3710"/>
      <c r="AB529" s="3710"/>
      <c r="AC529" s="3710"/>
    </row>
    <row r="530" spans="1:29">
      <c r="A530" s="3710"/>
      <c r="B530" s="3710"/>
      <c r="C530" s="3710"/>
      <c r="D530" s="3710"/>
      <c r="E530" s="3710"/>
      <c r="F530" s="3710"/>
      <c r="G530" s="3710"/>
      <c r="H530" s="3710"/>
      <c r="I530" s="3710"/>
      <c r="J530" s="3710"/>
      <c r="K530" s="3711"/>
      <c r="L530" s="3712"/>
      <c r="M530" s="3710"/>
      <c r="N530" s="3710"/>
      <c r="O530" s="3710"/>
      <c r="P530" s="3752"/>
      <c r="Q530" s="3710"/>
      <c r="R530" s="3710"/>
      <c r="S530" s="3710"/>
      <c r="T530" s="3710"/>
      <c r="U530" s="3710"/>
      <c r="V530" s="3710"/>
      <c r="W530" s="3710"/>
      <c r="X530" s="3710"/>
      <c r="Y530" s="3710"/>
      <c r="Z530" s="3710"/>
      <c r="AA530" s="3710"/>
      <c r="AB530" s="3710"/>
      <c r="AC530" s="3710"/>
    </row>
    <row r="531" spans="1:29">
      <c r="A531" s="3710"/>
      <c r="B531" s="3710"/>
      <c r="C531" s="3710"/>
      <c r="D531" s="3710"/>
      <c r="E531" s="3710"/>
      <c r="F531" s="3710"/>
      <c r="G531" s="3710"/>
      <c r="H531" s="3710"/>
      <c r="I531" s="3710"/>
      <c r="J531" s="3710"/>
      <c r="K531" s="3711"/>
      <c r="L531" s="3712"/>
      <c r="M531" s="3710"/>
      <c r="N531" s="3710"/>
      <c r="O531" s="3710"/>
      <c r="P531" s="3752"/>
      <c r="Q531" s="3710"/>
      <c r="R531" s="3710"/>
      <c r="S531" s="3710"/>
      <c r="T531" s="3710"/>
      <c r="U531" s="3710"/>
      <c r="V531" s="3710"/>
      <c r="W531" s="3710"/>
      <c r="X531" s="3710"/>
      <c r="Y531" s="3710"/>
      <c r="Z531" s="3710"/>
      <c r="AA531" s="3710"/>
      <c r="AB531" s="3710"/>
      <c r="AC531" s="3710"/>
    </row>
    <row r="532" spans="1:29">
      <c r="A532" s="3710"/>
      <c r="B532" s="3710"/>
      <c r="C532" s="3710"/>
      <c r="D532" s="3710"/>
      <c r="E532" s="3710"/>
      <c r="F532" s="3710"/>
      <c r="G532" s="3710"/>
      <c r="H532" s="3710"/>
      <c r="I532" s="3710"/>
      <c r="J532" s="3710"/>
      <c r="K532" s="3711"/>
      <c r="L532" s="3712"/>
      <c r="M532" s="3710"/>
      <c r="N532" s="3710"/>
      <c r="O532" s="3710"/>
      <c r="P532" s="3752"/>
      <c r="Q532" s="3710"/>
      <c r="R532" s="3710"/>
      <c r="S532" s="3710"/>
      <c r="T532" s="3710"/>
      <c r="U532" s="3710"/>
      <c r="V532" s="3710"/>
      <c r="W532" s="3710"/>
      <c r="X532" s="3710"/>
      <c r="Y532" s="3710"/>
      <c r="Z532" s="3710"/>
      <c r="AA532" s="3710"/>
      <c r="AB532" s="3710"/>
      <c r="AC532" s="3710"/>
    </row>
    <row r="533" spans="1:29">
      <c r="A533" s="3710"/>
      <c r="B533" s="3710"/>
      <c r="C533" s="3710"/>
      <c r="D533" s="3710"/>
      <c r="E533" s="3710"/>
      <c r="F533" s="3710"/>
      <c r="G533" s="3710"/>
      <c r="H533" s="3710"/>
      <c r="I533" s="3710"/>
      <c r="J533" s="3710"/>
      <c r="K533" s="3711"/>
      <c r="L533" s="3712"/>
      <c r="M533" s="3710"/>
      <c r="N533" s="3710"/>
      <c r="O533" s="3710"/>
      <c r="P533" s="3752"/>
      <c r="Q533" s="3710"/>
      <c r="R533" s="3710"/>
      <c r="S533" s="3710"/>
      <c r="T533" s="3710"/>
      <c r="U533" s="3710"/>
      <c r="V533" s="3710"/>
      <c r="W533" s="3710"/>
      <c r="X533" s="3710"/>
      <c r="Y533" s="3710"/>
      <c r="Z533" s="3710"/>
      <c r="AA533" s="3710"/>
      <c r="AB533" s="3710"/>
      <c r="AC533" s="3710"/>
    </row>
    <row r="534" spans="1:29">
      <c r="A534" s="3710"/>
      <c r="B534" s="3710"/>
      <c r="C534" s="3710"/>
      <c r="D534" s="3710"/>
      <c r="E534" s="3710"/>
      <c r="F534" s="3710"/>
      <c r="G534" s="3710"/>
      <c r="H534" s="3710"/>
      <c r="I534" s="3710"/>
      <c r="J534" s="3710"/>
      <c r="K534" s="3711"/>
      <c r="L534" s="3712"/>
      <c r="M534" s="3710"/>
      <c r="N534" s="3710"/>
      <c r="O534" s="3710"/>
      <c r="P534" s="3752"/>
      <c r="Q534" s="3710"/>
      <c r="R534" s="3710"/>
      <c r="S534" s="3710"/>
      <c r="T534" s="3710"/>
      <c r="U534" s="3710"/>
      <c r="V534" s="3710"/>
      <c r="W534" s="3710"/>
      <c r="X534" s="3710"/>
      <c r="Y534" s="3710"/>
      <c r="Z534" s="3710"/>
      <c r="AA534" s="3710"/>
      <c r="AB534" s="3710"/>
      <c r="AC534" s="3710"/>
    </row>
    <row r="535" spans="1:29">
      <c r="A535" s="3710"/>
      <c r="B535" s="3710"/>
      <c r="C535" s="3710"/>
      <c r="D535" s="3710"/>
      <c r="E535" s="3710"/>
      <c r="F535" s="3710"/>
      <c r="G535" s="3710"/>
      <c r="H535" s="3710"/>
      <c r="I535" s="3710"/>
      <c r="J535" s="3710"/>
      <c r="K535" s="3711"/>
      <c r="L535" s="3712"/>
      <c r="M535" s="3710"/>
      <c r="N535" s="3710"/>
      <c r="O535" s="3710"/>
      <c r="P535" s="3752"/>
      <c r="Q535" s="3710"/>
      <c r="R535" s="3710"/>
      <c r="S535" s="3710"/>
      <c r="T535" s="3710"/>
      <c r="U535" s="3710"/>
      <c r="V535" s="3710"/>
      <c r="W535" s="3710"/>
      <c r="X535" s="3710"/>
      <c r="Y535" s="3710"/>
      <c r="Z535" s="3710"/>
      <c r="AA535" s="3710"/>
      <c r="AB535" s="3710"/>
      <c r="AC535" s="3710"/>
    </row>
    <row r="536" spans="1:29">
      <c r="A536" s="3710"/>
      <c r="B536" s="3710"/>
      <c r="C536" s="3710"/>
      <c r="D536" s="3710"/>
      <c r="E536" s="3710"/>
      <c r="F536" s="3710"/>
      <c r="G536" s="3710"/>
      <c r="H536" s="3710"/>
      <c r="I536" s="3710"/>
      <c r="J536" s="3710"/>
      <c r="K536" s="3711"/>
      <c r="L536" s="3712"/>
      <c r="M536" s="3710"/>
      <c r="N536" s="3710"/>
      <c r="O536" s="3710"/>
      <c r="P536" s="3752"/>
      <c r="Q536" s="3710"/>
      <c r="R536" s="3710"/>
      <c r="S536" s="3710"/>
      <c r="T536" s="3710"/>
      <c r="U536" s="3710"/>
      <c r="V536" s="3710"/>
      <c r="W536" s="3710"/>
      <c r="X536" s="3710"/>
      <c r="Y536" s="3710"/>
      <c r="Z536" s="3710"/>
      <c r="AA536" s="3710"/>
      <c r="AB536" s="3710"/>
      <c r="AC536" s="3710"/>
    </row>
    <row r="537" spans="1:29">
      <c r="A537" s="3710"/>
      <c r="B537" s="3710"/>
      <c r="C537" s="3710"/>
      <c r="D537" s="3710"/>
      <c r="E537" s="3710"/>
      <c r="F537" s="3710"/>
      <c r="G537" s="3710"/>
      <c r="H537" s="3710"/>
      <c r="I537" s="3710"/>
      <c r="J537" s="3710"/>
      <c r="K537" s="3711"/>
      <c r="L537" s="3712"/>
      <c r="M537" s="3710"/>
      <c r="N537" s="3710"/>
      <c r="O537" s="3710"/>
      <c r="P537" s="3752"/>
      <c r="Q537" s="3710"/>
      <c r="R537" s="3710"/>
      <c r="S537" s="3710"/>
      <c r="T537" s="3710"/>
      <c r="U537" s="3710"/>
      <c r="V537" s="3710"/>
      <c r="W537" s="3710"/>
      <c r="X537" s="3710"/>
      <c r="Y537" s="3710"/>
      <c r="Z537" s="3710"/>
      <c r="AA537" s="3710"/>
      <c r="AB537" s="3710"/>
      <c r="AC537" s="3710"/>
    </row>
    <row r="538" spans="1:29">
      <c r="A538" s="3710"/>
      <c r="B538" s="3710"/>
      <c r="C538" s="3710"/>
      <c r="D538" s="3710"/>
      <c r="E538" s="3710"/>
      <c r="F538" s="3710"/>
      <c r="G538" s="3710"/>
      <c r="H538" s="3710"/>
      <c r="I538" s="3710"/>
      <c r="J538" s="3710"/>
      <c r="K538" s="3711"/>
      <c r="L538" s="3712"/>
      <c r="M538" s="3710"/>
      <c r="N538" s="3710"/>
      <c r="O538" s="3710"/>
      <c r="P538" s="3752"/>
      <c r="Q538" s="3710"/>
      <c r="R538" s="3710"/>
      <c r="S538" s="3710"/>
      <c r="T538" s="3710"/>
      <c r="U538" s="3710"/>
      <c r="V538" s="3710"/>
      <c r="W538" s="3710"/>
      <c r="X538" s="3710"/>
      <c r="Y538" s="3710"/>
      <c r="Z538" s="3710"/>
      <c r="AA538" s="3710"/>
      <c r="AB538" s="3710"/>
      <c r="AC538" s="3710"/>
    </row>
    <row r="539" spans="1:29">
      <c r="A539" s="3710"/>
      <c r="B539" s="3710"/>
      <c r="C539" s="3710"/>
      <c r="D539" s="3710"/>
      <c r="E539" s="3710"/>
      <c r="F539" s="3710"/>
      <c r="G539" s="3710"/>
      <c r="H539" s="3710"/>
      <c r="I539" s="3710"/>
      <c r="J539" s="3710"/>
      <c r="K539" s="3711"/>
      <c r="L539" s="3712"/>
      <c r="M539" s="3710"/>
      <c r="N539" s="3710"/>
      <c r="O539" s="3710"/>
      <c r="P539" s="3752"/>
      <c r="Q539" s="3710"/>
      <c r="R539" s="3710"/>
      <c r="S539" s="3710"/>
      <c r="T539" s="3710"/>
      <c r="U539" s="3710"/>
      <c r="V539" s="3710"/>
      <c r="W539" s="3710"/>
      <c r="X539" s="3710"/>
      <c r="Y539" s="3710"/>
      <c r="Z539" s="3710"/>
      <c r="AA539" s="3710"/>
      <c r="AB539" s="3710"/>
      <c r="AC539" s="3710"/>
    </row>
    <row r="540" spans="1:29">
      <c r="A540" s="3710"/>
      <c r="B540" s="3710"/>
      <c r="C540" s="3710"/>
      <c r="D540" s="3710"/>
      <c r="E540" s="3710"/>
      <c r="F540" s="3710"/>
      <c r="G540" s="3710"/>
      <c r="H540" s="3710"/>
      <c r="I540" s="3710"/>
      <c r="J540" s="3710"/>
      <c r="K540" s="3711"/>
      <c r="L540" s="3712"/>
      <c r="M540" s="3710"/>
      <c r="N540" s="3710"/>
      <c r="O540" s="3710"/>
      <c r="P540" s="3752"/>
      <c r="Q540" s="3710"/>
      <c r="R540" s="3710"/>
      <c r="S540" s="3710"/>
      <c r="T540" s="3710"/>
      <c r="U540" s="3710"/>
      <c r="V540" s="3710"/>
      <c r="W540" s="3710"/>
      <c r="X540" s="3710"/>
      <c r="Y540" s="3710"/>
      <c r="Z540" s="3710"/>
      <c r="AA540" s="3710"/>
      <c r="AB540" s="3710"/>
      <c r="AC540" s="3710"/>
    </row>
    <row r="541" spans="1:29">
      <c r="A541" s="3710"/>
      <c r="B541" s="3710"/>
      <c r="C541" s="3710"/>
      <c r="D541" s="3710"/>
      <c r="E541" s="3710"/>
      <c r="F541" s="3710"/>
      <c r="G541" s="3710"/>
      <c r="H541" s="3710"/>
      <c r="I541" s="3710"/>
      <c r="J541" s="3710"/>
      <c r="K541" s="3711"/>
      <c r="L541" s="3712"/>
      <c r="M541" s="3710"/>
      <c r="N541" s="3710"/>
      <c r="O541" s="3710"/>
      <c r="P541" s="3752"/>
      <c r="Q541" s="3710"/>
      <c r="R541" s="3710"/>
      <c r="S541" s="3710"/>
      <c r="T541" s="3710"/>
      <c r="U541" s="3710"/>
      <c r="V541" s="3710"/>
      <c r="W541" s="3710"/>
      <c r="X541" s="3710"/>
      <c r="Y541" s="3710"/>
      <c r="Z541" s="3710"/>
      <c r="AA541" s="3710"/>
      <c r="AB541" s="3710"/>
      <c r="AC541" s="3710"/>
    </row>
    <row r="542" spans="1:29">
      <c r="A542" s="3710"/>
      <c r="B542" s="3710"/>
      <c r="C542" s="3710"/>
      <c r="D542" s="3710"/>
      <c r="E542" s="3710"/>
      <c r="F542" s="3710"/>
      <c r="G542" s="3710"/>
      <c r="H542" s="3710"/>
      <c r="I542" s="3710"/>
      <c r="J542" s="3710"/>
      <c r="K542" s="3711"/>
      <c r="L542" s="3712"/>
      <c r="M542" s="3710"/>
      <c r="N542" s="3710"/>
      <c r="O542" s="3710"/>
      <c r="P542" s="3752"/>
      <c r="Q542" s="3710"/>
      <c r="R542" s="3710"/>
      <c r="S542" s="3710"/>
      <c r="T542" s="3710"/>
      <c r="U542" s="3710"/>
      <c r="V542" s="3710"/>
      <c r="W542" s="3710"/>
      <c r="X542" s="3710"/>
      <c r="Y542" s="3710"/>
      <c r="Z542" s="3710"/>
      <c r="AA542" s="3710"/>
      <c r="AB542" s="3710"/>
      <c r="AC542" s="3710"/>
    </row>
    <row r="543" spans="1:29">
      <c r="A543" s="3710"/>
      <c r="B543" s="3710"/>
      <c r="C543" s="3710"/>
      <c r="D543" s="3710"/>
      <c r="E543" s="3710"/>
      <c r="F543" s="3710"/>
      <c r="G543" s="3710"/>
      <c r="H543" s="3710"/>
      <c r="I543" s="3710"/>
      <c r="J543" s="3710"/>
      <c r="K543" s="3711"/>
      <c r="L543" s="3712"/>
      <c r="M543" s="3710"/>
      <c r="N543" s="3710"/>
      <c r="O543" s="3710"/>
      <c r="P543" s="3752"/>
      <c r="Q543" s="3710"/>
      <c r="R543" s="3710"/>
      <c r="S543" s="3710"/>
      <c r="T543" s="3710"/>
      <c r="U543" s="3710"/>
      <c r="V543" s="3710"/>
      <c r="W543" s="3710"/>
      <c r="X543" s="3710"/>
      <c r="Y543" s="3710"/>
      <c r="Z543" s="3710"/>
      <c r="AA543" s="3710"/>
      <c r="AB543" s="3710"/>
      <c r="AC543" s="3710"/>
    </row>
    <row r="544" spans="1:29">
      <c r="A544" s="3710"/>
      <c r="B544" s="3710"/>
      <c r="C544" s="3710"/>
      <c r="D544" s="3710"/>
      <c r="E544" s="3710"/>
      <c r="F544" s="3710"/>
      <c r="G544" s="3710"/>
      <c r="H544" s="3710"/>
      <c r="I544" s="3710"/>
      <c r="J544" s="3710"/>
      <c r="K544" s="3711"/>
      <c r="L544" s="3712"/>
      <c r="M544" s="3710"/>
      <c r="N544" s="3710"/>
      <c r="O544" s="3710"/>
      <c r="P544" s="3752"/>
      <c r="Q544" s="3710"/>
      <c r="R544" s="3710"/>
      <c r="S544" s="3710"/>
      <c r="T544" s="3710"/>
      <c r="U544" s="3710"/>
      <c r="V544" s="3710"/>
      <c r="W544" s="3710"/>
      <c r="X544" s="3710"/>
      <c r="Y544" s="3710"/>
      <c r="Z544" s="3710"/>
      <c r="AA544" s="3710"/>
      <c r="AB544" s="3710"/>
      <c r="AC544" s="3710"/>
    </row>
    <row r="545" spans="1:29">
      <c r="A545" s="3710"/>
      <c r="B545" s="3710"/>
      <c r="C545" s="3710"/>
      <c r="D545" s="3710"/>
      <c r="E545" s="3710"/>
      <c r="F545" s="3710"/>
      <c r="G545" s="3710"/>
      <c r="H545" s="3710"/>
      <c r="I545" s="3710"/>
      <c r="J545" s="3710"/>
      <c r="K545" s="3711"/>
      <c r="L545" s="3712"/>
      <c r="M545" s="3710"/>
      <c r="N545" s="3710"/>
      <c r="O545" s="3710"/>
      <c r="P545" s="3752"/>
      <c r="Q545" s="3710"/>
      <c r="R545" s="3710"/>
      <c r="S545" s="3710"/>
      <c r="T545" s="3710"/>
      <c r="U545" s="3710"/>
      <c r="V545" s="3710"/>
      <c r="W545" s="3710"/>
      <c r="X545" s="3710"/>
      <c r="Y545" s="3710"/>
      <c r="Z545" s="3710"/>
      <c r="AA545" s="3710"/>
      <c r="AB545" s="3710"/>
      <c r="AC545" s="3710"/>
    </row>
    <row r="546" spans="1:29">
      <c r="A546" s="3710"/>
      <c r="B546" s="3710"/>
      <c r="C546" s="3710"/>
      <c r="D546" s="3710"/>
      <c r="E546" s="3710"/>
      <c r="F546" s="3710"/>
      <c r="G546" s="3710"/>
      <c r="H546" s="3710"/>
      <c r="I546" s="3710"/>
      <c r="J546" s="3710"/>
      <c r="K546" s="3711"/>
      <c r="L546" s="3712"/>
      <c r="M546" s="3710"/>
      <c r="N546" s="3710"/>
      <c r="O546" s="3710"/>
      <c r="P546" s="3752"/>
      <c r="Q546" s="3710"/>
      <c r="R546" s="3710"/>
      <c r="S546" s="3710"/>
      <c r="T546" s="3710"/>
      <c r="U546" s="3710"/>
      <c r="V546" s="3710"/>
      <c r="W546" s="3710"/>
      <c r="X546" s="3710"/>
      <c r="Y546" s="3710"/>
      <c r="Z546" s="3710"/>
      <c r="AA546" s="3710"/>
      <c r="AB546" s="3710"/>
      <c r="AC546" s="3710"/>
    </row>
    <row r="547" spans="1:29">
      <c r="A547" s="3710"/>
      <c r="B547" s="3710"/>
      <c r="C547" s="3710"/>
      <c r="D547" s="3710"/>
      <c r="E547" s="3710"/>
      <c r="F547" s="3710"/>
      <c r="G547" s="3710"/>
      <c r="H547" s="3710"/>
      <c r="I547" s="3710"/>
      <c r="J547" s="3710"/>
      <c r="K547" s="3711"/>
      <c r="L547" s="3712"/>
      <c r="M547" s="3710"/>
      <c r="N547" s="3710"/>
      <c r="O547" s="3710"/>
      <c r="P547" s="3752"/>
      <c r="Q547" s="3710"/>
      <c r="R547" s="3710"/>
      <c r="S547" s="3710"/>
      <c r="T547" s="3710"/>
      <c r="U547" s="3710"/>
      <c r="V547" s="3710"/>
      <c r="W547" s="3710"/>
      <c r="X547" s="3710"/>
      <c r="Y547" s="3710"/>
      <c r="Z547" s="3710"/>
      <c r="AA547" s="3710"/>
      <c r="AB547" s="3710"/>
      <c r="AC547" s="3710"/>
    </row>
    <row r="548" spans="1:29">
      <c r="A548" s="3710"/>
      <c r="B548" s="3710"/>
      <c r="C548" s="3710"/>
      <c r="D548" s="3710"/>
      <c r="E548" s="3710"/>
      <c r="F548" s="3710"/>
      <c r="G548" s="3710"/>
      <c r="H548" s="3710"/>
      <c r="I548" s="3710"/>
      <c r="J548" s="3710"/>
      <c r="K548" s="3711"/>
      <c r="L548" s="3712"/>
      <c r="M548" s="3710"/>
      <c r="N548" s="3710"/>
      <c r="O548" s="3710"/>
      <c r="P548" s="3752"/>
      <c r="Q548" s="3710"/>
      <c r="R548" s="3710"/>
      <c r="S548" s="3710"/>
      <c r="T548" s="3710"/>
      <c r="U548" s="3710"/>
      <c r="V548" s="3710"/>
      <c r="W548" s="3710"/>
      <c r="X548" s="3710"/>
      <c r="Y548" s="3710"/>
      <c r="Z548" s="3710"/>
      <c r="AA548" s="3710"/>
      <c r="AB548" s="3710"/>
      <c r="AC548" s="3710"/>
    </row>
    <row r="549" spans="1:29">
      <c r="A549" s="3710"/>
      <c r="B549" s="3710"/>
      <c r="C549" s="3710"/>
      <c r="D549" s="3710"/>
      <c r="E549" s="3710"/>
      <c r="F549" s="3710"/>
      <c r="G549" s="3710"/>
      <c r="H549" s="3710"/>
      <c r="I549" s="3710"/>
      <c r="J549" s="3710"/>
      <c r="K549" s="3711"/>
      <c r="L549" s="3712"/>
      <c r="M549" s="3710"/>
      <c r="N549" s="3710"/>
      <c r="O549" s="3710"/>
      <c r="P549" s="3752"/>
      <c r="Q549" s="3710"/>
      <c r="R549" s="3710"/>
      <c r="S549" s="3710"/>
      <c r="T549" s="3710"/>
      <c r="U549" s="3710"/>
      <c r="V549" s="3710"/>
      <c r="W549" s="3710"/>
      <c r="X549" s="3710"/>
      <c r="Y549" s="3710"/>
      <c r="Z549" s="3710"/>
      <c r="AA549" s="3710"/>
      <c r="AB549" s="3710"/>
      <c r="AC549" s="3710"/>
    </row>
    <row r="550" spans="1:29">
      <c r="A550" s="3710"/>
      <c r="B550" s="3710"/>
      <c r="C550" s="3710"/>
      <c r="D550" s="3710"/>
      <c r="E550" s="3710"/>
      <c r="F550" s="3710"/>
      <c r="G550" s="3710"/>
      <c r="H550" s="3710"/>
      <c r="I550" s="3710"/>
      <c r="J550" s="3710"/>
      <c r="K550" s="3711"/>
      <c r="L550" s="3712"/>
      <c r="M550" s="3710"/>
      <c r="N550" s="3710"/>
      <c r="O550" s="3710"/>
      <c r="P550" s="3752"/>
      <c r="Q550" s="3710"/>
      <c r="R550" s="3710"/>
      <c r="S550" s="3710"/>
      <c r="T550" s="3710"/>
      <c r="U550" s="3710"/>
      <c r="V550" s="3710"/>
      <c r="W550" s="3710"/>
      <c r="X550" s="3710"/>
      <c r="Y550" s="3710"/>
      <c r="Z550" s="3710"/>
      <c r="AA550" s="3710"/>
      <c r="AB550" s="3710"/>
      <c r="AC550" s="3710"/>
    </row>
    <row r="551" spans="1:29">
      <c r="A551" s="3710"/>
      <c r="B551" s="3710"/>
      <c r="C551" s="3710"/>
      <c r="D551" s="3710"/>
      <c r="E551" s="3710"/>
      <c r="F551" s="3710"/>
      <c r="G551" s="3710"/>
      <c r="H551" s="3710"/>
      <c r="I551" s="3710"/>
      <c r="J551" s="3710"/>
      <c r="K551" s="3711"/>
      <c r="L551" s="3712"/>
      <c r="M551" s="3710"/>
      <c r="N551" s="3710"/>
      <c r="O551" s="3710"/>
      <c r="P551" s="3752"/>
      <c r="Q551" s="3710"/>
      <c r="R551" s="3710"/>
      <c r="S551" s="3710"/>
      <c r="T551" s="3710"/>
      <c r="U551" s="3710"/>
      <c r="V551" s="3710"/>
      <c r="W551" s="3710"/>
      <c r="X551" s="3710"/>
      <c r="Y551" s="3710"/>
      <c r="Z551" s="3710"/>
      <c r="AA551" s="3710"/>
      <c r="AB551" s="3710"/>
      <c r="AC551" s="3710"/>
    </row>
    <row r="552" spans="1:29">
      <c r="A552" s="3710"/>
      <c r="B552" s="3710"/>
      <c r="C552" s="3710"/>
      <c r="D552" s="3710"/>
      <c r="E552" s="3710"/>
      <c r="F552" s="3710"/>
      <c r="G552" s="3710"/>
      <c r="H552" s="3710"/>
      <c r="I552" s="3710"/>
      <c r="J552" s="3710"/>
      <c r="K552" s="3711"/>
      <c r="L552" s="3712"/>
      <c r="M552" s="3710"/>
      <c r="N552" s="3710"/>
      <c r="O552" s="3710"/>
      <c r="P552" s="3752"/>
      <c r="Q552" s="3710"/>
      <c r="R552" s="3710"/>
      <c r="S552" s="3710"/>
      <c r="T552" s="3710"/>
      <c r="U552" s="3710"/>
      <c r="V552" s="3710"/>
      <c r="W552" s="3710"/>
      <c r="X552" s="3710"/>
      <c r="Y552" s="3710"/>
      <c r="Z552" s="3710"/>
      <c r="AA552" s="3710"/>
      <c r="AB552" s="3710"/>
      <c r="AC552" s="3710"/>
    </row>
    <row r="553" spans="1:29">
      <c r="A553" s="3710"/>
      <c r="B553" s="3710"/>
      <c r="C553" s="3710"/>
      <c r="D553" s="3710"/>
      <c r="E553" s="3710"/>
      <c r="F553" s="3710"/>
      <c r="G553" s="3710"/>
      <c r="H553" s="3710"/>
      <c r="I553" s="3710"/>
      <c r="J553" s="3710"/>
      <c r="K553" s="3711"/>
      <c r="L553" s="3712"/>
      <c r="M553" s="3710"/>
      <c r="N553" s="3710"/>
      <c r="O553" s="3710"/>
      <c r="P553" s="3752"/>
      <c r="Q553" s="3710"/>
      <c r="R553" s="3710"/>
      <c r="S553" s="3710"/>
      <c r="T553" s="3710"/>
      <c r="U553" s="3710"/>
      <c r="V553" s="3710"/>
      <c r="W553" s="3710"/>
      <c r="X553" s="3710"/>
      <c r="Y553" s="3710"/>
      <c r="Z553" s="3710"/>
      <c r="AA553" s="3710"/>
      <c r="AB553" s="3710"/>
      <c r="AC553" s="3710"/>
    </row>
    <row r="554" spans="1:29">
      <c r="A554" s="3710"/>
      <c r="B554" s="3710"/>
      <c r="C554" s="3710"/>
      <c r="D554" s="3710"/>
      <c r="E554" s="3710"/>
      <c r="F554" s="3710"/>
      <c r="G554" s="3710"/>
      <c r="H554" s="3710"/>
      <c r="I554" s="3710"/>
      <c r="J554" s="3710"/>
      <c r="K554" s="3711"/>
      <c r="L554" s="3712"/>
      <c r="M554" s="3710"/>
      <c r="N554" s="3710"/>
      <c r="O554" s="3710"/>
      <c r="P554" s="3752"/>
      <c r="Q554" s="3710"/>
      <c r="R554" s="3710"/>
      <c r="S554" s="3710"/>
      <c r="T554" s="3710"/>
      <c r="U554" s="3710"/>
      <c r="V554" s="3710"/>
      <c r="W554" s="3710"/>
      <c r="X554" s="3710"/>
      <c r="Y554" s="3710"/>
      <c r="Z554" s="3710"/>
      <c r="AA554" s="3710"/>
      <c r="AB554" s="3710"/>
      <c r="AC554" s="3710"/>
    </row>
    <row r="555" spans="1:29">
      <c r="A555" s="3710"/>
      <c r="B555" s="3710"/>
      <c r="C555" s="3710"/>
      <c r="D555" s="3710"/>
      <c r="E555" s="3710"/>
      <c r="F555" s="3710"/>
      <c r="G555" s="3710"/>
      <c r="H555" s="3710"/>
      <c r="I555" s="3710"/>
      <c r="J555" s="3710"/>
      <c r="K555" s="3711"/>
      <c r="L555" s="3712"/>
      <c r="M555" s="3710"/>
      <c r="N555" s="3710"/>
      <c r="O555" s="3710"/>
      <c r="P555" s="3752"/>
      <c r="Q555" s="3710"/>
      <c r="R555" s="3710"/>
      <c r="S555" s="3710"/>
      <c r="T555" s="3710"/>
      <c r="U555" s="3710"/>
      <c r="V555" s="3710"/>
      <c r="W555" s="3710"/>
      <c r="X555" s="3710"/>
      <c r="Y555" s="3710"/>
      <c r="Z555" s="3710"/>
      <c r="AA555" s="3710"/>
      <c r="AB555" s="3710"/>
      <c r="AC555" s="3710"/>
    </row>
    <row r="556" spans="1:29">
      <c r="A556" s="3710"/>
      <c r="B556" s="3710"/>
      <c r="C556" s="3710"/>
      <c r="D556" s="3710"/>
      <c r="E556" s="3710"/>
      <c r="F556" s="3710"/>
      <c r="G556" s="3710"/>
      <c r="H556" s="3710"/>
      <c r="I556" s="3710"/>
      <c r="J556" s="3710"/>
      <c r="K556" s="3711"/>
      <c r="L556" s="3712"/>
      <c r="M556" s="3710"/>
      <c r="N556" s="3710"/>
      <c r="O556" s="3710"/>
      <c r="P556" s="3752"/>
      <c r="Q556" s="3710"/>
      <c r="R556" s="3710"/>
      <c r="S556" s="3710"/>
      <c r="T556" s="3710"/>
      <c r="U556" s="3710"/>
      <c r="V556" s="3710"/>
      <c r="W556" s="3710"/>
      <c r="X556" s="3710"/>
      <c r="Y556" s="3710"/>
      <c r="Z556" s="3710"/>
      <c r="AA556" s="3710"/>
      <c r="AB556" s="3710"/>
      <c r="AC556" s="3710"/>
    </row>
    <row r="557" spans="1:29">
      <c r="A557" s="3710"/>
      <c r="B557" s="3710"/>
      <c r="C557" s="3710"/>
      <c r="D557" s="3710"/>
      <c r="E557" s="3710"/>
      <c r="F557" s="3710"/>
      <c r="G557" s="3710"/>
      <c r="H557" s="3710"/>
      <c r="I557" s="3710"/>
      <c r="J557" s="3710"/>
      <c r="K557" s="3711"/>
      <c r="L557" s="3712"/>
      <c r="M557" s="3710"/>
      <c r="N557" s="3710"/>
      <c r="O557" s="3710"/>
      <c r="P557" s="3752"/>
      <c r="Q557" s="3710"/>
      <c r="R557" s="3710"/>
      <c r="S557" s="3710"/>
      <c r="T557" s="3710"/>
      <c r="U557" s="3710"/>
      <c r="V557" s="3710"/>
      <c r="W557" s="3710"/>
      <c r="X557" s="3710"/>
      <c r="Y557" s="3710"/>
      <c r="Z557" s="3710"/>
      <c r="AA557" s="3710"/>
      <c r="AB557" s="3710"/>
      <c r="AC557" s="3710"/>
    </row>
    <row r="558" spans="1:29">
      <c r="A558" s="3710"/>
      <c r="B558" s="3710"/>
      <c r="C558" s="3710"/>
      <c r="D558" s="3710"/>
      <c r="E558" s="3710"/>
      <c r="F558" s="3710"/>
      <c r="G558" s="3710"/>
      <c r="H558" s="3710"/>
      <c r="I558" s="3710"/>
      <c r="J558" s="3710"/>
      <c r="K558" s="3711"/>
      <c r="L558" s="3712"/>
      <c r="M558" s="3710"/>
      <c r="N558" s="3710"/>
      <c r="O558" s="3710"/>
      <c r="P558" s="3752"/>
      <c r="Q558" s="3710"/>
      <c r="R558" s="3710"/>
      <c r="S558" s="3710"/>
      <c r="T558" s="3710"/>
      <c r="U558" s="3710"/>
      <c r="V558" s="3710"/>
      <c r="W558" s="3710"/>
      <c r="X558" s="3710"/>
      <c r="Y558" s="3710"/>
      <c r="Z558" s="3710"/>
      <c r="AA558" s="3710"/>
      <c r="AB558" s="3710"/>
      <c r="AC558" s="3710"/>
    </row>
    <row r="559" spans="1:29">
      <c r="A559" s="3710"/>
      <c r="B559" s="3710"/>
      <c r="C559" s="3710"/>
      <c r="D559" s="3710"/>
      <c r="E559" s="3710"/>
      <c r="F559" s="3710"/>
      <c r="G559" s="3710"/>
      <c r="H559" s="3710"/>
      <c r="I559" s="3710"/>
      <c r="J559" s="3710"/>
      <c r="K559" s="3711"/>
      <c r="L559" s="3712"/>
      <c r="M559" s="3710"/>
      <c r="N559" s="3710"/>
      <c r="O559" s="3710"/>
      <c r="P559" s="3752"/>
      <c r="Q559" s="3710"/>
      <c r="R559" s="3710"/>
      <c r="S559" s="3710"/>
      <c r="T559" s="3710"/>
      <c r="U559" s="3710"/>
      <c r="V559" s="3710"/>
      <c r="W559" s="3710"/>
      <c r="X559" s="3710"/>
      <c r="Y559" s="3710"/>
      <c r="Z559" s="3710"/>
      <c r="AA559" s="3710"/>
      <c r="AB559" s="3710"/>
      <c r="AC559" s="3710"/>
    </row>
    <row r="560" spans="1:29">
      <c r="A560" s="3710"/>
      <c r="B560" s="3710"/>
      <c r="C560" s="3710"/>
      <c r="D560" s="3710"/>
      <c r="E560" s="3710"/>
      <c r="F560" s="3710"/>
      <c r="G560" s="3710"/>
      <c r="H560" s="3710"/>
      <c r="I560" s="3710"/>
      <c r="J560" s="3710"/>
      <c r="K560" s="3711"/>
      <c r="L560" s="3712"/>
      <c r="M560" s="3710"/>
      <c r="N560" s="3710"/>
      <c r="O560" s="3710"/>
      <c r="P560" s="3752"/>
      <c r="Q560" s="3710"/>
      <c r="R560" s="3710"/>
      <c r="S560" s="3710"/>
      <c r="T560" s="3710"/>
      <c r="U560" s="3710"/>
      <c r="V560" s="3710"/>
      <c r="W560" s="3710"/>
      <c r="X560" s="3710"/>
      <c r="Y560" s="3710"/>
      <c r="Z560" s="3710"/>
      <c r="AA560" s="3710"/>
      <c r="AB560" s="3710"/>
      <c r="AC560" s="3710"/>
    </row>
    <row r="561" spans="1:29">
      <c r="A561" s="3710"/>
      <c r="B561" s="3710"/>
      <c r="C561" s="3710"/>
      <c r="D561" s="3710"/>
      <c r="E561" s="3710"/>
      <c r="F561" s="3710"/>
      <c r="G561" s="3710"/>
      <c r="H561" s="3710"/>
      <c r="I561" s="3710"/>
      <c r="J561" s="3710"/>
      <c r="K561" s="3711"/>
      <c r="L561" s="3712"/>
      <c r="M561" s="3710"/>
      <c r="N561" s="3710"/>
      <c r="O561" s="3710"/>
      <c r="P561" s="3752"/>
      <c r="Q561" s="3710"/>
      <c r="R561" s="3710"/>
      <c r="S561" s="3710"/>
      <c r="T561" s="3710"/>
      <c r="U561" s="3710"/>
      <c r="V561" s="3710"/>
      <c r="W561" s="3710"/>
      <c r="X561" s="3710"/>
      <c r="Y561" s="3710"/>
      <c r="Z561" s="3710"/>
      <c r="AA561" s="3710"/>
      <c r="AB561" s="3710"/>
      <c r="AC561" s="3710"/>
    </row>
    <row r="562" spans="1:29">
      <c r="A562" s="3710"/>
      <c r="B562" s="3710"/>
      <c r="C562" s="3710"/>
      <c r="D562" s="3710"/>
      <c r="E562" s="3710"/>
      <c r="F562" s="3710"/>
      <c r="G562" s="3710"/>
      <c r="H562" s="3710"/>
      <c r="I562" s="3710"/>
      <c r="J562" s="3710"/>
      <c r="K562" s="3711"/>
      <c r="L562" s="3712"/>
      <c r="M562" s="3710"/>
      <c r="N562" s="3710"/>
      <c r="O562" s="3710"/>
      <c r="P562" s="3752"/>
      <c r="Q562" s="3710"/>
      <c r="R562" s="3710"/>
      <c r="S562" s="3710"/>
      <c r="T562" s="3710"/>
      <c r="U562" s="3710"/>
      <c r="V562" s="3710"/>
      <c r="W562" s="3710"/>
      <c r="X562" s="3710"/>
      <c r="Y562" s="3710"/>
      <c r="Z562" s="3710"/>
      <c r="AA562" s="3710"/>
      <c r="AB562" s="3710"/>
      <c r="AC562" s="3710"/>
    </row>
    <row r="563" spans="1:29">
      <c r="A563" s="3710"/>
      <c r="B563" s="3710"/>
      <c r="C563" s="3710"/>
      <c r="D563" s="3710"/>
      <c r="E563" s="3710"/>
      <c r="F563" s="3710"/>
      <c r="G563" s="3710"/>
      <c r="H563" s="3710"/>
      <c r="I563" s="3710"/>
      <c r="J563" s="3710"/>
      <c r="K563" s="3711"/>
      <c r="L563" s="3712"/>
      <c r="M563" s="3710"/>
      <c r="N563" s="3710"/>
      <c r="O563" s="3710"/>
      <c r="P563" s="3752"/>
      <c r="Q563" s="3710"/>
      <c r="R563" s="3710"/>
      <c r="S563" s="3710"/>
      <c r="T563" s="3710"/>
      <c r="U563" s="3710"/>
      <c r="V563" s="3710"/>
      <c r="W563" s="3710"/>
      <c r="X563" s="3710"/>
      <c r="Y563" s="3710"/>
      <c r="Z563" s="3710"/>
      <c r="AA563" s="3710"/>
      <c r="AB563" s="3710"/>
      <c r="AC563" s="3710"/>
    </row>
    <row r="564" spans="1:29">
      <c r="A564" s="3710"/>
      <c r="B564" s="3710"/>
      <c r="C564" s="3710"/>
      <c r="D564" s="3710"/>
      <c r="E564" s="3710"/>
      <c r="F564" s="3710"/>
      <c r="G564" s="3710"/>
      <c r="H564" s="3710"/>
      <c r="I564" s="3710"/>
      <c r="J564" s="3710"/>
      <c r="K564" s="3711"/>
      <c r="L564" s="3712"/>
      <c r="M564" s="3710"/>
      <c r="N564" s="3710"/>
      <c r="O564" s="3710"/>
      <c r="P564" s="3752"/>
      <c r="Q564" s="3710"/>
      <c r="R564" s="3710"/>
      <c r="S564" s="3710"/>
      <c r="T564" s="3710"/>
      <c r="U564" s="3710"/>
      <c r="V564" s="3710"/>
      <c r="W564" s="3710"/>
      <c r="X564" s="3710"/>
      <c r="Y564" s="3710"/>
      <c r="Z564" s="3710"/>
      <c r="AA564" s="3710"/>
      <c r="AB564" s="3710"/>
      <c r="AC564" s="3710"/>
    </row>
    <row r="565" spans="1:29">
      <c r="A565" s="3710"/>
      <c r="B565" s="3710"/>
      <c r="C565" s="3710"/>
      <c r="D565" s="3710"/>
      <c r="E565" s="3710"/>
      <c r="F565" s="3710"/>
      <c r="G565" s="3710"/>
      <c r="H565" s="3710"/>
      <c r="I565" s="3710"/>
      <c r="J565" s="3710"/>
      <c r="K565" s="3711"/>
      <c r="L565" s="3712"/>
      <c r="M565" s="3710"/>
      <c r="N565" s="3710"/>
      <c r="O565" s="3710"/>
      <c r="P565" s="3752"/>
      <c r="Q565" s="3710"/>
      <c r="R565" s="3710"/>
      <c r="S565" s="3710"/>
      <c r="T565" s="3710"/>
      <c r="U565" s="3710"/>
      <c r="V565" s="3710"/>
      <c r="W565" s="3710"/>
      <c r="X565" s="3710"/>
      <c r="Y565" s="3710"/>
      <c r="Z565" s="3710"/>
      <c r="AA565" s="3710"/>
      <c r="AB565" s="3710"/>
      <c r="AC565" s="3710"/>
    </row>
    <row r="566" spans="1:29">
      <c r="A566" s="3710"/>
      <c r="B566" s="3710"/>
      <c r="C566" s="3710"/>
      <c r="D566" s="3710"/>
      <c r="E566" s="3710"/>
      <c r="F566" s="3710"/>
      <c r="G566" s="3710"/>
      <c r="H566" s="3710"/>
      <c r="I566" s="3710"/>
      <c r="J566" s="3710"/>
      <c r="K566" s="3711"/>
      <c r="L566" s="3712"/>
      <c r="M566" s="3710"/>
      <c r="N566" s="3710"/>
      <c r="O566" s="3710"/>
      <c r="P566" s="3752"/>
      <c r="Q566" s="3710"/>
      <c r="R566" s="3710"/>
      <c r="S566" s="3710"/>
      <c r="T566" s="3710"/>
      <c r="U566" s="3710"/>
      <c r="V566" s="3710"/>
      <c r="W566" s="3710"/>
      <c r="X566" s="3710"/>
      <c r="Y566" s="3710"/>
      <c r="Z566" s="3710"/>
      <c r="AA566" s="3710"/>
      <c r="AB566" s="3710"/>
      <c r="AC566" s="3710"/>
    </row>
    <row r="567" spans="1:29">
      <c r="A567" s="3710"/>
      <c r="B567" s="3710"/>
      <c r="C567" s="3710"/>
      <c r="D567" s="3710"/>
      <c r="E567" s="3710"/>
      <c r="F567" s="3710"/>
      <c r="G567" s="3710"/>
      <c r="H567" s="3710"/>
      <c r="I567" s="3710"/>
      <c r="J567" s="3710"/>
      <c r="K567" s="3711"/>
      <c r="L567" s="3712"/>
      <c r="M567" s="3710"/>
      <c r="N567" s="3710"/>
      <c r="O567" s="3710"/>
      <c r="P567" s="3752"/>
      <c r="Q567" s="3710"/>
      <c r="R567" s="3710"/>
      <c r="S567" s="3710"/>
      <c r="T567" s="3710"/>
      <c r="U567" s="3710"/>
      <c r="V567" s="3710"/>
      <c r="W567" s="3710"/>
      <c r="X567" s="3710"/>
      <c r="Y567" s="3710"/>
      <c r="Z567" s="3710"/>
      <c r="AA567" s="3710"/>
      <c r="AB567" s="3710"/>
      <c r="AC567" s="3710"/>
    </row>
    <row r="568" spans="1:29">
      <c r="A568" s="3710"/>
      <c r="B568" s="3710"/>
      <c r="C568" s="3710"/>
      <c r="D568" s="3710"/>
      <c r="E568" s="3710"/>
      <c r="F568" s="3710"/>
      <c r="G568" s="3710"/>
      <c r="H568" s="3710"/>
      <c r="I568" s="3710"/>
      <c r="J568" s="3710"/>
      <c r="K568" s="3711"/>
      <c r="L568" s="3712"/>
      <c r="M568" s="3710"/>
      <c r="N568" s="3710"/>
      <c r="O568" s="3710"/>
      <c r="P568" s="3752"/>
      <c r="Q568" s="3710"/>
      <c r="R568" s="3710"/>
      <c r="S568" s="3710"/>
      <c r="T568" s="3710"/>
      <c r="U568" s="3710"/>
      <c r="V568" s="3710"/>
      <c r="W568" s="3710"/>
      <c r="X568" s="3710"/>
      <c r="Y568" s="3710"/>
      <c r="Z568" s="3710"/>
      <c r="AA568" s="3710"/>
      <c r="AB568" s="3710"/>
      <c r="AC568" s="3710"/>
    </row>
    <row r="569" spans="1:29">
      <c r="A569" s="3710"/>
      <c r="B569" s="3710"/>
      <c r="C569" s="3710"/>
      <c r="D569" s="3710"/>
      <c r="E569" s="3710"/>
      <c r="F569" s="3710"/>
      <c r="G569" s="3710"/>
      <c r="H569" s="3710"/>
      <c r="I569" s="3710"/>
      <c r="J569" s="3710"/>
      <c r="K569" s="3711"/>
      <c r="L569" s="3712"/>
      <c r="M569" s="3710"/>
      <c r="N569" s="3710"/>
      <c r="O569" s="3710"/>
      <c r="P569" s="3752"/>
      <c r="Q569" s="3710"/>
      <c r="R569" s="3710"/>
      <c r="S569" s="3710"/>
      <c r="T569" s="3710"/>
      <c r="U569" s="3710"/>
      <c r="V569" s="3710"/>
      <c r="W569" s="3710"/>
      <c r="X569" s="3710"/>
      <c r="Y569" s="3710"/>
      <c r="Z569" s="3710"/>
      <c r="AA569" s="3710"/>
      <c r="AB569" s="3710"/>
      <c r="AC569" s="3710"/>
    </row>
    <row r="570" spans="1:29">
      <c r="A570" s="3710"/>
      <c r="B570" s="3710"/>
      <c r="C570" s="3710"/>
      <c r="D570" s="3710"/>
      <c r="E570" s="3710"/>
      <c r="F570" s="3710"/>
      <c r="G570" s="3710"/>
      <c r="H570" s="3710"/>
      <c r="I570" s="3710"/>
      <c r="J570" s="3710"/>
      <c r="K570" s="3711"/>
      <c r="L570" s="3712"/>
      <c r="M570" s="3710"/>
      <c r="N570" s="3710"/>
      <c r="O570" s="3710"/>
      <c r="P570" s="3752"/>
      <c r="Q570" s="3710"/>
      <c r="R570" s="3710"/>
      <c r="S570" s="3710"/>
      <c r="T570" s="3710"/>
      <c r="U570" s="3710"/>
      <c r="V570" s="3710"/>
      <c r="W570" s="3710"/>
      <c r="X570" s="3710"/>
      <c r="Y570" s="3710"/>
      <c r="Z570" s="3710"/>
      <c r="AA570" s="3710"/>
      <c r="AB570" s="3710"/>
      <c r="AC570" s="3710"/>
    </row>
    <row r="571" spans="1:29">
      <c r="A571" s="3710"/>
      <c r="B571" s="3710"/>
      <c r="C571" s="3710"/>
      <c r="D571" s="3710"/>
      <c r="E571" s="3710"/>
      <c r="F571" s="3710"/>
      <c r="G571" s="3710"/>
      <c r="H571" s="3710"/>
      <c r="I571" s="3710"/>
      <c r="J571" s="3710"/>
      <c r="K571" s="3711"/>
      <c r="L571" s="3712"/>
      <c r="M571" s="3710"/>
      <c r="N571" s="3710"/>
      <c r="O571" s="3710"/>
      <c r="P571" s="3752"/>
      <c r="Q571" s="3710"/>
      <c r="R571" s="3710"/>
      <c r="S571" s="3710"/>
      <c r="T571" s="3710"/>
      <c r="U571" s="3710"/>
      <c r="V571" s="3710"/>
      <c r="W571" s="3710"/>
      <c r="X571" s="3710"/>
      <c r="Y571" s="3710"/>
      <c r="Z571" s="3710"/>
      <c r="AA571" s="3710"/>
      <c r="AB571" s="3710"/>
      <c r="AC571" s="3710"/>
    </row>
    <row r="572" spans="1:29">
      <c r="A572" s="3710"/>
      <c r="B572" s="3710"/>
      <c r="C572" s="3710"/>
      <c r="D572" s="3710"/>
      <c r="E572" s="3710"/>
      <c r="F572" s="3710"/>
      <c r="G572" s="3710"/>
      <c r="H572" s="3710"/>
      <c r="I572" s="3710"/>
      <c r="J572" s="3710"/>
      <c r="K572" s="3711"/>
      <c r="L572" s="3712"/>
      <c r="M572" s="3710"/>
      <c r="N572" s="3710"/>
      <c r="O572" s="3710"/>
      <c r="P572" s="3752"/>
      <c r="Q572" s="3710"/>
      <c r="R572" s="3710"/>
      <c r="S572" s="3710"/>
      <c r="T572" s="3710"/>
      <c r="U572" s="3710"/>
      <c r="V572" s="3710"/>
      <c r="W572" s="3710"/>
      <c r="X572" s="3710"/>
      <c r="Y572" s="3710"/>
      <c r="Z572" s="3710"/>
      <c r="AA572" s="3710"/>
      <c r="AB572" s="3710"/>
      <c r="AC572" s="3710"/>
    </row>
    <row r="573" spans="1:29">
      <c r="A573" s="3710"/>
      <c r="B573" s="3710"/>
      <c r="C573" s="3710"/>
      <c r="D573" s="3710"/>
      <c r="E573" s="3710"/>
      <c r="F573" s="3710"/>
      <c r="G573" s="3710"/>
      <c r="H573" s="3710"/>
      <c r="I573" s="3710"/>
      <c r="J573" s="3710"/>
      <c r="K573" s="3711"/>
      <c r="L573" s="3712"/>
      <c r="M573" s="3710"/>
      <c r="N573" s="3710"/>
      <c r="O573" s="3710"/>
      <c r="P573" s="3752"/>
      <c r="Q573" s="3710"/>
      <c r="R573" s="3710"/>
      <c r="S573" s="3710"/>
      <c r="T573" s="3710"/>
      <c r="U573" s="3710"/>
      <c r="V573" s="3710"/>
      <c r="W573" s="3710"/>
      <c r="X573" s="3710"/>
      <c r="Y573" s="3710"/>
      <c r="Z573" s="3710"/>
      <c r="AA573" s="3710"/>
      <c r="AB573" s="3710"/>
      <c r="AC573" s="3710"/>
    </row>
    <row r="574" spans="1:29">
      <c r="A574" s="3710"/>
      <c r="B574" s="3710"/>
      <c r="C574" s="3710"/>
      <c r="D574" s="3710"/>
      <c r="E574" s="3710"/>
      <c r="F574" s="3710"/>
      <c r="G574" s="3710"/>
      <c r="H574" s="3710"/>
      <c r="I574" s="3710"/>
      <c r="J574" s="3710"/>
      <c r="K574" s="3711"/>
      <c r="L574" s="3712"/>
      <c r="M574" s="3710"/>
      <c r="N574" s="3710"/>
      <c r="O574" s="3710"/>
      <c r="P574" s="3752"/>
      <c r="Q574" s="3710"/>
      <c r="R574" s="3710"/>
      <c r="S574" s="3710"/>
      <c r="T574" s="3710"/>
      <c r="U574" s="3710"/>
      <c r="V574" s="3710"/>
      <c r="W574" s="3710"/>
      <c r="X574" s="3710"/>
      <c r="Y574" s="3710"/>
      <c r="Z574" s="3710"/>
      <c r="AA574" s="3710"/>
      <c r="AB574" s="3710"/>
      <c r="AC574" s="3710"/>
    </row>
    <row r="575" spans="1:29">
      <c r="A575" s="3710"/>
      <c r="B575" s="3710"/>
      <c r="C575" s="3710"/>
      <c r="D575" s="3710"/>
      <c r="E575" s="3710"/>
      <c r="F575" s="3710"/>
      <c r="G575" s="3710"/>
      <c r="H575" s="3710"/>
      <c r="I575" s="3710"/>
      <c r="J575" s="3710"/>
      <c r="K575" s="3711"/>
      <c r="L575" s="3712"/>
      <c r="M575" s="3710"/>
      <c r="N575" s="3710"/>
      <c r="O575" s="3710"/>
      <c r="P575" s="3752"/>
      <c r="Q575" s="3710"/>
      <c r="R575" s="3710"/>
      <c r="S575" s="3710"/>
      <c r="T575" s="3710"/>
      <c r="U575" s="3710"/>
      <c r="V575" s="3710"/>
      <c r="W575" s="3710"/>
      <c r="X575" s="3710"/>
      <c r="Y575" s="3710"/>
      <c r="Z575" s="3710"/>
      <c r="AA575" s="3710"/>
      <c r="AB575" s="3710"/>
      <c r="AC575" s="3710"/>
    </row>
    <row r="576" spans="1:29">
      <c r="A576" s="3710"/>
      <c r="B576" s="3710"/>
      <c r="C576" s="3710"/>
      <c r="D576" s="3710"/>
      <c r="E576" s="3710"/>
      <c r="F576" s="3710"/>
      <c r="G576" s="3710"/>
      <c r="H576" s="3710"/>
      <c r="I576" s="3710"/>
      <c r="J576" s="3710"/>
      <c r="K576" s="3711"/>
      <c r="L576" s="3712"/>
      <c r="M576" s="3710"/>
      <c r="N576" s="3710"/>
      <c r="O576" s="3710"/>
      <c r="P576" s="3752"/>
      <c r="Q576" s="3710"/>
      <c r="R576" s="3710"/>
      <c r="S576" s="3710"/>
      <c r="T576" s="3710"/>
      <c r="U576" s="3710"/>
      <c r="V576" s="3710"/>
      <c r="W576" s="3710"/>
      <c r="X576" s="3710"/>
      <c r="Y576" s="3710"/>
      <c r="Z576" s="3710"/>
      <c r="AA576" s="3710"/>
      <c r="AB576" s="3710"/>
      <c r="AC576" s="3710"/>
    </row>
    <row r="577" spans="1:29">
      <c r="A577" s="3710"/>
      <c r="B577" s="3710"/>
      <c r="C577" s="3710"/>
      <c r="D577" s="3710"/>
      <c r="E577" s="3710"/>
      <c r="F577" s="3710"/>
      <c r="G577" s="3710"/>
      <c r="H577" s="3710"/>
      <c r="I577" s="3710"/>
      <c r="J577" s="3710"/>
      <c r="K577" s="3711"/>
      <c r="L577" s="3712"/>
      <c r="M577" s="3710"/>
      <c r="N577" s="3710"/>
      <c r="O577" s="3710"/>
      <c r="P577" s="3752"/>
      <c r="Q577" s="3710"/>
      <c r="R577" s="3710"/>
      <c r="S577" s="3710"/>
      <c r="T577" s="3710"/>
      <c r="U577" s="3710"/>
      <c r="V577" s="3710"/>
      <c r="W577" s="3710"/>
      <c r="X577" s="3710"/>
      <c r="Y577" s="3710"/>
      <c r="Z577" s="3710"/>
      <c r="AA577" s="3710"/>
      <c r="AB577" s="3710"/>
      <c r="AC577" s="3710"/>
    </row>
    <row r="578" spans="1:29">
      <c r="A578" s="3710"/>
      <c r="B578" s="3710"/>
      <c r="C578" s="3710"/>
      <c r="D578" s="3710"/>
      <c r="E578" s="3710"/>
      <c r="F578" s="3710"/>
      <c r="G578" s="3710"/>
      <c r="H578" s="3710"/>
      <c r="I578" s="3710"/>
      <c r="J578" s="3710"/>
      <c r="K578" s="3711"/>
      <c r="L578" s="3712"/>
      <c r="M578" s="3710"/>
      <c r="N578" s="3710"/>
      <c r="O578" s="3710"/>
      <c r="P578" s="3752"/>
      <c r="Q578" s="3710"/>
      <c r="R578" s="3710"/>
      <c r="S578" s="3710"/>
      <c r="T578" s="3710"/>
      <c r="U578" s="3710"/>
      <c r="V578" s="3710"/>
      <c r="W578" s="3710"/>
      <c r="X578" s="3710"/>
      <c r="Y578" s="3710"/>
      <c r="Z578" s="3710"/>
      <c r="AA578" s="3710"/>
      <c r="AB578" s="3710"/>
      <c r="AC578" s="3710"/>
    </row>
    <row r="579" spans="1:29">
      <c r="A579" s="3710"/>
      <c r="B579" s="3710"/>
      <c r="C579" s="3710"/>
      <c r="D579" s="3710"/>
      <c r="E579" s="3710"/>
      <c r="F579" s="3710"/>
      <c r="G579" s="3710"/>
      <c r="H579" s="3710"/>
      <c r="I579" s="3710"/>
      <c r="J579" s="3710"/>
      <c r="K579" s="3711"/>
      <c r="L579" s="3712"/>
      <c r="M579" s="3710"/>
      <c r="N579" s="3710"/>
      <c r="O579" s="3710"/>
      <c r="P579" s="3752"/>
      <c r="Q579" s="3710"/>
      <c r="R579" s="3710"/>
      <c r="S579" s="3710"/>
      <c r="T579" s="3710"/>
      <c r="U579" s="3710"/>
      <c r="V579" s="3710"/>
      <c r="W579" s="3710"/>
      <c r="X579" s="3710"/>
      <c r="Y579" s="3710"/>
      <c r="Z579" s="3710"/>
      <c r="AA579" s="3710"/>
      <c r="AB579" s="3710"/>
      <c r="AC579" s="3710"/>
    </row>
    <row r="580" spans="1:29">
      <c r="A580" s="3710"/>
      <c r="B580" s="3710"/>
      <c r="C580" s="3710"/>
      <c r="D580" s="3710"/>
      <c r="E580" s="3710"/>
      <c r="F580" s="3710"/>
      <c r="G580" s="3710"/>
      <c r="H580" s="3710"/>
      <c r="I580" s="3710"/>
      <c r="J580" s="3710"/>
      <c r="K580" s="3711"/>
      <c r="L580" s="3712"/>
      <c r="M580" s="3710"/>
      <c r="N580" s="3710"/>
      <c r="O580" s="3710"/>
      <c r="P580" s="3752"/>
      <c r="Q580" s="3710"/>
      <c r="R580" s="3710"/>
      <c r="S580" s="3710"/>
      <c r="T580" s="3710"/>
      <c r="U580" s="3710"/>
      <c r="V580" s="3710"/>
      <c r="W580" s="3710"/>
      <c r="X580" s="3710"/>
      <c r="Y580" s="3710"/>
      <c r="Z580" s="3710"/>
      <c r="AA580" s="3710"/>
      <c r="AB580" s="3710"/>
      <c r="AC580" s="3710"/>
    </row>
    <row r="581" spans="1:29">
      <c r="A581" s="3710"/>
      <c r="B581" s="3710"/>
      <c r="C581" s="3710"/>
      <c r="D581" s="3710"/>
      <c r="E581" s="3710"/>
      <c r="F581" s="3710"/>
      <c r="G581" s="3710"/>
      <c r="H581" s="3710"/>
      <c r="I581" s="3710"/>
      <c r="J581" s="3710"/>
      <c r="K581" s="3711"/>
      <c r="L581" s="3712"/>
      <c r="M581" s="3710"/>
      <c r="N581" s="3710"/>
      <c r="O581" s="3710"/>
      <c r="P581" s="3752"/>
      <c r="Q581" s="3710"/>
      <c r="R581" s="3710"/>
      <c r="S581" s="3710"/>
      <c r="T581" s="3710"/>
      <c r="U581" s="3710"/>
      <c r="V581" s="3710"/>
      <c r="W581" s="3710"/>
      <c r="X581" s="3710"/>
      <c r="Y581" s="3710"/>
      <c r="Z581" s="3710"/>
      <c r="AA581" s="3710"/>
      <c r="AB581" s="3710"/>
      <c r="AC581" s="3710"/>
    </row>
    <row r="582" spans="1:29">
      <c r="A582" s="3710"/>
      <c r="B582" s="3710"/>
      <c r="C582" s="3710"/>
      <c r="D582" s="3710"/>
      <c r="E582" s="3710"/>
      <c r="F582" s="3710"/>
      <c r="G582" s="3710"/>
      <c r="H582" s="3710"/>
      <c r="I582" s="3710"/>
      <c r="J582" s="3710"/>
      <c r="K582" s="3711"/>
      <c r="L582" s="3712"/>
      <c r="M582" s="3710"/>
      <c r="N582" s="3710"/>
      <c r="O582" s="3710"/>
      <c r="P582" s="3752"/>
      <c r="Q582" s="3710"/>
      <c r="R582" s="3710"/>
      <c r="S582" s="3710"/>
      <c r="T582" s="3710"/>
      <c r="U582" s="3710"/>
      <c r="V582" s="3710"/>
      <c r="W582" s="3710"/>
      <c r="X582" s="3710"/>
      <c r="Y582" s="3710"/>
      <c r="Z582" s="3710"/>
      <c r="AA582" s="3710"/>
      <c r="AB582" s="3710"/>
      <c r="AC582" s="3710"/>
    </row>
    <row r="583" spans="1:29">
      <c r="A583" s="3710"/>
      <c r="B583" s="3710"/>
      <c r="C583" s="3710"/>
      <c r="D583" s="3710"/>
      <c r="E583" s="3710"/>
      <c r="F583" s="3710"/>
      <c r="G583" s="3710"/>
      <c r="H583" s="3710"/>
      <c r="I583" s="3710"/>
      <c r="J583" s="3710"/>
      <c r="K583" s="3711"/>
      <c r="L583" s="3712"/>
      <c r="M583" s="3710"/>
      <c r="N583" s="3710"/>
      <c r="O583" s="3710"/>
      <c r="P583" s="3752"/>
      <c r="Q583" s="3710"/>
      <c r="R583" s="3710"/>
      <c r="S583" s="3710"/>
      <c r="T583" s="3710"/>
      <c r="U583" s="3710"/>
      <c r="V583" s="3710"/>
      <c r="W583" s="3710"/>
      <c r="X583" s="3710"/>
      <c r="Y583" s="3710"/>
      <c r="Z583" s="3710"/>
      <c r="AA583" s="3710"/>
      <c r="AB583" s="3710"/>
      <c r="AC583" s="3710"/>
    </row>
    <row r="584" spans="1:29">
      <c r="A584" s="3710"/>
      <c r="B584" s="3710"/>
      <c r="C584" s="3710"/>
      <c r="D584" s="3710"/>
      <c r="E584" s="3710"/>
      <c r="F584" s="3710"/>
      <c r="G584" s="3710"/>
      <c r="H584" s="3710"/>
      <c r="I584" s="3710"/>
      <c r="J584" s="3710"/>
      <c r="K584" s="3711"/>
      <c r="L584" s="3712"/>
      <c r="M584" s="3710"/>
      <c r="N584" s="3710"/>
      <c r="O584" s="3710"/>
      <c r="P584" s="3752"/>
      <c r="Q584" s="3710"/>
      <c r="R584" s="3710"/>
      <c r="S584" s="3710"/>
      <c r="T584" s="3710"/>
      <c r="U584" s="3710"/>
      <c r="V584" s="3710"/>
      <c r="W584" s="3710"/>
      <c r="X584" s="3710"/>
      <c r="Y584" s="3710"/>
      <c r="Z584" s="3710"/>
      <c r="AA584" s="3710"/>
      <c r="AB584" s="3710"/>
      <c r="AC584" s="3710"/>
    </row>
    <row r="585" spans="1:29">
      <c r="A585" s="3710"/>
      <c r="B585" s="3710"/>
      <c r="C585" s="3710"/>
      <c r="D585" s="3710"/>
      <c r="E585" s="3710"/>
      <c r="F585" s="3710"/>
      <c r="G585" s="3710"/>
      <c r="H585" s="3710"/>
      <c r="I585" s="3710"/>
      <c r="J585" s="3710"/>
      <c r="K585" s="3711"/>
      <c r="L585" s="3712"/>
      <c r="M585" s="3710"/>
      <c r="N585" s="3710"/>
      <c r="O585" s="3710"/>
      <c r="P585" s="3752"/>
      <c r="Q585" s="3710"/>
      <c r="R585" s="3710"/>
      <c r="S585" s="3710"/>
      <c r="T585" s="3710"/>
      <c r="U585" s="3710"/>
      <c r="V585" s="3710"/>
      <c r="W585" s="3710"/>
      <c r="X585" s="3710"/>
      <c r="Y585" s="3710"/>
      <c r="Z585" s="3710"/>
      <c r="AA585" s="3710"/>
      <c r="AB585" s="3710"/>
      <c r="AC585" s="3710"/>
    </row>
    <row r="586" spans="1:29">
      <c r="A586" s="3710"/>
      <c r="B586" s="3710"/>
      <c r="C586" s="3710"/>
      <c r="D586" s="3710"/>
      <c r="E586" s="3710"/>
      <c r="F586" s="3710"/>
      <c r="G586" s="3710"/>
      <c r="H586" s="3710"/>
      <c r="I586" s="3710"/>
      <c r="J586" s="3710"/>
      <c r="K586" s="3711"/>
      <c r="L586" s="3712"/>
      <c r="M586" s="3710"/>
      <c r="N586" s="3710"/>
      <c r="O586" s="3710"/>
      <c r="P586" s="3752"/>
      <c r="Q586" s="3710"/>
      <c r="R586" s="3710"/>
      <c r="S586" s="3710"/>
      <c r="T586" s="3710"/>
      <c r="U586" s="3710"/>
      <c r="V586" s="3710"/>
      <c r="W586" s="3710"/>
      <c r="X586" s="3710"/>
      <c r="Y586" s="3710"/>
      <c r="Z586" s="3710"/>
      <c r="AA586" s="3710"/>
      <c r="AB586" s="3710"/>
      <c r="AC586" s="3710"/>
    </row>
    <row r="587" spans="1:29">
      <c r="A587" s="3710"/>
      <c r="B587" s="3710"/>
      <c r="C587" s="3710"/>
      <c r="D587" s="3710"/>
      <c r="E587" s="3710"/>
      <c r="F587" s="3710"/>
      <c r="G587" s="3710"/>
      <c r="H587" s="3710"/>
      <c r="I587" s="3710"/>
      <c r="J587" s="3710"/>
      <c r="K587" s="3711"/>
      <c r="L587" s="3712"/>
      <c r="M587" s="3710"/>
      <c r="N587" s="3710"/>
      <c r="O587" s="3710"/>
      <c r="P587" s="3752"/>
      <c r="Q587" s="3710"/>
      <c r="R587" s="3710"/>
      <c r="S587" s="3710"/>
      <c r="T587" s="3710"/>
      <c r="U587" s="3710"/>
      <c r="V587" s="3710"/>
      <c r="W587" s="3710"/>
      <c r="X587" s="3710"/>
      <c r="Y587" s="3710"/>
      <c r="Z587" s="3710"/>
      <c r="AA587" s="3710"/>
      <c r="AB587" s="3710"/>
      <c r="AC587" s="3710"/>
    </row>
    <row r="588" spans="1:29">
      <c r="A588" s="3710"/>
      <c r="B588" s="3710"/>
      <c r="C588" s="3710"/>
      <c r="D588" s="3710"/>
      <c r="E588" s="3710"/>
      <c r="F588" s="3710"/>
      <c r="G588" s="3710"/>
      <c r="H588" s="3710"/>
      <c r="I588" s="3710"/>
      <c r="J588" s="3710"/>
      <c r="K588" s="3711"/>
      <c r="L588" s="3712"/>
      <c r="M588" s="3710"/>
      <c r="N588" s="3710"/>
      <c r="O588" s="3710"/>
      <c r="P588" s="3752"/>
      <c r="Q588" s="3710"/>
      <c r="R588" s="3710"/>
      <c r="S588" s="3710"/>
      <c r="T588" s="3710"/>
      <c r="U588" s="3710"/>
      <c r="V588" s="3710"/>
      <c r="W588" s="3710"/>
      <c r="X588" s="3710"/>
      <c r="Y588" s="3710"/>
      <c r="Z588" s="3710"/>
      <c r="AA588" s="3710"/>
      <c r="AB588" s="3710"/>
      <c r="AC588" s="3710"/>
    </row>
    <row r="589" spans="1:29">
      <c r="A589" s="3710"/>
      <c r="B589" s="3710"/>
      <c r="C589" s="3710"/>
      <c r="D589" s="3710"/>
      <c r="E589" s="3710"/>
      <c r="F589" s="3710"/>
      <c r="G589" s="3710"/>
      <c r="H589" s="3710"/>
      <c r="I589" s="3710"/>
      <c r="J589" s="3710"/>
      <c r="K589" s="3711"/>
      <c r="L589" s="3712"/>
      <c r="M589" s="3710"/>
      <c r="N589" s="3710"/>
      <c r="O589" s="3710"/>
      <c r="P589" s="3752"/>
      <c r="Q589" s="3710"/>
      <c r="R589" s="3710"/>
      <c r="S589" s="3710"/>
      <c r="T589" s="3710"/>
      <c r="U589" s="3710"/>
      <c r="V589" s="3710"/>
      <c r="W589" s="3710"/>
      <c r="X589" s="3710"/>
      <c r="Y589" s="3710"/>
      <c r="Z589" s="3710"/>
      <c r="AA589" s="3710"/>
      <c r="AB589" s="3710"/>
      <c r="AC589" s="3710"/>
    </row>
    <row r="590" spans="1:29">
      <c r="A590" s="3710"/>
      <c r="B590" s="3710"/>
      <c r="C590" s="3710"/>
      <c r="D590" s="3710"/>
      <c r="E590" s="3710"/>
      <c r="F590" s="3710"/>
      <c r="G590" s="3710"/>
      <c r="H590" s="3710"/>
      <c r="I590" s="3710"/>
      <c r="J590" s="3710"/>
      <c r="K590" s="3711"/>
      <c r="L590" s="3712"/>
      <c r="M590" s="3710"/>
      <c r="N590" s="3710"/>
      <c r="O590" s="3710"/>
      <c r="P590" s="3752"/>
      <c r="Q590" s="3710"/>
      <c r="R590" s="3710"/>
      <c r="S590" s="3710"/>
      <c r="T590" s="3710"/>
      <c r="U590" s="3710"/>
      <c r="V590" s="3710"/>
      <c r="W590" s="3710"/>
      <c r="X590" s="3710"/>
      <c r="Y590" s="3710"/>
      <c r="Z590" s="3710"/>
      <c r="AA590" s="3710"/>
      <c r="AB590" s="3710"/>
      <c r="AC590" s="3710"/>
    </row>
    <row r="591" spans="1:29">
      <c r="A591" s="3710"/>
      <c r="B591" s="3710"/>
      <c r="C591" s="3710"/>
      <c r="D591" s="3710"/>
      <c r="E591" s="3710"/>
      <c r="F591" s="3710"/>
      <c r="G591" s="3710"/>
      <c r="H591" s="3710"/>
      <c r="I591" s="3710"/>
      <c r="J591" s="3710"/>
      <c r="K591" s="3711"/>
      <c r="L591" s="3712"/>
      <c r="M591" s="3710"/>
      <c r="N591" s="3710"/>
      <c r="O591" s="3710"/>
      <c r="P591" s="3752"/>
      <c r="Q591" s="3710"/>
      <c r="R591" s="3710"/>
      <c r="S591" s="3710"/>
      <c r="T591" s="3710"/>
      <c r="U591" s="3710"/>
      <c r="V591" s="3710"/>
      <c r="W591" s="3710"/>
      <c r="X591" s="3710"/>
      <c r="Y591" s="3710"/>
      <c r="Z591" s="3710"/>
      <c r="AA591" s="3710"/>
      <c r="AB591" s="3710"/>
      <c r="AC591" s="3710"/>
    </row>
    <row r="592" spans="1:29">
      <c r="A592" s="3710"/>
      <c r="B592" s="3710"/>
      <c r="C592" s="3710"/>
      <c r="D592" s="3710"/>
      <c r="E592" s="3710"/>
      <c r="F592" s="3710"/>
      <c r="G592" s="3710"/>
      <c r="H592" s="3710"/>
      <c r="I592" s="3710"/>
      <c r="J592" s="3710"/>
      <c r="K592" s="3711"/>
      <c r="L592" s="3712"/>
      <c r="M592" s="3710"/>
      <c r="N592" s="3710"/>
      <c r="O592" s="3710"/>
      <c r="P592" s="3752"/>
      <c r="Q592" s="3710"/>
      <c r="R592" s="3710"/>
      <c r="S592" s="3710"/>
      <c r="T592" s="3710"/>
      <c r="U592" s="3710"/>
      <c r="V592" s="3710"/>
      <c r="W592" s="3710"/>
      <c r="X592" s="3710"/>
      <c r="Y592" s="3710"/>
      <c r="Z592" s="3710"/>
      <c r="AA592" s="3710"/>
      <c r="AB592" s="3710"/>
      <c r="AC592" s="3710"/>
    </row>
    <row r="593" spans="1:29">
      <c r="A593" s="3710"/>
      <c r="B593" s="3710"/>
      <c r="C593" s="3710"/>
      <c r="D593" s="3710"/>
      <c r="E593" s="3710"/>
      <c r="F593" s="3710"/>
      <c r="G593" s="3710"/>
      <c r="H593" s="3710"/>
      <c r="I593" s="3710"/>
      <c r="J593" s="3710"/>
      <c r="K593" s="3711"/>
      <c r="L593" s="3712"/>
      <c r="M593" s="3710"/>
      <c r="N593" s="3710"/>
      <c r="O593" s="3710"/>
      <c r="P593" s="3752"/>
      <c r="Q593" s="3710"/>
      <c r="R593" s="3710"/>
      <c r="S593" s="3710"/>
      <c r="T593" s="3710"/>
      <c r="U593" s="3710"/>
      <c r="V593" s="3710"/>
      <c r="W593" s="3710"/>
      <c r="X593" s="3710"/>
      <c r="Y593" s="3710"/>
      <c r="Z593" s="3710"/>
      <c r="AA593" s="3710"/>
      <c r="AB593" s="3710"/>
      <c r="AC593" s="3710"/>
    </row>
    <row r="594" spans="1:29">
      <c r="A594" s="3710"/>
      <c r="B594" s="3710"/>
      <c r="C594" s="3710"/>
      <c r="D594" s="3710"/>
      <c r="E594" s="3710"/>
      <c r="F594" s="3710"/>
      <c r="G594" s="3710"/>
      <c r="H594" s="3710"/>
      <c r="I594" s="3710"/>
      <c r="J594" s="3710"/>
      <c r="K594" s="3711"/>
      <c r="L594" s="3712"/>
      <c r="M594" s="3710"/>
      <c r="N594" s="3710"/>
      <c r="O594" s="3710"/>
      <c r="P594" s="3752"/>
      <c r="Q594" s="3710"/>
      <c r="R594" s="3710"/>
      <c r="S594" s="3710"/>
      <c r="T594" s="3710"/>
      <c r="U594" s="3710"/>
      <c r="V594" s="3710"/>
      <c r="W594" s="3710"/>
      <c r="X594" s="3710"/>
      <c r="Y594" s="3710"/>
      <c r="Z594" s="3710"/>
      <c r="AA594" s="3710"/>
      <c r="AB594" s="3710"/>
      <c r="AC594" s="3710"/>
    </row>
    <row r="595" spans="1:29">
      <c r="A595" s="3710"/>
      <c r="B595" s="3710"/>
      <c r="C595" s="3710"/>
      <c r="D595" s="3710"/>
      <c r="E595" s="3710"/>
      <c r="F595" s="3710"/>
      <c r="G595" s="3710"/>
      <c r="H595" s="3710"/>
      <c r="I595" s="3710"/>
      <c r="J595" s="3710"/>
      <c r="K595" s="3711"/>
      <c r="L595" s="3712"/>
      <c r="M595" s="3710"/>
      <c r="N595" s="3710"/>
      <c r="O595" s="3710"/>
      <c r="P595" s="3752"/>
      <c r="Q595" s="3710"/>
      <c r="R595" s="3710"/>
      <c r="S595" s="3710"/>
      <c r="T595" s="3710"/>
      <c r="U595" s="3710"/>
      <c r="V595" s="3710"/>
      <c r="W595" s="3710"/>
      <c r="X595" s="3710"/>
      <c r="Y595" s="3710"/>
      <c r="Z595" s="3710"/>
      <c r="AA595" s="3710"/>
      <c r="AB595" s="3710"/>
      <c r="AC595" s="3710"/>
    </row>
    <row r="596" spans="1:29">
      <c r="A596" s="3710"/>
      <c r="B596" s="3710"/>
      <c r="C596" s="3710"/>
      <c r="D596" s="3710"/>
      <c r="E596" s="3710"/>
      <c r="F596" s="3710"/>
      <c r="G596" s="3710"/>
      <c r="H596" s="3710"/>
      <c r="I596" s="3710"/>
      <c r="J596" s="3710"/>
      <c r="K596" s="3711"/>
      <c r="L596" s="3712"/>
      <c r="M596" s="3710"/>
      <c r="N596" s="3710"/>
      <c r="O596" s="3710"/>
      <c r="P596" s="3752"/>
      <c r="Q596" s="3710"/>
      <c r="R596" s="3710"/>
      <c r="S596" s="3710"/>
      <c r="T596" s="3710"/>
      <c r="U596" s="3710"/>
      <c r="V596" s="3710"/>
      <c r="W596" s="3710"/>
      <c r="X596" s="3710"/>
      <c r="Y596" s="3710"/>
      <c r="Z596" s="3710"/>
      <c r="AA596" s="3710"/>
      <c r="AB596" s="3710"/>
      <c r="AC596" s="3710"/>
    </row>
    <row r="597" spans="1:29">
      <c r="A597" s="3710"/>
      <c r="B597" s="3710"/>
      <c r="C597" s="3710"/>
      <c r="D597" s="3710"/>
      <c r="E597" s="3710"/>
      <c r="F597" s="3710"/>
      <c r="G597" s="3710"/>
      <c r="H597" s="3710"/>
      <c r="I597" s="3710"/>
      <c r="J597" s="3710"/>
      <c r="K597" s="3711"/>
      <c r="L597" s="3712"/>
      <c r="M597" s="3710"/>
      <c r="N597" s="3710"/>
      <c r="O597" s="3710"/>
      <c r="P597" s="3752"/>
      <c r="Q597" s="3710"/>
      <c r="R597" s="3710"/>
      <c r="S597" s="3710"/>
      <c r="T597" s="3710"/>
      <c r="U597" s="3710"/>
      <c r="V597" s="3710"/>
      <c r="W597" s="3710"/>
      <c r="X597" s="3710"/>
      <c r="Y597" s="3710"/>
      <c r="Z597" s="3710"/>
      <c r="AA597" s="3710"/>
      <c r="AB597" s="3710"/>
      <c r="AC597" s="3710"/>
    </row>
    <row r="598" spans="1:29">
      <c r="A598" s="3710"/>
      <c r="B598" s="3710"/>
      <c r="C598" s="3710"/>
      <c r="D598" s="3710"/>
      <c r="E598" s="3710"/>
      <c r="F598" s="3710"/>
      <c r="G598" s="3710"/>
      <c r="H598" s="3710"/>
      <c r="I598" s="3710"/>
      <c r="J598" s="3710"/>
      <c r="K598" s="3711"/>
      <c r="L598" s="3712"/>
      <c r="M598" s="3710"/>
      <c r="N598" s="3710"/>
      <c r="O598" s="3710"/>
      <c r="P598" s="3752"/>
      <c r="Q598" s="3710"/>
      <c r="R598" s="3710"/>
      <c r="S598" s="3710"/>
      <c r="T598" s="3710"/>
      <c r="U598" s="3710"/>
      <c r="V598" s="3710"/>
      <c r="W598" s="3710"/>
      <c r="X598" s="3710"/>
      <c r="Y598" s="3710"/>
      <c r="Z598" s="3710"/>
      <c r="AA598" s="3710"/>
      <c r="AB598" s="3710"/>
      <c r="AC598" s="3710"/>
    </row>
    <row r="599" spans="1:29">
      <c r="A599" s="3710"/>
      <c r="B599" s="3710"/>
      <c r="C599" s="3710"/>
      <c r="D599" s="3710"/>
      <c r="E599" s="3710"/>
      <c r="F599" s="3710"/>
      <c r="G599" s="3710"/>
      <c r="H599" s="3710"/>
      <c r="I599" s="3710"/>
      <c r="J599" s="3710"/>
      <c r="K599" s="3711"/>
      <c r="L599" s="3712"/>
      <c r="M599" s="3710"/>
      <c r="N599" s="3710"/>
      <c r="O599" s="3710"/>
      <c r="P599" s="3752"/>
      <c r="Q599" s="3710"/>
      <c r="R599" s="3710"/>
      <c r="S599" s="3710"/>
      <c r="T599" s="3710"/>
      <c r="U599" s="3710"/>
      <c r="V599" s="3710"/>
      <c r="W599" s="3710"/>
      <c r="X599" s="3710"/>
      <c r="Y599" s="3710"/>
      <c r="Z599" s="3710"/>
      <c r="AA599" s="3710"/>
      <c r="AB599" s="3710"/>
      <c r="AC599" s="3710"/>
    </row>
    <row r="600" spans="1:29">
      <c r="A600" s="3710"/>
      <c r="B600" s="3710"/>
      <c r="C600" s="3710"/>
      <c r="D600" s="3710"/>
      <c r="E600" s="3710"/>
      <c r="F600" s="3710"/>
      <c r="G600" s="3710"/>
      <c r="H600" s="3710"/>
      <c r="I600" s="3710"/>
      <c r="J600" s="3710"/>
      <c r="K600" s="3711"/>
      <c r="L600" s="3712"/>
      <c r="M600" s="3710"/>
      <c r="N600" s="3710"/>
      <c r="O600" s="3710"/>
      <c r="P600" s="3752"/>
      <c r="Q600" s="3710"/>
      <c r="R600" s="3710"/>
      <c r="S600" s="3710"/>
      <c r="T600" s="3710"/>
      <c r="U600" s="3710"/>
      <c r="V600" s="3710"/>
      <c r="W600" s="3710"/>
      <c r="X600" s="3710"/>
      <c r="Y600" s="3710"/>
      <c r="Z600" s="3710"/>
      <c r="AA600" s="3710"/>
      <c r="AB600" s="3710"/>
      <c r="AC600" s="3710"/>
    </row>
    <row r="601" spans="1:29">
      <c r="A601" s="3710"/>
      <c r="B601" s="3710"/>
      <c r="C601" s="3710"/>
      <c r="D601" s="3710"/>
      <c r="E601" s="3710"/>
      <c r="F601" s="3710"/>
      <c r="G601" s="3710"/>
      <c r="H601" s="3710"/>
      <c r="I601" s="3710"/>
      <c r="J601" s="3710"/>
      <c r="K601" s="3711"/>
      <c r="L601" s="3712"/>
      <c r="M601" s="3710"/>
      <c r="N601" s="3710"/>
      <c r="O601" s="3710"/>
      <c r="P601" s="3752"/>
      <c r="Q601" s="3710"/>
      <c r="R601" s="3710"/>
      <c r="S601" s="3710"/>
      <c r="T601" s="3710"/>
      <c r="U601" s="3710"/>
      <c r="V601" s="3710"/>
      <c r="W601" s="3710"/>
      <c r="X601" s="3710"/>
      <c r="Y601" s="3710"/>
      <c r="Z601" s="3710"/>
      <c r="AA601" s="3710"/>
      <c r="AB601" s="3710"/>
      <c r="AC601" s="3710"/>
    </row>
    <row r="602" spans="1:29">
      <c r="A602" s="3710"/>
      <c r="B602" s="3710"/>
      <c r="C602" s="3710"/>
      <c r="D602" s="3710"/>
      <c r="E602" s="3710"/>
      <c r="F602" s="3710"/>
      <c r="G602" s="3710"/>
      <c r="H602" s="3710"/>
      <c r="I602" s="3710"/>
      <c r="J602" s="3710"/>
      <c r="K602" s="3711"/>
      <c r="L602" s="3712"/>
      <c r="M602" s="3710"/>
      <c r="N602" s="3710"/>
      <c r="O602" s="3710"/>
      <c r="P602" s="3752"/>
      <c r="Q602" s="3710"/>
      <c r="R602" s="3710"/>
      <c r="S602" s="3710"/>
      <c r="T602" s="3710"/>
      <c r="U602" s="3710"/>
      <c r="V602" s="3710"/>
      <c r="W602" s="3710"/>
      <c r="X602" s="3710"/>
      <c r="Y602" s="3710"/>
      <c r="Z602" s="3710"/>
      <c r="AA602" s="3710"/>
      <c r="AB602" s="3710"/>
      <c r="AC602" s="3710"/>
    </row>
    <row r="603" spans="1:29">
      <c r="A603" s="3710"/>
      <c r="B603" s="3710"/>
      <c r="C603" s="3710"/>
      <c r="D603" s="3710"/>
      <c r="E603" s="3710"/>
      <c r="F603" s="3710"/>
      <c r="G603" s="3710"/>
      <c r="H603" s="3710"/>
      <c r="I603" s="3710"/>
      <c r="J603" s="3710"/>
      <c r="K603" s="3711"/>
      <c r="L603" s="3712"/>
      <c r="M603" s="3710"/>
      <c r="N603" s="3710"/>
      <c r="O603" s="3710"/>
      <c r="P603" s="3752"/>
      <c r="Q603" s="3710"/>
      <c r="R603" s="3710"/>
      <c r="S603" s="3710"/>
      <c r="T603" s="3710"/>
      <c r="U603" s="3710"/>
      <c r="V603" s="3710"/>
      <c r="W603" s="3710"/>
      <c r="X603" s="3710"/>
      <c r="Y603" s="3710"/>
      <c r="Z603" s="3710"/>
      <c r="AA603" s="3710"/>
      <c r="AB603" s="3710"/>
      <c r="AC603" s="3710"/>
    </row>
    <row r="604" spans="1:29">
      <c r="A604" s="3710"/>
      <c r="B604" s="3710"/>
      <c r="C604" s="3710"/>
      <c r="D604" s="3710"/>
      <c r="E604" s="3710"/>
      <c r="F604" s="3710"/>
      <c r="G604" s="3710"/>
      <c r="H604" s="3710"/>
      <c r="I604" s="3710"/>
      <c r="J604" s="3710"/>
      <c r="K604" s="3711"/>
      <c r="L604" s="3712"/>
      <c r="M604" s="3710"/>
      <c r="N604" s="3710"/>
      <c r="O604" s="3710"/>
      <c r="P604" s="3752"/>
      <c r="Q604" s="3710"/>
      <c r="R604" s="3710"/>
      <c r="S604" s="3710"/>
      <c r="T604" s="3710"/>
      <c r="U604" s="3710"/>
      <c r="V604" s="3710"/>
      <c r="W604" s="3710"/>
      <c r="X604" s="3710"/>
      <c r="Y604" s="3710"/>
      <c r="Z604" s="3710"/>
      <c r="AA604" s="3710"/>
      <c r="AB604" s="3710"/>
      <c r="AC604" s="3710"/>
    </row>
    <row r="605" spans="1:29">
      <c r="A605" s="3710"/>
      <c r="B605" s="3710"/>
      <c r="C605" s="3710"/>
      <c r="D605" s="3710"/>
      <c r="E605" s="3710"/>
      <c r="F605" s="3710"/>
      <c r="G605" s="3710"/>
      <c r="H605" s="3710"/>
      <c r="I605" s="3710"/>
      <c r="J605" s="3710"/>
      <c r="K605" s="3711"/>
      <c r="L605" s="3712"/>
      <c r="M605" s="3710"/>
      <c r="N605" s="3710"/>
      <c r="O605" s="3710"/>
      <c r="P605" s="3752"/>
      <c r="Q605" s="3710"/>
      <c r="R605" s="3710"/>
      <c r="S605" s="3710"/>
      <c r="T605" s="3710"/>
      <c r="U605" s="3710"/>
      <c r="V605" s="3710"/>
      <c r="W605" s="3710"/>
      <c r="X605" s="3710"/>
      <c r="Y605" s="3710"/>
      <c r="Z605" s="3710"/>
      <c r="AA605" s="3710"/>
      <c r="AB605" s="3710"/>
      <c r="AC605" s="3710"/>
    </row>
    <row r="606" spans="1:29">
      <c r="A606" s="3710"/>
      <c r="B606" s="3710"/>
      <c r="C606" s="3710"/>
      <c r="D606" s="3710"/>
      <c r="E606" s="3710"/>
      <c r="F606" s="3710"/>
      <c r="G606" s="3710"/>
      <c r="H606" s="3710"/>
      <c r="I606" s="3710"/>
      <c r="J606" s="3710"/>
      <c r="K606" s="3711"/>
      <c r="L606" s="3712"/>
      <c r="M606" s="3710"/>
      <c r="N606" s="3710"/>
      <c r="O606" s="3710"/>
      <c r="P606" s="3752"/>
      <c r="Q606" s="3710"/>
      <c r="R606" s="3710"/>
      <c r="S606" s="3710"/>
      <c r="T606" s="3710"/>
      <c r="U606" s="3710"/>
      <c r="V606" s="3710"/>
      <c r="W606" s="3710"/>
      <c r="X606" s="3710"/>
      <c r="Y606" s="3710"/>
      <c r="Z606" s="3710"/>
      <c r="AA606" s="3710"/>
      <c r="AB606" s="3710"/>
      <c r="AC606" s="3710"/>
    </row>
    <row r="607" spans="1:29">
      <c r="A607" s="3710"/>
      <c r="B607" s="3710"/>
      <c r="C607" s="3710"/>
      <c r="D607" s="3710"/>
      <c r="E607" s="3710"/>
      <c r="F607" s="3710"/>
      <c r="G607" s="3710"/>
      <c r="H607" s="3710"/>
      <c r="I607" s="3710"/>
      <c r="J607" s="3710"/>
      <c r="K607" s="3711"/>
      <c r="L607" s="3712"/>
      <c r="M607" s="3710"/>
      <c r="N607" s="3710"/>
      <c r="O607" s="3710"/>
      <c r="P607" s="3752"/>
      <c r="Q607" s="3710"/>
      <c r="R607" s="3710"/>
      <c r="S607" s="3710"/>
      <c r="T607" s="3710"/>
      <c r="U607" s="3710"/>
      <c r="V607" s="3710"/>
      <c r="W607" s="3710"/>
      <c r="X607" s="3710"/>
      <c r="Y607" s="3710"/>
      <c r="Z607" s="3710"/>
      <c r="AA607" s="3710"/>
      <c r="AB607" s="3710"/>
      <c r="AC607" s="3710"/>
    </row>
    <row r="608" spans="1:29">
      <c r="A608" s="3710"/>
      <c r="B608" s="3710"/>
      <c r="C608" s="3710"/>
      <c r="D608" s="3710"/>
      <c r="E608" s="3710"/>
      <c r="F608" s="3710"/>
      <c r="G608" s="3710"/>
      <c r="H608" s="3710"/>
      <c r="I608" s="3710"/>
      <c r="J608" s="3710"/>
      <c r="K608" s="3711"/>
      <c r="L608" s="3712"/>
      <c r="M608" s="3710"/>
      <c r="N608" s="3710"/>
      <c r="O608" s="3710"/>
      <c r="P608" s="3752"/>
      <c r="Q608" s="3710"/>
      <c r="R608" s="3710"/>
      <c r="S608" s="3710"/>
      <c r="T608" s="3710"/>
      <c r="U608" s="3710"/>
      <c r="V608" s="3710"/>
      <c r="W608" s="3710"/>
      <c r="X608" s="3710"/>
      <c r="Y608" s="3710"/>
      <c r="Z608" s="3710"/>
      <c r="AA608" s="3710"/>
      <c r="AB608" s="3710"/>
      <c r="AC608" s="3710"/>
    </row>
    <row r="609" spans="1:29">
      <c r="A609" s="3710"/>
      <c r="B609" s="3710"/>
      <c r="C609" s="3710"/>
      <c r="D609" s="3710"/>
      <c r="E609" s="3710"/>
      <c r="F609" s="3710"/>
      <c r="G609" s="3710"/>
      <c r="H609" s="3710"/>
      <c r="I609" s="3710"/>
      <c r="J609" s="3710"/>
      <c r="K609" s="3711"/>
      <c r="L609" s="3712"/>
      <c r="M609" s="3710"/>
      <c r="N609" s="3710"/>
      <c r="O609" s="3710"/>
      <c r="P609" s="3752"/>
      <c r="Q609" s="3710"/>
      <c r="R609" s="3710"/>
      <c r="S609" s="3710"/>
      <c r="T609" s="3710"/>
      <c r="U609" s="3710"/>
      <c r="V609" s="3710"/>
      <c r="W609" s="3710"/>
      <c r="X609" s="3710"/>
      <c r="Y609" s="3710"/>
      <c r="Z609" s="3710"/>
      <c r="AA609" s="3710"/>
      <c r="AB609" s="3710"/>
      <c r="AC609" s="3710"/>
    </row>
    <row r="610" spans="1:29">
      <c r="A610" s="3710"/>
      <c r="B610" s="3710"/>
      <c r="C610" s="3710"/>
      <c r="D610" s="3710"/>
      <c r="E610" s="3710"/>
      <c r="F610" s="3710"/>
      <c r="G610" s="3710"/>
      <c r="H610" s="3710"/>
      <c r="I610" s="3710"/>
      <c r="J610" s="3710"/>
      <c r="K610" s="3711"/>
      <c r="L610" s="3712"/>
      <c r="M610" s="3710"/>
      <c r="N610" s="3710"/>
      <c r="O610" s="3710"/>
      <c r="P610" s="3752"/>
      <c r="Q610" s="3710"/>
      <c r="R610" s="3710"/>
      <c r="S610" s="3710"/>
      <c r="T610" s="3710"/>
      <c r="U610" s="3710"/>
      <c r="V610" s="3710"/>
      <c r="W610" s="3710"/>
      <c r="X610" s="3710"/>
      <c r="Y610" s="3710"/>
      <c r="Z610" s="3710"/>
      <c r="AA610" s="3710"/>
      <c r="AB610" s="3710"/>
      <c r="AC610" s="3710"/>
    </row>
    <row r="611" spans="1:29">
      <c r="A611" s="3710"/>
      <c r="B611" s="3710"/>
      <c r="C611" s="3710"/>
      <c r="D611" s="3710"/>
      <c r="E611" s="3710"/>
      <c r="F611" s="3710"/>
      <c r="G611" s="3710"/>
      <c r="H611" s="3710"/>
      <c r="I611" s="3710"/>
      <c r="J611" s="3710"/>
      <c r="K611" s="3711"/>
      <c r="L611" s="3712"/>
      <c r="M611" s="3710"/>
      <c r="N611" s="3710"/>
      <c r="O611" s="3710"/>
      <c r="P611" s="3752"/>
      <c r="Q611" s="3710"/>
      <c r="R611" s="3710"/>
      <c r="S611" s="3710"/>
      <c r="T611" s="3710"/>
      <c r="U611" s="3710"/>
      <c r="V611" s="3710"/>
      <c r="W611" s="3710"/>
      <c r="X611" s="3710"/>
      <c r="Y611" s="3710"/>
      <c r="Z611" s="3710"/>
      <c r="AA611" s="3710"/>
      <c r="AB611" s="3710"/>
      <c r="AC611" s="3710"/>
    </row>
    <row r="612" spans="1:29">
      <c r="A612" s="3710"/>
      <c r="B612" s="3710"/>
      <c r="C612" s="3710"/>
      <c r="D612" s="3710"/>
      <c r="E612" s="3710"/>
      <c r="F612" s="3710"/>
      <c r="G612" s="3710"/>
      <c r="H612" s="3710"/>
      <c r="I612" s="3710"/>
      <c r="J612" s="3710"/>
      <c r="K612" s="3711"/>
      <c r="L612" s="3712"/>
      <c r="M612" s="3710"/>
      <c r="N612" s="3710"/>
      <c r="O612" s="3710"/>
      <c r="P612" s="3752"/>
      <c r="Q612" s="3710"/>
      <c r="R612" s="3710"/>
      <c r="S612" s="3710"/>
      <c r="T612" s="3710"/>
      <c r="U612" s="3710"/>
      <c r="V612" s="3710"/>
      <c r="W612" s="3710"/>
      <c r="X612" s="3710"/>
      <c r="Y612" s="3710"/>
      <c r="Z612" s="3710"/>
      <c r="AA612" s="3710"/>
      <c r="AB612" s="3710"/>
      <c r="AC612" s="3710"/>
    </row>
    <row r="613" spans="1:29">
      <c r="A613" s="3710"/>
      <c r="B613" s="3710"/>
      <c r="C613" s="3710"/>
      <c r="D613" s="3710"/>
      <c r="E613" s="3710"/>
      <c r="F613" s="3710"/>
      <c r="G613" s="3710"/>
      <c r="H613" s="3710"/>
      <c r="I613" s="3710"/>
      <c r="J613" s="3710"/>
      <c r="K613" s="3711"/>
      <c r="L613" s="3712"/>
      <c r="M613" s="3710"/>
      <c r="N613" s="3710"/>
      <c r="O613" s="3710"/>
      <c r="P613" s="3752"/>
      <c r="Q613" s="3710"/>
      <c r="R613" s="3710"/>
      <c r="S613" s="3710"/>
      <c r="T613" s="3710"/>
      <c r="U613" s="3710"/>
      <c r="V613" s="3710"/>
      <c r="W613" s="3710"/>
      <c r="X613" s="3710"/>
      <c r="Y613" s="3710"/>
      <c r="Z613" s="3710"/>
      <c r="AA613" s="3710"/>
      <c r="AB613" s="3710"/>
      <c r="AC613" s="3710"/>
    </row>
    <row r="614" spans="1:29">
      <c r="A614" s="3710"/>
      <c r="B614" s="3710"/>
      <c r="C614" s="3710"/>
      <c r="D614" s="3710"/>
      <c r="E614" s="3710"/>
      <c r="F614" s="3710"/>
      <c r="G614" s="3710"/>
      <c r="H614" s="3710"/>
      <c r="I614" s="3710"/>
      <c r="J614" s="3710"/>
      <c r="K614" s="3711"/>
      <c r="L614" s="3712"/>
      <c r="M614" s="3710"/>
      <c r="N614" s="3710"/>
      <c r="O614" s="3710"/>
      <c r="P614" s="3752"/>
      <c r="Q614" s="3710"/>
      <c r="R614" s="3710"/>
      <c r="S614" s="3710"/>
      <c r="T614" s="3710"/>
      <c r="U614" s="3710"/>
      <c r="V614" s="3710"/>
      <c r="W614" s="3710"/>
      <c r="X614" s="3710"/>
      <c r="Y614" s="3710"/>
      <c r="Z614" s="3710"/>
      <c r="AA614" s="3710"/>
      <c r="AB614" s="3710"/>
      <c r="AC614" s="3710"/>
    </row>
    <row r="615" spans="1:29">
      <c r="A615" s="3710"/>
      <c r="B615" s="3710"/>
      <c r="C615" s="3710"/>
      <c r="D615" s="3710"/>
      <c r="E615" s="3710"/>
      <c r="F615" s="3710"/>
      <c r="G615" s="3710"/>
      <c r="H615" s="3710"/>
      <c r="I615" s="3710"/>
      <c r="J615" s="3710"/>
      <c r="K615" s="3711"/>
      <c r="L615" s="3712"/>
      <c r="M615" s="3710"/>
      <c r="N615" s="3710"/>
      <c r="O615" s="3710"/>
      <c r="P615" s="3752"/>
      <c r="Q615" s="3710"/>
      <c r="R615" s="3710"/>
      <c r="S615" s="3710"/>
      <c r="T615" s="3710"/>
      <c r="U615" s="3710"/>
      <c r="V615" s="3710"/>
      <c r="W615" s="3710"/>
      <c r="X615" s="3710"/>
      <c r="Y615" s="3710"/>
      <c r="Z615" s="3710"/>
      <c r="AA615" s="3710"/>
      <c r="AB615" s="3710"/>
      <c r="AC615" s="3710"/>
    </row>
    <row r="616" spans="1:29">
      <c r="A616" s="3710"/>
      <c r="B616" s="3710"/>
      <c r="C616" s="3710"/>
      <c r="D616" s="3710"/>
      <c r="E616" s="3710"/>
      <c r="F616" s="3710"/>
      <c r="G616" s="3710"/>
      <c r="H616" s="3710"/>
      <c r="I616" s="3710"/>
      <c r="J616" s="3710"/>
      <c r="K616" s="3711"/>
      <c r="L616" s="3712"/>
      <c r="M616" s="3710"/>
      <c r="N616" s="3710"/>
      <c r="O616" s="3710"/>
      <c r="P616" s="3752"/>
      <c r="Q616" s="3710"/>
      <c r="R616" s="3710"/>
      <c r="S616" s="3710"/>
      <c r="T616" s="3710"/>
      <c r="U616" s="3710"/>
      <c r="V616" s="3710"/>
      <c r="W616" s="3710"/>
      <c r="X616" s="3710"/>
      <c r="Y616" s="3710"/>
      <c r="Z616" s="3710"/>
      <c r="AA616" s="3710"/>
      <c r="AB616" s="3710"/>
      <c r="AC616" s="3710"/>
    </row>
    <row r="617" spans="1:29">
      <c r="A617" s="3710"/>
      <c r="B617" s="3710"/>
      <c r="C617" s="3710"/>
      <c r="D617" s="3710"/>
      <c r="E617" s="3710"/>
      <c r="F617" s="3710"/>
      <c r="G617" s="3710"/>
      <c r="H617" s="3710"/>
      <c r="I617" s="3710"/>
      <c r="J617" s="3710"/>
      <c r="K617" s="3711"/>
      <c r="L617" s="3712"/>
      <c r="M617" s="3710"/>
      <c r="N617" s="3710"/>
      <c r="O617" s="3710"/>
      <c r="P617" s="3752"/>
      <c r="Q617" s="3710"/>
      <c r="R617" s="3710"/>
      <c r="S617" s="3710"/>
      <c r="T617" s="3710"/>
      <c r="U617" s="3710"/>
      <c r="V617" s="3710"/>
      <c r="W617" s="3710"/>
      <c r="X617" s="3710"/>
      <c r="Y617" s="3710"/>
      <c r="Z617" s="3710"/>
      <c r="AA617" s="3710"/>
      <c r="AB617" s="3710"/>
      <c r="AC617" s="3710"/>
    </row>
    <row r="618" spans="1:29">
      <c r="A618" s="3710"/>
      <c r="B618" s="3710"/>
      <c r="C618" s="3710"/>
      <c r="D618" s="3710"/>
      <c r="E618" s="3710"/>
      <c r="F618" s="3710"/>
      <c r="G618" s="3710"/>
      <c r="H618" s="3710"/>
      <c r="I618" s="3710"/>
      <c r="J618" s="3710"/>
      <c r="K618" s="3711"/>
      <c r="L618" s="3712"/>
      <c r="M618" s="3710"/>
      <c r="N618" s="3710"/>
      <c r="O618" s="3710"/>
      <c r="P618" s="3752"/>
      <c r="Q618" s="3710"/>
      <c r="R618" s="3710"/>
      <c r="S618" s="3710"/>
      <c r="T618" s="3710"/>
      <c r="U618" s="3710"/>
      <c r="V618" s="3710"/>
      <c r="W618" s="3710"/>
      <c r="X618" s="3710"/>
      <c r="Y618" s="3710"/>
      <c r="Z618" s="3710"/>
      <c r="AA618" s="3710"/>
      <c r="AB618" s="3710"/>
      <c r="AC618" s="3710"/>
    </row>
    <row r="619" spans="1:29">
      <c r="A619" s="3710"/>
      <c r="B619" s="3710"/>
      <c r="C619" s="3710"/>
      <c r="D619" s="3710"/>
      <c r="E619" s="3710"/>
      <c r="F619" s="3710"/>
      <c r="G619" s="3710"/>
      <c r="H619" s="3710"/>
      <c r="I619" s="3710"/>
      <c r="J619" s="3710"/>
      <c r="K619" s="3711"/>
      <c r="L619" s="3712"/>
      <c r="M619" s="3710"/>
      <c r="N619" s="3710"/>
      <c r="O619" s="3710"/>
      <c r="P619" s="3752"/>
      <c r="Q619" s="3710"/>
      <c r="R619" s="3710"/>
      <c r="S619" s="3710"/>
      <c r="T619" s="3710"/>
      <c r="U619" s="3710"/>
      <c r="V619" s="3710"/>
      <c r="W619" s="3710"/>
      <c r="X619" s="3710"/>
      <c r="Y619" s="3710"/>
      <c r="Z619" s="3710"/>
      <c r="AA619" s="3710"/>
      <c r="AB619" s="3710"/>
      <c r="AC619" s="3710"/>
    </row>
    <row r="620" spans="1:29">
      <c r="A620" s="3710"/>
      <c r="B620" s="3710"/>
      <c r="C620" s="3710"/>
      <c r="D620" s="3710"/>
      <c r="E620" s="3710"/>
      <c r="F620" s="3710"/>
      <c r="G620" s="3710"/>
      <c r="H620" s="3710"/>
      <c r="I620" s="3710"/>
      <c r="J620" s="3710"/>
      <c r="K620" s="3711"/>
      <c r="L620" s="3712"/>
      <c r="M620" s="3710"/>
      <c r="N620" s="3710"/>
      <c r="O620" s="3710"/>
      <c r="P620" s="3752"/>
      <c r="Q620" s="3710"/>
      <c r="R620" s="3710"/>
      <c r="S620" s="3710"/>
      <c r="T620" s="3710"/>
      <c r="U620" s="3710"/>
      <c r="V620" s="3710"/>
      <c r="W620" s="3710"/>
      <c r="X620" s="3710"/>
      <c r="Y620" s="3710"/>
      <c r="Z620" s="3710"/>
      <c r="AA620" s="3710"/>
      <c r="AB620" s="3710"/>
      <c r="AC620" s="3710"/>
    </row>
    <row r="621" spans="1:29">
      <c r="A621" s="3710"/>
      <c r="B621" s="3710"/>
      <c r="C621" s="3710"/>
      <c r="D621" s="3710"/>
      <c r="E621" s="3710"/>
      <c r="F621" s="3710"/>
      <c r="G621" s="3710"/>
      <c r="H621" s="3710"/>
      <c r="I621" s="3710"/>
      <c r="J621" s="3710"/>
      <c r="K621" s="3711"/>
      <c r="L621" s="3712"/>
      <c r="M621" s="3710"/>
      <c r="N621" s="3710"/>
      <c r="O621" s="3710"/>
      <c r="P621" s="3752"/>
      <c r="Q621" s="3710"/>
      <c r="R621" s="3710"/>
      <c r="S621" s="3710"/>
      <c r="T621" s="3710"/>
      <c r="U621" s="3710"/>
      <c r="V621" s="3710"/>
      <c r="W621" s="3710"/>
      <c r="X621" s="3710"/>
      <c r="Y621" s="3710"/>
      <c r="Z621" s="3710"/>
      <c r="AA621" s="3710"/>
      <c r="AB621" s="3710"/>
      <c r="AC621" s="3710"/>
    </row>
    <row r="622" spans="1:29">
      <c r="A622" s="3710"/>
      <c r="B622" s="3710"/>
      <c r="C622" s="3710"/>
      <c r="D622" s="3710"/>
      <c r="E622" s="3710"/>
      <c r="F622" s="3710"/>
      <c r="G622" s="3710"/>
      <c r="H622" s="3710"/>
      <c r="I622" s="3710"/>
      <c r="J622" s="3710"/>
      <c r="K622" s="3711"/>
      <c r="L622" s="3712"/>
      <c r="M622" s="3710"/>
      <c r="N622" s="3710"/>
      <c r="O622" s="3710"/>
      <c r="P622" s="3752"/>
      <c r="Q622" s="3710"/>
      <c r="R622" s="3710"/>
      <c r="S622" s="3710"/>
      <c r="T622" s="3710"/>
      <c r="U622" s="3710"/>
      <c r="V622" s="3710"/>
      <c r="W622" s="3710"/>
      <c r="X622" s="3710"/>
      <c r="Y622" s="3710"/>
      <c r="Z622" s="3710"/>
      <c r="AA622" s="3710"/>
      <c r="AB622" s="3710"/>
      <c r="AC622" s="3710"/>
    </row>
    <row r="623" spans="1:29">
      <c r="A623" s="3710"/>
      <c r="B623" s="3710"/>
      <c r="C623" s="3710"/>
      <c r="D623" s="3710"/>
      <c r="E623" s="3710"/>
      <c r="F623" s="3710"/>
      <c r="G623" s="3710"/>
      <c r="H623" s="3710"/>
      <c r="I623" s="3710"/>
      <c r="J623" s="3710"/>
      <c r="K623" s="3711"/>
      <c r="L623" s="3712"/>
      <c r="M623" s="3710"/>
      <c r="N623" s="3710"/>
      <c r="O623" s="3710"/>
      <c r="P623" s="3752"/>
      <c r="Q623" s="3710"/>
      <c r="R623" s="3710"/>
      <c r="S623" s="3710"/>
      <c r="T623" s="3710"/>
      <c r="U623" s="3710"/>
      <c r="V623" s="3710"/>
      <c r="W623" s="3710"/>
      <c r="X623" s="3710"/>
      <c r="Y623" s="3710"/>
      <c r="Z623" s="3710"/>
      <c r="AA623" s="3710"/>
      <c r="AB623" s="3710"/>
      <c r="AC623" s="3710"/>
    </row>
    <row r="624" spans="1:29">
      <c r="A624" s="3710"/>
      <c r="B624" s="3710"/>
      <c r="C624" s="3710"/>
      <c r="D624" s="3710"/>
      <c r="E624" s="3710"/>
      <c r="F624" s="3710"/>
      <c r="G624" s="3710"/>
      <c r="H624" s="3710"/>
      <c r="I624" s="3710"/>
      <c r="J624" s="3710"/>
      <c r="K624" s="3711"/>
      <c r="L624" s="3712"/>
      <c r="M624" s="3710"/>
      <c r="N624" s="3710"/>
      <c r="O624" s="3710"/>
      <c r="P624" s="3752"/>
      <c r="Q624" s="3710"/>
      <c r="R624" s="3710"/>
      <c r="S624" s="3710"/>
      <c r="T624" s="3710"/>
      <c r="U624" s="3710"/>
      <c r="V624" s="3710"/>
      <c r="W624" s="3710"/>
      <c r="X624" s="3710"/>
      <c r="Y624" s="3710"/>
      <c r="Z624" s="3710"/>
      <c r="AA624" s="3710"/>
      <c r="AB624" s="3710"/>
      <c r="AC624" s="3710"/>
    </row>
    <row r="625" spans="1:29">
      <c r="A625" s="3710"/>
      <c r="B625" s="3710"/>
      <c r="C625" s="3710"/>
      <c r="D625" s="3710"/>
      <c r="E625" s="3710"/>
      <c r="F625" s="3710"/>
      <c r="G625" s="3710"/>
      <c r="H625" s="3710"/>
      <c r="I625" s="3710"/>
      <c r="J625" s="3710"/>
      <c r="K625" s="3711"/>
      <c r="L625" s="3712"/>
      <c r="M625" s="3710"/>
      <c r="N625" s="3710"/>
      <c r="O625" s="3710"/>
      <c r="P625" s="3752"/>
      <c r="Q625" s="3710"/>
      <c r="R625" s="3710"/>
      <c r="S625" s="3710"/>
      <c r="T625" s="3710"/>
      <c r="U625" s="3710"/>
      <c r="V625" s="3710"/>
      <c r="W625" s="3710"/>
      <c r="X625" s="3710"/>
      <c r="Y625" s="3710"/>
      <c r="Z625" s="3710"/>
      <c r="AA625" s="3710"/>
      <c r="AB625" s="3710"/>
      <c r="AC625" s="3710"/>
    </row>
    <row r="626" spans="1:29">
      <c r="A626" s="3710"/>
      <c r="B626" s="3710"/>
      <c r="C626" s="3710"/>
      <c r="D626" s="3710"/>
      <c r="E626" s="3710"/>
      <c r="F626" s="3710"/>
      <c r="G626" s="3710"/>
      <c r="H626" s="3710"/>
      <c r="I626" s="3710"/>
      <c r="J626" s="3710"/>
      <c r="K626" s="3711"/>
      <c r="L626" s="3712"/>
      <c r="M626" s="3710"/>
      <c r="N626" s="3710"/>
      <c r="O626" s="3710"/>
      <c r="P626" s="3752"/>
      <c r="Q626" s="3710"/>
      <c r="R626" s="3710"/>
      <c r="S626" s="3710"/>
      <c r="T626" s="3710"/>
      <c r="U626" s="3710"/>
      <c r="V626" s="3710"/>
      <c r="W626" s="3710"/>
      <c r="X626" s="3710"/>
      <c r="Y626" s="3710"/>
      <c r="Z626" s="3710"/>
      <c r="AA626" s="3710"/>
      <c r="AB626" s="3710"/>
      <c r="AC626" s="3710"/>
    </row>
    <row r="627" spans="1:29">
      <c r="A627" s="3710"/>
      <c r="B627" s="3710"/>
      <c r="C627" s="3710"/>
      <c r="D627" s="3710"/>
      <c r="E627" s="3710"/>
      <c r="F627" s="3710"/>
      <c r="G627" s="3710"/>
      <c r="H627" s="3710"/>
      <c r="I627" s="3710"/>
      <c r="J627" s="3710"/>
      <c r="K627" s="3711"/>
      <c r="L627" s="3712"/>
      <c r="M627" s="3710"/>
      <c r="N627" s="3710"/>
      <c r="O627" s="3710"/>
      <c r="P627" s="3752"/>
      <c r="Q627" s="3710"/>
      <c r="R627" s="3710"/>
      <c r="S627" s="3710"/>
      <c r="T627" s="3710"/>
      <c r="U627" s="3710"/>
      <c r="V627" s="3710"/>
      <c r="W627" s="3710"/>
      <c r="X627" s="3710"/>
      <c r="Y627" s="3710"/>
      <c r="Z627" s="3710"/>
      <c r="AA627" s="3710"/>
      <c r="AB627" s="3710"/>
      <c r="AC627" s="3710"/>
    </row>
    <row r="628" spans="1:29">
      <c r="A628" s="3710"/>
      <c r="B628" s="3710"/>
      <c r="C628" s="3710"/>
      <c r="D628" s="3710"/>
      <c r="E628" s="3710"/>
      <c r="F628" s="3710"/>
      <c r="G628" s="3710"/>
      <c r="H628" s="3710"/>
      <c r="I628" s="3710"/>
      <c r="J628" s="3710"/>
      <c r="K628" s="3711"/>
      <c r="L628" s="3712"/>
      <c r="M628" s="3710"/>
      <c r="N628" s="3710"/>
      <c r="O628" s="3710"/>
      <c r="P628" s="3752"/>
      <c r="Q628" s="3710"/>
      <c r="R628" s="3710"/>
      <c r="S628" s="3710"/>
      <c r="T628" s="3710"/>
      <c r="U628" s="3710"/>
      <c r="V628" s="3710"/>
      <c r="W628" s="3710"/>
      <c r="X628" s="3710"/>
      <c r="Y628" s="3710"/>
      <c r="Z628" s="3710"/>
      <c r="AA628" s="3710"/>
      <c r="AB628" s="3710"/>
      <c r="AC628" s="3710"/>
    </row>
    <row r="629" spans="1:29">
      <c r="A629" s="3710"/>
      <c r="B629" s="3710"/>
      <c r="C629" s="3710"/>
      <c r="D629" s="3710"/>
      <c r="E629" s="3710"/>
      <c r="F629" s="3710"/>
      <c r="G629" s="3710"/>
      <c r="H629" s="3710"/>
      <c r="I629" s="3710"/>
      <c r="J629" s="3710"/>
      <c r="K629" s="3711"/>
      <c r="L629" s="3712"/>
      <c r="M629" s="3710"/>
      <c r="N629" s="3710"/>
      <c r="O629" s="3710"/>
      <c r="P629" s="3752"/>
      <c r="Q629" s="3710"/>
      <c r="R629" s="3710"/>
      <c r="S629" s="3710"/>
      <c r="T629" s="3710"/>
      <c r="U629" s="3710"/>
      <c r="V629" s="3710"/>
      <c r="W629" s="3710"/>
      <c r="X629" s="3710"/>
      <c r="Y629" s="3710"/>
      <c r="Z629" s="3710"/>
      <c r="AA629" s="3710"/>
      <c r="AB629" s="3710"/>
      <c r="AC629" s="3710"/>
    </row>
    <row r="630" spans="1:29">
      <c r="A630" s="3710"/>
      <c r="B630" s="3710"/>
      <c r="C630" s="3710"/>
      <c r="D630" s="3710"/>
      <c r="E630" s="3710"/>
      <c r="F630" s="3710"/>
      <c r="G630" s="3710"/>
      <c r="H630" s="3710"/>
      <c r="I630" s="3710"/>
      <c r="J630" s="3710"/>
      <c r="K630" s="3711"/>
      <c r="L630" s="3712"/>
      <c r="M630" s="3710"/>
      <c r="N630" s="3710"/>
      <c r="O630" s="3710"/>
      <c r="P630" s="3752"/>
      <c r="Q630" s="3710"/>
      <c r="R630" s="3710"/>
      <c r="S630" s="3710"/>
      <c r="T630" s="3710"/>
      <c r="U630" s="3710"/>
      <c r="V630" s="3710"/>
      <c r="W630" s="3710"/>
      <c r="X630" s="3710"/>
      <c r="Y630" s="3710"/>
      <c r="Z630" s="3710"/>
      <c r="AA630" s="3710"/>
      <c r="AB630" s="3710"/>
      <c r="AC630" s="3710"/>
    </row>
    <row r="631" spans="1:29">
      <c r="A631" s="3710"/>
      <c r="B631" s="3710"/>
      <c r="C631" s="3710"/>
      <c r="D631" s="3710"/>
      <c r="E631" s="3710"/>
      <c r="F631" s="3710"/>
      <c r="G631" s="3710"/>
      <c r="H631" s="3710"/>
      <c r="I631" s="3710"/>
      <c r="J631" s="3710"/>
      <c r="K631" s="3711"/>
      <c r="L631" s="3712"/>
      <c r="M631" s="3710"/>
      <c r="N631" s="3710"/>
      <c r="O631" s="3710"/>
      <c r="P631" s="3752"/>
      <c r="Q631" s="3710"/>
      <c r="R631" s="3710"/>
      <c r="S631" s="3710"/>
      <c r="T631" s="3710"/>
      <c r="U631" s="3710"/>
      <c r="V631" s="3710"/>
      <c r="W631" s="3710"/>
      <c r="X631" s="3710"/>
      <c r="Y631" s="3710"/>
      <c r="Z631" s="3710"/>
      <c r="AA631" s="3710"/>
      <c r="AB631" s="3710"/>
      <c r="AC631" s="3710"/>
    </row>
    <row r="632" spans="1:29">
      <c r="A632" s="3710"/>
      <c r="B632" s="3710"/>
      <c r="C632" s="3710"/>
      <c r="D632" s="3710"/>
      <c r="E632" s="3710"/>
      <c r="F632" s="3710"/>
      <c r="G632" s="3710"/>
      <c r="H632" s="3710"/>
      <c r="I632" s="3710"/>
      <c r="J632" s="3710"/>
      <c r="K632" s="3711"/>
      <c r="L632" s="3712"/>
      <c r="M632" s="3710"/>
      <c r="N632" s="3710"/>
      <c r="O632" s="3710"/>
      <c r="P632" s="3752"/>
      <c r="Q632" s="3710"/>
      <c r="R632" s="3710"/>
      <c r="S632" s="3710"/>
      <c r="T632" s="3710"/>
      <c r="U632" s="3710"/>
      <c r="V632" s="3710"/>
      <c r="W632" s="3710"/>
      <c r="X632" s="3710"/>
      <c r="Y632" s="3710"/>
      <c r="Z632" s="3710"/>
      <c r="AA632" s="3710"/>
      <c r="AB632" s="3710"/>
      <c r="AC632" s="3710"/>
    </row>
    <row r="633" spans="1:29">
      <c r="A633" s="3710"/>
      <c r="B633" s="3710"/>
      <c r="C633" s="3710"/>
      <c r="D633" s="3710"/>
      <c r="E633" s="3710"/>
      <c r="F633" s="3710"/>
      <c r="G633" s="3710"/>
      <c r="H633" s="3710"/>
      <c r="I633" s="3710"/>
      <c r="J633" s="3710"/>
      <c r="K633" s="3711"/>
      <c r="L633" s="3712"/>
      <c r="M633" s="3710"/>
      <c r="N633" s="3710"/>
      <c r="O633" s="3710"/>
      <c r="P633" s="3752"/>
      <c r="Q633" s="3710"/>
      <c r="R633" s="3710"/>
      <c r="S633" s="3710"/>
      <c r="T633" s="3710"/>
      <c r="U633" s="3710"/>
      <c r="V633" s="3710"/>
      <c r="W633" s="3710"/>
      <c r="X633" s="3710"/>
      <c r="Y633" s="3710"/>
      <c r="Z633" s="3710"/>
      <c r="AA633" s="3710"/>
      <c r="AB633" s="3710"/>
      <c r="AC633" s="3710"/>
    </row>
    <row r="634" spans="1:29">
      <c r="A634" s="3710"/>
      <c r="B634" s="3710"/>
      <c r="C634" s="3710"/>
      <c r="D634" s="3710"/>
      <c r="E634" s="3710"/>
      <c r="F634" s="3710"/>
      <c r="G634" s="3710"/>
      <c r="H634" s="3710"/>
      <c r="I634" s="3710"/>
      <c r="J634" s="3710"/>
      <c r="K634" s="3711"/>
      <c r="L634" s="3712"/>
      <c r="M634" s="3710"/>
      <c r="N634" s="3710"/>
      <c r="O634" s="3710"/>
      <c r="P634" s="3752"/>
      <c r="Q634" s="3710"/>
      <c r="R634" s="3710"/>
      <c r="S634" s="3710"/>
      <c r="T634" s="3710"/>
      <c r="U634" s="3710"/>
      <c r="V634" s="3710"/>
      <c r="W634" s="3710"/>
      <c r="X634" s="3710"/>
      <c r="Y634" s="3710"/>
      <c r="Z634" s="3710"/>
      <c r="AA634" s="3710"/>
      <c r="AB634" s="3710"/>
      <c r="AC634" s="3710"/>
    </row>
    <row r="635" spans="1:29">
      <c r="A635" s="3710"/>
      <c r="B635" s="3710"/>
      <c r="C635" s="3710"/>
      <c r="D635" s="3710"/>
      <c r="E635" s="3710"/>
      <c r="F635" s="3710"/>
      <c r="G635" s="3710"/>
      <c r="H635" s="3710"/>
      <c r="I635" s="3710"/>
      <c r="J635" s="3710"/>
      <c r="K635" s="3711"/>
      <c r="L635" s="3712"/>
      <c r="M635" s="3710"/>
      <c r="N635" s="3710"/>
      <c r="O635" s="3710"/>
      <c r="P635" s="3752"/>
      <c r="Q635" s="3710"/>
      <c r="R635" s="3710"/>
      <c r="S635" s="3710"/>
      <c r="T635" s="3710"/>
      <c r="U635" s="3710"/>
      <c r="V635" s="3710"/>
      <c r="W635" s="3710"/>
      <c r="X635" s="3710"/>
      <c r="Y635" s="3710"/>
      <c r="Z635" s="3710"/>
      <c r="AA635" s="3710"/>
      <c r="AB635" s="3710"/>
      <c r="AC635" s="3710"/>
    </row>
    <row r="636" spans="1:29">
      <c r="A636" s="3710"/>
      <c r="B636" s="3710"/>
      <c r="C636" s="3710"/>
      <c r="D636" s="3710"/>
      <c r="E636" s="3710"/>
      <c r="F636" s="3710"/>
      <c r="G636" s="3710"/>
      <c r="H636" s="3710"/>
      <c r="I636" s="3710"/>
      <c r="J636" s="3710"/>
      <c r="K636" s="3711"/>
      <c r="L636" s="3712"/>
      <c r="M636" s="3710"/>
      <c r="N636" s="3710"/>
      <c r="O636" s="3710"/>
      <c r="P636" s="3752"/>
      <c r="Q636" s="3710"/>
      <c r="R636" s="3710"/>
      <c r="S636" s="3710"/>
      <c r="T636" s="3710"/>
      <c r="U636" s="3710"/>
      <c r="V636" s="3710"/>
      <c r="W636" s="3710"/>
      <c r="X636" s="3710"/>
      <c r="Y636" s="3710"/>
      <c r="Z636" s="3710"/>
      <c r="AA636" s="3710"/>
      <c r="AB636" s="3710"/>
      <c r="AC636" s="3710"/>
    </row>
    <row r="637" spans="1:29">
      <c r="A637" s="3710"/>
      <c r="B637" s="3710"/>
      <c r="C637" s="3710"/>
      <c r="D637" s="3710"/>
      <c r="E637" s="3710"/>
      <c r="F637" s="3710"/>
      <c r="G637" s="3710"/>
      <c r="H637" s="3710"/>
      <c r="I637" s="3710"/>
      <c r="J637" s="3710"/>
      <c r="K637" s="3711"/>
      <c r="L637" s="3712"/>
      <c r="M637" s="3710"/>
      <c r="N637" s="3710"/>
      <c r="O637" s="3710"/>
      <c r="P637" s="3752"/>
      <c r="Q637" s="3710"/>
      <c r="R637" s="3710"/>
      <c r="S637" s="3710"/>
      <c r="T637" s="3710"/>
      <c r="U637" s="3710"/>
      <c r="V637" s="3710"/>
      <c r="W637" s="3710"/>
      <c r="X637" s="3710"/>
      <c r="Y637" s="3710"/>
      <c r="Z637" s="3710"/>
      <c r="AA637" s="3710"/>
      <c r="AB637" s="3710"/>
      <c r="AC637" s="3710"/>
    </row>
    <row r="638" spans="1:29">
      <c r="A638" s="3710"/>
      <c r="B638" s="3710"/>
      <c r="C638" s="3710"/>
      <c r="D638" s="3710"/>
      <c r="E638" s="3710"/>
      <c r="F638" s="3710"/>
      <c r="G638" s="3710"/>
      <c r="H638" s="3710"/>
      <c r="I638" s="3710"/>
      <c r="J638" s="3710"/>
      <c r="K638" s="3711"/>
      <c r="L638" s="3712"/>
      <c r="M638" s="3710"/>
      <c r="N638" s="3710"/>
      <c r="O638" s="3710"/>
      <c r="P638" s="3752"/>
      <c r="Q638" s="3710"/>
      <c r="R638" s="3710"/>
      <c r="S638" s="3710"/>
      <c r="T638" s="3710"/>
      <c r="U638" s="3710"/>
      <c r="V638" s="3710"/>
      <c r="W638" s="3710"/>
      <c r="X638" s="3710"/>
      <c r="Y638" s="3710"/>
      <c r="Z638" s="3710"/>
      <c r="AA638" s="3710"/>
      <c r="AB638" s="3710"/>
      <c r="AC638" s="3710"/>
    </row>
    <row r="639" spans="1:29">
      <c r="A639" s="3710"/>
      <c r="B639" s="3710"/>
      <c r="C639" s="3710"/>
      <c r="D639" s="3710"/>
      <c r="E639" s="3710"/>
      <c r="F639" s="3710"/>
      <c r="G639" s="3710"/>
      <c r="H639" s="3710"/>
      <c r="I639" s="3710"/>
      <c r="J639" s="3710"/>
      <c r="K639" s="3711"/>
      <c r="L639" s="3712"/>
      <c r="M639" s="3710"/>
      <c r="N639" s="3710"/>
      <c r="O639" s="3710"/>
      <c r="P639" s="3752"/>
      <c r="Q639" s="3710"/>
      <c r="R639" s="3710"/>
      <c r="S639" s="3710"/>
      <c r="T639" s="3710"/>
      <c r="U639" s="3710"/>
      <c r="V639" s="3710"/>
      <c r="W639" s="3710"/>
      <c r="X639" s="3710"/>
      <c r="Y639" s="3710"/>
      <c r="Z639" s="3710"/>
      <c r="AA639" s="3710"/>
      <c r="AB639" s="3710"/>
      <c r="AC639" s="3710"/>
    </row>
    <row r="640" spans="1:29">
      <c r="A640" s="3710"/>
      <c r="B640" s="3710"/>
      <c r="C640" s="3710"/>
      <c r="D640" s="3710"/>
      <c r="E640" s="3710"/>
      <c r="F640" s="3710"/>
      <c r="G640" s="3710"/>
      <c r="H640" s="3710"/>
      <c r="I640" s="3710"/>
      <c r="J640" s="3710"/>
      <c r="K640" s="3711"/>
      <c r="L640" s="3712"/>
      <c r="M640" s="3710"/>
      <c r="N640" s="3710"/>
      <c r="O640" s="3710"/>
      <c r="P640" s="3752"/>
      <c r="Q640" s="3710"/>
      <c r="R640" s="3710"/>
      <c r="S640" s="3710"/>
      <c r="T640" s="3710"/>
      <c r="U640" s="3710"/>
      <c r="V640" s="3710"/>
      <c r="W640" s="3710"/>
      <c r="X640" s="3710"/>
      <c r="Y640" s="3710"/>
      <c r="Z640" s="3710"/>
      <c r="AA640" s="3710"/>
      <c r="AB640" s="3710"/>
      <c r="AC640" s="3710"/>
    </row>
    <row r="641" spans="1:29">
      <c r="A641" s="3710"/>
      <c r="B641" s="3710"/>
      <c r="C641" s="3710"/>
      <c r="D641" s="3710"/>
      <c r="E641" s="3710"/>
      <c r="F641" s="3710"/>
      <c r="G641" s="3710"/>
      <c r="H641" s="3710"/>
      <c r="I641" s="3710"/>
      <c r="J641" s="3710"/>
      <c r="K641" s="3711"/>
      <c r="L641" s="3712"/>
      <c r="M641" s="3710"/>
      <c r="N641" s="3710"/>
      <c r="O641" s="3710"/>
      <c r="P641" s="3752"/>
      <c r="Q641" s="3710"/>
      <c r="R641" s="3710"/>
      <c r="S641" s="3710"/>
      <c r="T641" s="3710"/>
      <c r="U641" s="3710"/>
      <c r="V641" s="3710"/>
      <c r="W641" s="3710"/>
      <c r="X641" s="3710"/>
      <c r="Y641" s="3710"/>
      <c r="Z641" s="3710"/>
      <c r="AA641" s="3710"/>
      <c r="AB641" s="3710"/>
      <c r="AC641" s="3710"/>
    </row>
    <row r="642" spans="1:29">
      <c r="A642" s="3710"/>
      <c r="B642" s="3710"/>
      <c r="C642" s="3710"/>
      <c r="D642" s="3710"/>
      <c r="E642" s="3710"/>
      <c r="F642" s="3710"/>
      <c r="G642" s="3710"/>
      <c r="H642" s="3710"/>
      <c r="I642" s="3710"/>
      <c r="J642" s="3710"/>
      <c r="K642" s="3711"/>
      <c r="L642" s="3712"/>
      <c r="M642" s="3710"/>
      <c r="N642" s="3710"/>
      <c r="O642" s="3710"/>
      <c r="P642" s="3752"/>
      <c r="Q642" s="3710"/>
      <c r="R642" s="3710"/>
      <c r="S642" s="3710"/>
      <c r="T642" s="3710"/>
      <c r="U642" s="3710"/>
      <c r="V642" s="3710"/>
      <c r="W642" s="3710"/>
      <c r="X642" s="3710"/>
      <c r="Y642" s="3710"/>
      <c r="Z642" s="3710"/>
      <c r="AA642" s="3710"/>
      <c r="AB642" s="3710"/>
      <c r="AC642" s="3710"/>
    </row>
    <row r="643" spans="1:29">
      <c r="A643" s="3710"/>
      <c r="B643" s="3710"/>
      <c r="C643" s="3710"/>
      <c r="D643" s="3710"/>
      <c r="E643" s="3710"/>
      <c r="F643" s="3710"/>
      <c r="G643" s="3710"/>
      <c r="H643" s="3710"/>
      <c r="I643" s="3710"/>
      <c r="J643" s="3710"/>
      <c r="K643" s="3711"/>
      <c r="L643" s="3712"/>
      <c r="M643" s="3710"/>
      <c r="N643" s="3710"/>
      <c r="O643" s="3710"/>
      <c r="P643" s="3752"/>
      <c r="Q643" s="3710"/>
      <c r="R643" s="3710"/>
      <c r="S643" s="3710"/>
      <c r="T643" s="3710"/>
      <c r="U643" s="3710"/>
      <c r="V643" s="3710"/>
      <c r="W643" s="3710"/>
      <c r="X643" s="3710"/>
      <c r="Y643" s="3710"/>
      <c r="Z643" s="3710"/>
      <c r="AA643" s="3710"/>
      <c r="AB643" s="3710"/>
      <c r="AC643" s="3710"/>
    </row>
    <row r="644" spans="1:29">
      <c r="A644" s="3710"/>
      <c r="B644" s="3710"/>
      <c r="C644" s="3710"/>
      <c r="D644" s="3710"/>
      <c r="E644" s="3710"/>
      <c r="F644" s="3710"/>
      <c r="G644" s="3710"/>
      <c r="H644" s="3710"/>
      <c r="I644" s="3710"/>
      <c r="J644" s="3710"/>
      <c r="K644" s="3711"/>
      <c r="L644" s="3712"/>
      <c r="M644" s="3710"/>
      <c r="N644" s="3710"/>
      <c r="O644" s="3710"/>
      <c r="P644" s="3752"/>
      <c r="Q644" s="3710"/>
      <c r="R644" s="3710"/>
      <c r="S644" s="3710"/>
      <c r="T644" s="3710"/>
      <c r="U644" s="3710"/>
      <c r="V644" s="3710"/>
      <c r="W644" s="3710"/>
      <c r="X644" s="3710"/>
      <c r="Y644" s="3710"/>
      <c r="Z644" s="3710"/>
      <c r="AA644" s="3710"/>
      <c r="AB644" s="3710"/>
      <c r="AC644" s="3710"/>
    </row>
    <row r="645" spans="1:29">
      <c r="A645" s="3710"/>
      <c r="B645" s="3710"/>
      <c r="C645" s="3710"/>
      <c r="D645" s="3710"/>
      <c r="E645" s="3710"/>
      <c r="F645" s="3710"/>
      <c r="G645" s="3710"/>
      <c r="H645" s="3710"/>
      <c r="I645" s="3710"/>
      <c r="J645" s="3710"/>
      <c r="K645" s="3711"/>
      <c r="L645" s="3712"/>
      <c r="M645" s="3710"/>
      <c r="N645" s="3710"/>
      <c r="O645" s="3710"/>
      <c r="P645" s="3752"/>
      <c r="Q645" s="3710"/>
      <c r="R645" s="3710"/>
      <c r="S645" s="3710"/>
      <c r="T645" s="3710"/>
      <c r="U645" s="3710"/>
      <c r="V645" s="3710"/>
      <c r="W645" s="3710"/>
      <c r="X645" s="3710"/>
      <c r="Y645" s="3710"/>
      <c r="Z645" s="3710"/>
      <c r="AA645" s="3710"/>
      <c r="AB645" s="3710"/>
      <c r="AC645" s="3710"/>
    </row>
    <row r="646" spans="1:29">
      <c r="A646" s="3710"/>
      <c r="B646" s="3710"/>
      <c r="C646" s="3710"/>
      <c r="D646" s="3710"/>
      <c r="E646" s="3710"/>
      <c r="F646" s="3710"/>
      <c r="G646" s="3710"/>
      <c r="H646" s="3710"/>
      <c r="I646" s="3710"/>
      <c r="J646" s="3710"/>
      <c r="K646" s="3711"/>
      <c r="L646" s="3712"/>
      <c r="M646" s="3710"/>
      <c r="N646" s="3710"/>
      <c r="O646" s="3710"/>
      <c r="P646" s="3752"/>
      <c r="Q646" s="3710"/>
      <c r="R646" s="3710"/>
      <c r="S646" s="3710"/>
      <c r="T646" s="3710"/>
      <c r="U646" s="3710"/>
      <c r="V646" s="3710"/>
      <c r="W646" s="3710"/>
      <c r="X646" s="3710"/>
      <c r="Y646" s="3710"/>
      <c r="Z646" s="3710"/>
      <c r="AA646" s="3710"/>
      <c r="AB646" s="3710"/>
      <c r="AC646" s="3710"/>
    </row>
    <row r="647" spans="1:29">
      <c r="A647" s="3710"/>
      <c r="B647" s="3710"/>
      <c r="C647" s="3710"/>
      <c r="D647" s="3710"/>
      <c r="E647" s="3710"/>
      <c r="F647" s="3710"/>
      <c r="G647" s="3710"/>
      <c r="H647" s="3710"/>
      <c r="I647" s="3710"/>
      <c r="J647" s="3710"/>
      <c r="K647" s="3711"/>
      <c r="L647" s="3712"/>
      <c r="M647" s="3710"/>
      <c r="N647" s="3710"/>
      <c r="O647" s="3710"/>
      <c r="P647" s="3752"/>
      <c r="Q647" s="3710"/>
      <c r="R647" s="3710"/>
      <c r="S647" s="3710"/>
      <c r="T647" s="3710"/>
      <c r="U647" s="3710"/>
      <c r="V647" s="3710"/>
      <c r="W647" s="3710"/>
      <c r="X647" s="3710"/>
      <c r="Y647" s="3710"/>
      <c r="Z647" s="3710"/>
      <c r="AA647" s="3710"/>
      <c r="AB647" s="3710"/>
      <c r="AC647" s="3710"/>
    </row>
    <row r="648" spans="1:29">
      <c r="A648" s="3710"/>
      <c r="B648" s="3710"/>
      <c r="C648" s="3710"/>
      <c r="D648" s="3710"/>
      <c r="E648" s="3710"/>
      <c r="F648" s="3710"/>
      <c r="G648" s="3710"/>
      <c r="H648" s="3710"/>
      <c r="I648" s="3710"/>
      <c r="J648" s="3710"/>
      <c r="K648" s="3711"/>
      <c r="L648" s="3712"/>
      <c r="M648" s="3710"/>
      <c r="N648" s="3710"/>
      <c r="O648" s="3710"/>
      <c r="P648" s="3752"/>
      <c r="Q648" s="3710"/>
      <c r="R648" s="3710"/>
      <c r="S648" s="3710"/>
      <c r="T648" s="3710"/>
      <c r="U648" s="3710"/>
      <c r="V648" s="3710"/>
      <c r="W648" s="3710"/>
      <c r="X648" s="3710"/>
      <c r="Y648" s="3710"/>
      <c r="Z648" s="3710"/>
      <c r="AA648" s="3710"/>
      <c r="AB648" s="3710"/>
      <c r="AC648" s="3710"/>
    </row>
    <row r="649" spans="1:29">
      <c r="A649" s="3710"/>
      <c r="B649" s="3710"/>
      <c r="C649" s="3710"/>
      <c r="D649" s="3710"/>
      <c r="E649" s="3710"/>
      <c r="F649" s="3710"/>
      <c r="G649" s="3710"/>
      <c r="H649" s="3710"/>
      <c r="I649" s="3710"/>
      <c r="J649" s="3710"/>
      <c r="K649" s="3711"/>
      <c r="L649" s="3712"/>
      <c r="M649" s="3710"/>
      <c r="N649" s="3710"/>
      <c r="O649" s="3710"/>
      <c r="P649" s="3752"/>
      <c r="Q649" s="3710"/>
      <c r="R649" s="3710"/>
      <c r="S649" s="3710"/>
      <c r="T649" s="3710"/>
      <c r="U649" s="3710"/>
      <c r="V649" s="3710"/>
      <c r="W649" s="3710"/>
      <c r="X649" s="3710"/>
      <c r="Y649" s="3710"/>
      <c r="Z649" s="3710"/>
      <c r="AA649" s="3710"/>
      <c r="AB649" s="3710"/>
      <c r="AC649" s="3710"/>
    </row>
    <row r="650" spans="1:29">
      <c r="A650" s="3710"/>
      <c r="B650" s="3710"/>
      <c r="C650" s="3710"/>
      <c r="D650" s="3710"/>
      <c r="E650" s="3710"/>
      <c r="F650" s="3710"/>
      <c r="G650" s="3710"/>
      <c r="H650" s="3710"/>
      <c r="I650" s="3710"/>
      <c r="J650" s="3710"/>
      <c r="K650" s="3711"/>
      <c r="L650" s="3712"/>
      <c r="M650" s="3710"/>
      <c r="N650" s="3710"/>
      <c r="O650" s="3710"/>
      <c r="P650" s="3752"/>
      <c r="Q650" s="3710"/>
      <c r="R650" s="3710"/>
      <c r="S650" s="3710"/>
      <c r="T650" s="3710"/>
      <c r="U650" s="3710"/>
      <c r="V650" s="3710"/>
      <c r="W650" s="3710"/>
      <c r="X650" s="3710"/>
      <c r="Y650" s="3710"/>
      <c r="Z650" s="3710"/>
      <c r="AA650" s="3710"/>
      <c r="AB650" s="3710"/>
      <c r="AC650" s="3710"/>
    </row>
    <row r="651" spans="1:29">
      <c r="A651" s="3710"/>
      <c r="B651" s="3710"/>
      <c r="C651" s="3710"/>
      <c r="D651" s="3710"/>
      <c r="E651" s="3710"/>
      <c r="F651" s="3710"/>
      <c r="G651" s="3710"/>
      <c r="H651" s="3710"/>
      <c r="I651" s="3710"/>
      <c r="J651" s="3710"/>
      <c r="K651" s="3711"/>
      <c r="L651" s="3712"/>
      <c r="M651" s="3710"/>
      <c r="N651" s="3710"/>
      <c r="O651" s="3710"/>
      <c r="P651" s="3752"/>
      <c r="Q651" s="3710"/>
      <c r="R651" s="3710"/>
      <c r="S651" s="3710"/>
      <c r="T651" s="3710"/>
      <c r="U651" s="3710"/>
      <c r="V651" s="3710"/>
      <c r="W651" s="3710"/>
      <c r="X651" s="3710"/>
      <c r="Y651" s="3710"/>
      <c r="Z651" s="3710"/>
      <c r="AA651" s="3710"/>
      <c r="AB651" s="3710"/>
      <c r="AC651" s="3710"/>
    </row>
    <row r="652" spans="1:29">
      <c r="A652" s="3710"/>
      <c r="B652" s="3710"/>
      <c r="C652" s="3710"/>
      <c r="D652" s="3710"/>
      <c r="E652" s="3710"/>
      <c r="F652" s="3710"/>
      <c r="G652" s="3710"/>
      <c r="H652" s="3710"/>
      <c r="I652" s="3710"/>
      <c r="J652" s="3710"/>
      <c r="K652" s="3711"/>
      <c r="L652" s="3712"/>
      <c r="M652" s="3710"/>
      <c r="N652" s="3710"/>
      <c r="O652" s="3710"/>
      <c r="P652" s="3752"/>
      <c r="Q652" s="3710"/>
      <c r="R652" s="3710"/>
      <c r="S652" s="3710"/>
      <c r="T652" s="3710"/>
      <c r="U652" s="3710"/>
      <c r="V652" s="3710"/>
      <c r="W652" s="3710"/>
      <c r="X652" s="3710"/>
      <c r="Y652" s="3710"/>
      <c r="Z652" s="3710"/>
      <c r="AA652" s="3710"/>
      <c r="AB652" s="3710"/>
      <c r="AC652" s="3710"/>
    </row>
    <row r="653" spans="1:29">
      <c r="A653" s="3710"/>
      <c r="B653" s="3710"/>
      <c r="C653" s="3710"/>
      <c r="D653" s="3710"/>
      <c r="E653" s="3710"/>
      <c r="F653" s="3710"/>
      <c r="G653" s="3710"/>
      <c r="H653" s="3710"/>
      <c r="I653" s="3710"/>
      <c r="J653" s="3710"/>
      <c r="K653" s="3711"/>
      <c r="L653" s="3712"/>
      <c r="M653" s="3710"/>
      <c r="N653" s="3710"/>
      <c r="O653" s="3710"/>
      <c r="P653" s="3752"/>
      <c r="Q653" s="3710"/>
      <c r="R653" s="3710"/>
      <c r="S653" s="3710"/>
      <c r="T653" s="3710"/>
      <c r="U653" s="3710"/>
      <c r="V653" s="3710"/>
      <c r="W653" s="3710"/>
      <c r="X653" s="3710"/>
      <c r="Y653" s="3710"/>
      <c r="Z653" s="3710"/>
      <c r="AA653" s="3710"/>
      <c r="AB653" s="3710"/>
      <c r="AC653" s="3710"/>
    </row>
    <row r="654" spans="1:29">
      <c r="A654" s="3710"/>
      <c r="B654" s="3710"/>
      <c r="C654" s="3710"/>
      <c r="D654" s="3710"/>
      <c r="E654" s="3710"/>
      <c r="F654" s="3710"/>
      <c r="G654" s="3710"/>
      <c r="H654" s="3710"/>
      <c r="I654" s="3710"/>
      <c r="J654" s="3710"/>
      <c r="K654" s="3711"/>
      <c r="L654" s="3712"/>
      <c r="M654" s="3710"/>
      <c r="N654" s="3710"/>
      <c r="O654" s="3710"/>
      <c r="P654" s="3752"/>
      <c r="Q654" s="3710"/>
      <c r="R654" s="3710"/>
      <c r="S654" s="3710"/>
      <c r="T654" s="3710"/>
      <c r="U654" s="3710"/>
      <c r="V654" s="3710"/>
      <c r="W654" s="3710"/>
      <c r="X654" s="3710"/>
      <c r="Y654" s="3710"/>
      <c r="Z654" s="3710"/>
      <c r="AA654" s="3710"/>
      <c r="AB654" s="3710"/>
      <c r="AC654" s="3710"/>
    </row>
    <row r="655" spans="1:29">
      <c r="A655" s="3710"/>
      <c r="B655" s="3710"/>
      <c r="C655" s="3710"/>
      <c r="D655" s="3710"/>
      <c r="E655" s="3710"/>
      <c r="F655" s="3710"/>
      <c r="G655" s="3710"/>
      <c r="H655" s="3710"/>
      <c r="I655" s="3710"/>
      <c r="J655" s="3710"/>
      <c r="K655" s="3711"/>
      <c r="L655" s="3712"/>
      <c r="M655" s="3710"/>
      <c r="N655" s="3710"/>
      <c r="O655" s="3710"/>
      <c r="P655" s="3752"/>
      <c r="Q655" s="3710"/>
      <c r="R655" s="3710"/>
      <c r="S655" s="3710"/>
      <c r="T655" s="3710"/>
      <c r="U655" s="3710"/>
      <c r="V655" s="3710"/>
      <c r="W655" s="3710"/>
      <c r="X655" s="3710"/>
      <c r="Y655" s="3710"/>
      <c r="Z655" s="3710"/>
      <c r="AA655" s="3710"/>
      <c r="AB655" s="3710"/>
      <c r="AC655" s="3710"/>
    </row>
    <row r="656" spans="1:29">
      <c r="A656" s="3710"/>
      <c r="B656" s="3710"/>
      <c r="C656" s="3710"/>
      <c r="D656" s="3710"/>
      <c r="E656" s="3710"/>
      <c r="F656" s="3710"/>
      <c r="G656" s="3710"/>
      <c r="H656" s="3710"/>
      <c r="I656" s="3710"/>
      <c r="J656" s="3710"/>
      <c r="K656" s="3711"/>
      <c r="L656" s="3712"/>
      <c r="M656" s="3710"/>
      <c r="N656" s="3710"/>
      <c r="O656" s="3710"/>
      <c r="P656" s="3752"/>
      <c r="Q656" s="3710"/>
      <c r="R656" s="3710"/>
      <c r="S656" s="3710"/>
      <c r="T656" s="3710"/>
      <c r="U656" s="3710"/>
      <c r="V656" s="3710"/>
      <c r="W656" s="3710"/>
      <c r="X656" s="3710"/>
      <c r="Y656" s="3710"/>
      <c r="Z656" s="3710"/>
      <c r="AA656" s="3710"/>
      <c r="AB656" s="3710"/>
      <c r="AC656" s="3710"/>
    </row>
    <row r="657" spans="1:29">
      <c r="A657" s="3710"/>
      <c r="B657" s="3710"/>
      <c r="C657" s="3710"/>
      <c r="D657" s="3710"/>
      <c r="E657" s="3710"/>
      <c r="F657" s="3710"/>
      <c r="G657" s="3710"/>
      <c r="H657" s="3710"/>
      <c r="I657" s="3710"/>
      <c r="J657" s="3710"/>
      <c r="K657" s="3711"/>
      <c r="L657" s="3712"/>
      <c r="M657" s="3710"/>
      <c r="N657" s="3710"/>
      <c r="O657" s="3710"/>
      <c r="P657" s="3752"/>
      <c r="Q657" s="3710"/>
      <c r="R657" s="3710"/>
      <c r="S657" s="3710"/>
      <c r="T657" s="3710"/>
      <c r="U657" s="3710"/>
      <c r="V657" s="3710"/>
      <c r="W657" s="3710"/>
      <c r="X657" s="3710"/>
      <c r="Y657" s="3710"/>
      <c r="Z657" s="3710"/>
      <c r="AA657" s="3710"/>
      <c r="AB657" s="3710"/>
      <c r="AC657" s="3710"/>
    </row>
    <row r="658" spans="1:29">
      <c r="A658" s="3710"/>
      <c r="B658" s="3710"/>
      <c r="C658" s="3710"/>
      <c r="D658" s="3710"/>
      <c r="E658" s="3710"/>
      <c r="F658" s="3710"/>
      <c r="G658" s="3710"/>
      <c r="H658" s="3710"/>
      <c r="I658" s="3710"/>
      <c r="J658" s="3710"/>
      <c r="K658" s="3711"/>
      <c r="L658" s="3712"/>
      <c r="M658" s="3710"/>
      <c r="N658" s="3710"/>
      <c r="O658" s="3710"/>
      <c r="P658" s="3752"/>
      <c r="Q658" s="3710"/>
      <c r="R658" s="3710"/>
      <c r="S658" s="3710"/>
      <c r="T658" s="3710"/>
      <c r="U658" s="3710"/>
      <c r="V658" s="3710"/>
      <c r="W658" s="3710"/>
      <c r="X658" s="3710"/>
      <c r="Y658" s="3710"/>
      <c r="Z658" s="3710"/>
      <c r="AA658" s="3710"/>
      <c r="AB658" s="3710"/>
      <c r="AC658" s="3710"/>
    </row>
    <row r="659" spans="1:29">
      <c r="A659" s="3710"/>
      <c r="B659" s="3710"/>
      <c r="C659" s="3710"/>
      <c r="D659" s="3710"/>
      <c r="E659" s="3710"/>
      <c r="F659" s="3710"/>
      <c r="G659" s="3710"/>
      <c r="H659" s="3710"/>
      <c r="I659" s="3710"/>
      <c r="J659" s="3710"/>
      <c r="K659" s="3711"/>
      <c r="L659" s="3712"/>
      <c r="M659" s="3710"/>
      <c r="N659" s="3710"/>
      <c r="O659" s="3710"/>
      <c r="P659" s="3752"/>
      <c r="Q659" s="3710"/>
      <c r="R659" s="3710"/>
      <c r="S659" s="3710"/>
      <c r="T659" s="3710"/>
      <c r="U659" s="3710"/>
      <c r="V659" s="3710"/>
      <c r="W659" s="3710"/>
      <c r="X659" s="3710"/>
      <c r="Y659" s="3710"/>
      <c r="Z659" s="3710"/>
      <c r="AA659" s="3710"/>
      <c r="AB659" s="3710"/>
      <c r="AC659" s="3710"/>
    </row>
    <row r="660" spans="1:29">
      <c r="A660" s="3710"/>
      <c r="B660" s="3710"/>
      <c r="C660" s="3710"/>
      <c r="D660" s="3710"/>
      <c r="E660" s="3710"/>
      <c r="F660" s="3710"/>
      <c r="G660" s="3710"/>
      <c r="H660" s="3710"/>
      <c r="I660" s="3710"/>
      <c r="J660" s="3710"/>
      <c r="K660" s="3711"/>
      <c r="L660" s="3712"/>
      <c r="M660" s="3710"/>
      <c r="N660" s="3710"/>
      <c r="O660" s="3710"/>
      <c r="P660" s="3752"/>
      <c r="Q660" s="3710"/>
      <c r="R660" s="3710"/>
      <c r="S660" s="3710"/>
      <c r="T660" s="3710"/>
      <c r="U660" s="3710"/>
      <c r="V660" s="3710"/>
      <c r="W660" s="3710"/>
      <c r="X660" s="3710"/>
      <c r="Y660" s="3710"/>
      <c r="Z660" s="3710"/>
      <c r="AA660" s="3710"/>
      <c r="AB660" s="3710"/>
      <c r="AC660" s="3710"/>
    </row>
    <row r="661" spans="1:29">
      <c r="A661" s="3710"/>
      <c r="B661" s="3710"/>
      <c r="C661" s="3710"/>
      <c r="D661" s="3710"/>
      <c r="E661" s="3710"/>
      <c r="F661" s="3710"/>
      <c r="G661" s="3710"/>
      <c r="H661" s="3710"/>
      <c r="I661" s="3710"/>
      <c r="J661" s="3710"/>
      <c r="K661" s="3711"/>
      <c r="L661" s="3712"/>
      <c r="M661" s="3710"/>
      <c r="N661" s="3710"/>
      <c r="O661" s="3710"/>
      <c r="P661" s="3752"/>
      <c r="Q661" s="3710"/>
      <c r="R661" s="3710"/>
      <c r="S661" s="3710"/>
      <c r="T661" s="3710"/>
      <c r="U661" s="3710"/>
      <c r="V661" s="3710"/>
      <c r="W661" s="3710"/>
      <c r="X661" s="3710"/>
      <c r="Y661" s="3710"/>
      <c r="Z661" s="3710"/>
      <c r="AA661" s="3710"/>
      <c r="AB661" s="3710"/>
      <c r="AC661" s="3710"/>
    </row>
    <row r="662" spans="1:29">
      <c r="A662" s="3710"/>
      <c r="B662" s="3710"/>
      <c r="C662" s="3710"/>
      <c r="D662" s="3710"/>
      <c r="E662" s="3710"/>
      <c r="F662" s="3710"/>
      <c r="G662" s="3710"/>
      <c r="H662" s="3710"/>
      <c r="I662" s="3710"/>
      <c r="J662" s="3710"/>
      <c r="K662" s="3711"/>
      <c r="L662" s="3712"/>
      <c r="M662" s="3710"/>
      <c r="N662" s="3710"/>
      <c r="O662" s="3710"/>
      <c r="P662" s="3752"/>
      <c r="Q662" s="3710"/>
      <c r="R662" s="3710"/>
      <c r="S662" s="3710"/>
      <c r="T662" s="3710"/>
      <c r="U662" s="3710"/>
      <c r="V662" s="3710"/>
      <c r="W662" s="3710"/>
      <c r="X662" s="3710"/>
      <c r="Y662" s="3710"/>
      <c r="Z662" s="3710"/>
      <c r="AA662" s="3710"/>
      <c r="AB662" s="3710"/>
      <c r="AC662" s="3710"/>
    </row>
    <row r="663" spans="1:29">
      <c r="A663" s="3710"/>
      <c r="B663" s="3710"/>
      <c r="C663" s="3710"/>
      <c r="D663" s="3710"/>
      <c r="E663" s="3710"/>
      <c r="F663" s="3710"/>
      <c r="G663" s="3710"/>
      <c r="H663" s="3710"/>
      <c r="I663" s="3710"/>
      <c r="J663" s="3710"/>
      <c r="K663" s="3711"/>
      <c r="L663" s="3712"/>
      <c r="M663" s="3710"/>
      <c r="N663" s="3710"/>
      <c r="O663" s="3710"/>
      <c r="P663" s="3752"/>
      <c r="Q663" s="3710"/>
      <c r="R663" s="3710"/>
      <c r="S663" s="3710"/>
      <c r="T663" s="3710"/>
      <c r="U663" s="3710"/>
      <c r="V663" s="3710"/>
      <c r="W663" s="3710"/>
      <c r="X663" s="3710"/>
      <c r="Y663" s="3710"/>
      <c r="Z663" s="3710"/>
      <c r="AA663" s="3710"/>
      <c r="AB663" s="3710"/>
      <c r="AC663" s="3710"/>
    </row>
    <row r="664" spans="1:29">
      <c r="A664" s="3710"/>
      <c r="B664" s="3710"/>
      <c r="C664" s="3710"/>
      <c r="D664" s="3710"/>
      <c r="E664" s="3710"/>
      <c r="F664" s="3710"/>
      <c r="G664" s="3710"/>
      <c r="H664" s="3710"/>
      <c r="I664" s="3710"/>
      <c r="J664" s="3710"/>
      <c r="K664" s="3711"/>
      <c r="L664" s="3712"/>
      <c r="M664" s="3710"/>
      <c r="N664" s="3710"/>
      <c r="O664" s="3710"/>
      <c r="P664" s="3752"/>
      <c r="Q664" s="3710"/>
      <c r="R664" s="3710"/>
      <c r="S664" s="3710"/>
      <c r="T664" s="3710"/>
      <c r="U664" s="3710"/>
      <c r="V664" s="3710"/>
      <c r="W664" s="3710"/>
      <c r="X664" s="3710"/>
      <c r="Y664" s="3710"/>
      <c r="Z664" s="3710"/>
      <c r="AA664" s="3710"/>
      <c r="AB664" s="3710"/>
      <c r="AC664" s="3710"/>
    </row>
    <row r="665" spans="1:29">
      <c r="A665" s="3710"/>
      <c r="B665" s="3710"/>
      <c r="C665" s="3710"/>
      <c r="D665" s="3710"/>
      <c r="E665" s="3710"/>
      <c r="F665" s="3710"/>
      <c r="G665" s="3710"/>
      <c r="H665" s="3710"/>
      <c r="I665" s="3710"/>
      <c r="J665" s="3710"/>
      <c r="K665" s="3711"/>
      <c r="L665" s="3712"/>
      <c r="M665" s="3710"/>
      <c r="N665" s="3710"/>
      <c r="O665" s="3710"/>
      <c r="P665" s="3752"/>
      <c r="Q665" s="3710"/>
      <c r="R665" s="3710"/>
      <c r="S665" s="3710"/>
      <c r="T665" s="3710"/>
      <c r="U665" s="3710"/>
      <c r="V665" s="3710"/>
      <c r="W665" s="3710"/>
      <c r="X665" s="3710"/>
      <c r="Y665" s="3710"/>
      <c r="Z665" s="3710"/>
      <c r="AA665" s="3710"/>
      <c r="AB665" s="3710"/>
      <c r="AC665" s="3710"/>
    </row>
    <row r="666" spans="1:29">
      <c r="A666" s="3710"/>
      <c r="B666" s="3710"/>
      <c r="C666" s="3710"/>
      <c r="D666" s="3710"/>
      <c r="E666" s="3710"/>
      <c r="F666" s="3710"/>
      <c r="G666" s="3710"/>
      <c r="H666" s="3710"/>
      <c r="I666" s="3710"/>
      <c r="J666" s="3710"/>
      <c r="K666" s="3711"/>
      <c r="L666" s="3712"/>
      <c r="M666" s="3710"/>
      <c r="N666" s="3710"/>
      <c r="O666" s="3710"/>
      <c r="P666" s="3752"/>
      <c r="Q666" s="3710"/>
      <c r="R666" s="3710"/>
      <c r="S666" s="3710"/>
      <c r="T666" s="3710"/>
      <c r="U666" s="3710"/>
      <c r="V666" s="3710"/>
      <c r="W666" s="3710"/>
      <c r="X666" s="3710"/>
      <c r="Y666" s="3710"/>
      <c r="Z666" s="3710"/>
      <c r="AA666" s="3710"/>
      <c r="AB666" s="3710"/>
      <c r="AC666" s="3710"/>
    </row>
    <row r="667" spans="1:29">
      <c r="A667" s="3710"/>
      <c r="B667" s="3710"/>
      <c r="C667" s="3710"/>
      <c r="D667" s="3710"/>
      <c r="E667" s="3710"/>
      <c r="F667" s="3710"/>
      <c r="G667" s="3710"/>
      <c r="H667" s="3710"/>
      <c r="I667" s="3710"/>
      <c r="J667" s="3710"/>
      <c r="K667" s="3711"/>
      <c r="L667" s="3712"/>
      <c r="M667" s="3710"/>
      <c r="N667" s="3710"/>
      <c r="O667" s="3710"/>
      <c r="P667" s="3752"/>
      <c r="Q667" s="3710"/>
      <c r="R667" s="3710"/>
      <c r="S667" s="3710"/>
      <c r="T667" s="3710"/>
      <c r="U667" s="3710"/>
      <c r="V667" s="3710"/>
      <c r="W667" s="3710"/>
      <c r="X667" s="3710"/>
      <c r="Y667" s="3710"/>
      <c r="Z667" s="3710"/>
      <c r="AA667" s="3710"/>
      <c r="AB667" s="3710"/>
      <c r="AC667" s="3710"/>
    </row>
    <row r="668" spans="1:29">
      <c r="A668" s="3710"/>
      <c r="B668" s="3710"/>
      <c r="C668" s="3710"/>
      <c r="D668" s="3710"/>
      <c r="E668" s="3710"/>
      <c r="F668" s="3710"/>
      <c r="G668" s="3710"/>
      <c r="H668" s="3710"/>
      <c r="I668" s="3710"/>
      <c r="J668" s="3710"/>
      <c r="K668" s="3711"/>
      <c r="L668" s="3712"/>
      <c r="M668" s="3710"/>
      <c r="N668" s="3710"/>
      <c r="O668" s="3710"/>
      <c r="P668" s="3752"/>
      <c r="Q668" s="3710"/>
      <c r="R668" s="3710"/>
      <c r="S668" s="3710"/>
      <c r="T668" s="3710"/>
      <c r="U668" s="3710"/>
      <c r="V668" s="3710"/>
      <c r="W668" s="3710"/>
      <c r="X668" s="3710"/>
      <c r="Y668" s="3710"/>
      <c r="Z668" s="3710"/>
      <c r="AA668" s="3710"/>
      <c r="AB668" s="3710"/>
      <c r="AC668" s="3710"/>
    </row>
    <row r="669" spans="1:29">
      <c r="A669" s="3710"/>
      <c r="B669" s="3710"/>
      <c r="C669" s="3710"/>
      <c r="D669" s="3710"/>
      <c r="E669" s="3710"/>
      <c r="F669" s="3710"/>
      <c r="G669" s="3710"/>
      <c r="H669" s="3710"/>
      <c r="I669" s="3710"/>
      <c r="J669" s="3710"/>
      <c r="K669" s="3711"/>
      <c r="L669" s="3712"/>
      <c r="M669" s="3710"/>
      <c r="N669" s="3710"/>
      <c r="O669" s="3710"/>
      <c r="P669" s="3752"/>
      <c r="Q669" s="3710"/>
      <c r="R669" s="3710"/>
      <c r="S669" s="3710"/>
      <c r="T669" s="3710"/>
      <c r="U669" s="3710"/>
      <c r="V669" s="3710"/>
      <c r="W669" s="3710"/>
      <c r="X669" s="3710"/>
      <c r="Y669" s="3710"/>
      <c r="Z669" s="3710"/>
      <c r="AA669" s="3710"/>
      <c r="AB669" s="3710"/>
      <c r="AC669" s="3710"/>
    </row>
    <row r="670" spans="1:29">
      <c r="A670" s="3710"/>
      <c r="B670" s="3710"/>
      <c r="C670" s="3710"/>
      <c r="D670" s="3710"/>
      <c r="E670" s="3710"/>
      <c r="F670" s="3710"/>
      <c r="G670" s="3710"/>
      <c r="H670" s="3710"/>
      <c r="I670" s="3710"/>
      <c r="J670" s="3710"/>
      <c r="K670" s="3711"/>
      <c r="L670" s="3712"/>
      <c r="M670" s="3710"/>
      <c r="N670" s="3710"/>
      <c r="O670" s="3710"/>
      <c r="P670" s="3752"/>
      <c r="Q670" s="3710"/>
      <c r="R670" s="3710"/>
      <c r="S670" s="3710"/>
      <c r="T670" s="3710"/>
      <c r="U670" s="3710"/>
      <c r="V670" s="3710"/>
      <c r="W670" s="3710"/>
      <c r="X670" s="3710"/>
      <c r="Y670" s="3710"/>
      <c r="Z670" s="3710"/>
      <c r="AA670" s="3710"/>
      <c r="AB670" s="3710"/>
      <c r="AC670" s="3710"/>
    </row>
    <row r="671" spans="1:29">
      <c r="A671" s="3710"/>
      <c r="B671" s="3710"/>
      <c r="C671" s="3710"/>
      <c r="D671" s="3710"/>
      <c r="E671" s="3710"/>
      <c r="F671" s="3710"/>
      <c r="G671" s="3710"/>
      <c r="H671" s="3710"/>
      <c r="I671" s="3710"/>
      <c r="J671" s="3710"/>
      <c r="K671" s="3711"/>
      <c r="L671" s="3712"/>
      <c r="M671" s="3710"/>
      <c r="N671" s="3710"/>
      <c r="O671" s="3710"/>
      <c r="P671" s="3752"/>
      <c r="Q671" s="3710"/>
      <c r="R671" s="3710"/>
      <c r="S671" s="3710"/>
      <c r="T671" s="3710"/>
      <c r="U671" s="3710"/>
      <c r="V671" s="3710"/>
      <c r="W671" s="3710"/>
      <c r="X671" s="3710"/>
      <c r="Y671" s="3710"/>
      <c r="Z671" s="3710"/>
      <c r="AA671" s="3710"/>
      <c r="AB671" s="3710"/>
      <c r="AC671" s="3710"/>
    </row>
    <row r="672" spans="1:29">
      <c r="A672" s="3710"/>
      <c r="B672" s="3710"/>
      <c r="C672" s="3710"/>
      <c r="D672" s="3710"/>
      <c r="E672" s="3710"/>
      <c r="F672" s="3710"/>
      <c r="G672" s="3710"/>
      <c r="H672" s="3710"/>
      <c r="I672" s="3710"/>
      <c r="J672" s="3710"/>
      <c r="K672" s="3711"/>
      <c r="L672" s="3712"/>
      <c r="M672" s="3710"/>
      <c r="N672" s="3710"/>
      <c r="O672" s="3710"/>
      <c r="P672" s="3752"/>
      <c r="Q672" s="3710"/>
      <c r="R672" s="3710"/>
      <c r="S672" s="3710"/>
      <c r="T672" s="3710"/>
      <c r="U672" s="3710"/>
      <c r="V672" s="3710"/>
      <c r="W672" s="3710"/>
      <c r="X672" s="3710"/>
      <c r="Y672" s="3710"/>
      <c r="Z672" s="3710"/>
      <c r="AA672" s="3710"/>
      <c r="AB672" s="3710"/>
      <c r="AC672" s="3710"/>
    </row>
    <row r="673" spans="1:29">
      <c r="A673" s="3710"/>
      <c r="B673" s="3710"/>
      <c r="C673" s="3710"/>
      <c r="D673" s="3710"/>
      <c r="E673" s="3710"/>
      <c r="F673" s="3710"/>
      <c r="G673" s="3710"/>
      <c r="H673" s="3710"/>
      <c r="I673" s="3710"/>
      <c r="J673" s="3710"/>
      <c r="K673" s="3711"/>
      <c r="L673" s="3712"/>
      <c r="M673" s="3710"/>
      <c r="N673" s="3710"/>
      <c r="O673" s="3710"/>
      <c r="P673" s="3752"/>
      <c r="Q673" s="3710"/>
      <c r="R673" s="3710"/>
      <c r="S673" s="3710"/>
      <c r="T673" s="3710"/>
      <c r="U673" s="3710"/>
      <c r="V673" s="3710"/>
      <c r="W673" s="3710"/>
      <c r="X673" s="3710"/>
      <c r="Y673" s="3710"/>
      <c r="Z673" s="3710"/>
      <c r="AA673" s="3710"/>
      <c r="AB673" s="3710"/>
      <c r="AC673" s="3710"/>
    </row>
    <row r="674" spans="1:29">
      <c r="A674" s="3710"/>
      <c r="B674" s="3710"/>
      <c r="C674" s="3710"/>
      <c r="D674" s="3710"/>
      <c r="E674" s="3710"/>
      <c r="F674" s="3710"/>
      <c r="G674" s="3710"/>
      <c r="H674" s="3710"/>
      <c r="I674" s="3710"/>
      <c r="J674" s="3710"/>
      <c r="K674" s="3711"/>
      <c r="L674" s="3712"/>
      <c r="M674" s="3710"/>
      <c r="N674" s="3710"/>
      <c r="O674" s="3710"/>
      <c r="P674" s="3752"/>
      <c r="Q674" s="3710"/>
      <c r="R674" s="3710"/>
      <c r="S674" s="3710"/>
      <c r="T674" s="3710"/>
      <c r="U674" s="3710"/>
      <c r="V674" s="3710"/>
      <c r="W674" s="3710"/>
      <c r="X674" s="3710"/>
      <c r="Y674" s="3710"/>
      <c r="Z674" s="3710"/>
      <c r="AA674" s="3710"/>
      <c r="AB674" s="3710"/>
      <c r="AC674" s="3710"/>
    </row>
    <row r="675" spans="1:29">
      <c r="A675" s="3710"/>
      <c r="B675" s="3710"/>
      <c r="C675" s="3710"/>
      <c r="D675" s="3710"/>
      <c r="E675" s="3710"/>
      <c r="F675" s="3710"/>
      <c r="G675" s="3710"/>
      <c r="H675" s="3710"/>
      <c r="I675" s="3710"/>
      <c r="J675" s="3710"/>
      <c r="K675" s="3711"/>
      <c r="L675" s="3712"/>
      <c r="M675" s="3710"/>
      <c r="N675" s="3710"/>
      <c r="O675" s="3710"/>
      <c r="P675" s="3752"/>
      <c r="Q675" s="3710"/>
      <c r="R675" s="3710"/>
      <c r="S675" s="3710"/>
      <c r="T675" s="3710"/>
      <c r="U675" s="3710"/>
      <c r="V675" s="3710"/>
      <c r="W675" s="3710"/>
      <c r="X675" s="3710"/>
      <c r="Y675" s="3710"/>
      <c r="Z675" s="3710"/>
      <c r="AA675" s="3710"/>
      <c r="AB675" s="3710"/>
      <c r="AC675" s="3710"/>
    </row>
    <row r="676" spans="1:29">
      <c r="A676" s="3710"/>
      <c r="B676" s="3710"/>
      <c r="C676" s="3710"/>
      <c r="D676" s="3710"/>
      <c r="E676" s="3710"/>
      <c r="F676" s="3710"/>
      <c r="G676" s="3710"/>
      <c r="H676" s="3710"/>
      <c r="I676" s="3710"/>
      <c r="J676" s="3710"/>
      <c r="K676" s="3711"/>
      <c r="L676" s="3712"/>
      <c r="M676" s="3710"/>
      <c r="N676" s="3710"/>
      <c r="O676" s="3710"/>
      <c r="P676" s="3752"/>
      <c r="Q676" s="3710"/>
      <c r="R676" s="3710"/>
      <c r="S676" s="3710"/>
      <c r="T676" s="3710"/>
      <c r="U676" s="3710"/>
      <c r="V676" s="3710"/>
      <c r="W676" s="3710"/>
      <c r="X676" s="3710"/>
      <c r="Y676" s="3710"/>
      <c r="Z676" s="3710"/>
      <c r="AA676" s="3710"/>
      <c r="AB676" s="3710"/>
      <c r="AC676" s="3710"/>
    </row>
    <row r="677" spans="1:29">
      <c r="A677" s="3710"/>
      <c r="B677" s="3710"/>
      <c r="C677" s="3710"/>
      <c r="D677" s="3710"/>
      <c r="E677" s="3710"/>
      <c r="F677" s="3710"/>
      <c r="G677" s="3710"/>
      <c r="H677" s="3710"/>
      <c r="I677" s="3710"/>
      <c r="J677" s="3710"/>
      <c r="K677" s="3711"/>
      <c r="L677" s="3712"/>
      <c r="M677" s="3710"/>
      <c r="N677" s="3710"/>
      <c r="O677" s="3710"/>
      <c r="P677" s="3752"/>
      <c r="Q677" s="3710"/>
      <c r="R677" s="3710"/>
      <c r="S677" s="3710"/>
      <c r="T677" s="3710"/>
      <c r="U677" s="3710"/>
      <c r="V677" s="3710"/>
      <c r="W677" s="3710"/>
      <c r="X677" s="3710"/>
      <c r="Y677" s="3710"/>
      <c r="Z677" s="3710"/>
      <c r="AA677" s="3710"/>
      <c r="AB677" s="3710"/>
      <c r="AC677" s="3710"/>
    </row>
    <row r="678" spans="1:29">
      <c r="A678" s="3710"/>
      <c r="B678" s="3710"/>
      <c r="C678" s="3710"/>
      <c r="D678" s="3710"/>
      <c r="E678" s="3710"/>
      <c r="F678" s="3710"/>
      <c r="G678" s="3710"/>
      <c r="H678" s="3710"/>
      <c r="I678" s="3710"/>
      <c r="J678" s="3710"/>
      <c r="K678" s="3711"/>
      <c r="L678" s="3712"/>
      <c r="M678" s="3710"/>
      <c r="N678" s="3710"/>
      <c r="O678" s="3710"/>
      <c r="P678" s="3752"/>
      <c r="Q678" s="3710"/>
      <c r="R678" s="3710"/>
      <c r="S678" s="3710"/>
      <c r="T678" s="3710"/>
      <c r="U678" s="3710"/>
      <c r="V678" s="3710"/>
      <c r="W678" s="3710"/>
      <c r="X678" s="3710"/>
      <c r="Y678" s="3710"/>
      <c r="Z678" s="3710"/>
      <c r="AA678" s="3710"/>
      <c r="AB678" s="3710"/>
      <c r="AC678" s="3710"/>
    </row>
    <row r="679" spans="1:29">
      <c r="A679" s="3710"/>
      <c r="B679" s="3710"/>
      <c r="C679" s="3710"/>
      <c r="D679" s="3710"/>
      <c r="E679" s="3710"/>
      <c r="F679" s="3710"/>
      <c r="G679" s="3710"/>
      <c r="H679" s="3710"/>
      <c r="I679" s="3710"/>
      <c r="J679" s="3710"/>
      <c r="K679" s="3711"/>
      <c r="L679" s="3712"/>
      <c r="M679" s="3710"/>
      <c r="N679" s="3710"/>
      <c r="O679" s="3710"/>
      <c r="P679" s="3752"/>
      <c r="Q679" s="3710"/>
      <c r="R679" s="3710"/>
      <c r="S679" s="3710"/>
      <c r="T679" s="3710"/>
      <c r="U679" s="3710"/>
      <c r="V679" s="3710"/>
      <c r="W679" s="3710"/>
      <c r="X679" s="3710"/>
      <c r="Y679" s="3710"/>
      <c r="Z679" s="3710"/>
      <c r="AA679" s="3710"/>
      <c r="AB679" s="3710"/>
      <c r="AC679" s="3710"/>
    </row>
    <row r="680" spans="1:29">
      <c r="A680" s="3710"/>
      <c r="B680" s="3710"/>
      <c r="C680" s="3710"/>
      <c r="D680" s="3710"/>
      <c r="E680" s="3710"/>
      <c r="F680" s="3710"/>
      <c r="G680" s="3710"/>
      <c r="H680" s="3710"/>
      <c r="I680" s="3710"/>
      <c r="J680" s="3710"/>
      <c r="K680" s="3711"/>
      <c r="L680" s="3712"/>
      <c r="M680" s="3710"/>
      <c r="N680" s="3710"/>
      <c r="O680" s="3710"/>
      <c r="P680" s="3752"/>
      <c r="Q680" s="3710"/>
      <c r="R680" s="3710"/>
      <c r="S680" s="3710"/>
      <c r="T680" s="3710"/>
      <c r="U680" s="3710"/>
      <c r="V680" s="3710"/>
      <c r="W680" s="3710"/>
      <c r="X680" s="3710"/>
      <c r="Y680" s="3710"/>
      <c r="Z680" s="3710"/>
      <c r="AA680" s="3710"/>
      <c r="AB680" s="3710"/>
      <c r="AC680" s="3710"/>
    </row>
    <row r="681" spans="1:29">
      <c r="A681" s="3710"/>
      <c r="B681" s="3710"/>
      <c r="C681" s="3710"/>
      <c r="D681" s="3710"/>
      <c r="E681" s="3710"/>
      <c r="F681" s="3710"/>
      <c r="G681" s="3710"/>
      <c r="H681" s="3710"/>
      <c r="I681" s="3710"/>
      <c r="J681" s="3710"/>
      <c r="K681" s="3711"/>
      <c r="L681" s="3712"/>
      <c r="M681" s="3710"/>
      <c r="N681" s="3710"/>
      <c r="O681" s="3710"/>
      <c r="P681" s="3752"/>
      <c r="Q681" s="3710"/>
      <c r="R681" s="3710"/>
      <c r="S681" s="3710"/>
      <c r="T681" s="3710"/>
      <c r="U681" s="3710"/>
      <c r="V681" s="3710"/>
      <c r="W681" s="3710"/>
      <c r="X681" s="3710"/>
      <c r="Y681" s="3710"/>
      <c r="Z681" s="3710"/>
      <c r="AA681" s="3710"/>
      <c r="AB681" s="3710"/>
      <c r="AC681" s="3710"/>
    </row>
    <row r="682" spans="1:29">
      <c r="A682" s="3710"/>
      <c r="B682" s="3710"/>
      <c r="C682" s="3710"/>
      <c r="D682" s="3710"/>
      <c r="E682" s="3710"/>
      <c r="F682" s="3710"/>
      <c r="G682" s="3710"/>
      <c r="H682" s="3710"/>
      <c r="I682" s="3710"/>
      <c r="J682" s="3710"/>
      <c r="K682" s="3711"/>
      <c r="L682" s="3712"/>
      <c r="M682" s="3710"/>
      <c r="N682" s="3710"/>
      <c r="O682" s="3710"/>
      <c r="P682" s="3752"/>
      <c r="Q682" s="3710"/>
      <c r="R682" s="3710"/>
      <c r="S682" s="3710"/>
      <c r="T682" s="3710"/>
      <c r="U682" s="3710"/>
      <c r="V682" s="3710"/>
      <c r="W682" s="3710"/>
      <c r="X682" s="3710"/>
      <c r="Y682" s="3710"/>
      <c r="Z682" s="3710"/>
      <c r="AA682" s="3710"/>
      <c r="AB682" s="3710"/>
      <c r="AC682" s="3710"/>
    </row>
    <row r="683" spans="1:29">
      <c r="A683" s="3710"/>
      <c r="B683" s="3710"/>
      <c r="C683" s="3710"/>
      <c r="D683" s="3710"/>
      <c r="E683" s="3710"/>
      <c r="F683" s="3710"/>
      <c r="G683" s="3710"/>
      <c r="H683" s="3710"/>
      <c r="I683" s="3710"/>
      <c r="J683" s="3710"/>
      <c r="K683" s="3711"/>
      <c r="L683" s="3712"/>
      <c r="M683" s="3710"/>
      <c r="N683" s="3710"/>
      <c r="O683" s="3710"/>
      <c r="P683" s="3752"/>
      <c r="Q683" s="3710"/>
      <c r="R683" s="3710"/>
      <c r="S683" s="3710"/>
      <c r="T683" s="3710"/>
      <c r="U683" s="3710"/>
      <c r="V683" s="3710"/>
      <c r="W683" s="3710"/>
      <c r="X683" s="3710"/>
      <c r="Y683" s="3710"/>
      <c r="Z683" s="3710"/>
      <c r="AA683" s="3710"/>
      <c r="AB683" s="3710"/>
      <c r="AC683" s="3710"/>
    </row>
    <row r="684" spans="1:29">
      <c r="A684" s="3710"/>
      <c r="B684" s="3710"/>
      <c r="C684" s="3710"/>
      <c r="D684" s="3710"/>
      <c r="E684" s="3710"/>
      <c r="F684" s="3710"/>
      <c r="G684" s="3710"/>
      <c r="H684" s="3710"/>
      <c r="I684" s="3710"/>
      <c r="J684" s="3710"/>
      <c r="K684" s="3711"/>
      <c r="L684" s="3712"/>
      <c r="M684" s="3710"/>
      <c r="N684" s="3710"/>
      <c r="O684" s="3710"/>
      <c r="P684" s="3752"/>
      <c r="Q684" s="3710"/>
      <c r="R684" s="3710"/>
      <c r="S684" s="3710"/>
      <c r="T684" s="3710"/>
      <c r="U684" s="3710"/>
      <c r="V684" s="3710"/>
      <c r="W684" s="3710"/>
      <c r="X684" s="3710"/>
      <c r="Y684" s="3710"/>
      <c r="Z684" s="3710"/>
      <c r="AA684" s="3710"/>
      <c r="AB684" s="3710"/>
      <c r="AC684" s="3710"/>
    </row>
    <row r="685" spans="1:29">
      <c r="A685" s="3710"/>
      <c r="B685" s="3710"/>
      <c r="C685" s="3710"/>
      <c r="D685" s="3710"/>
      <c r="E685" s="3710"/>
      <c r="F685" s="3710"/>
      <c r="G685" s="3710"/>
      <c r="H685" s="3710"/>
      <c r="I685" s="3710"/>
      <c r="J685" s="3710"/>
      <c r="K685" s="3711"/>
      <c r="L685" s="3712"/>
      <c r="M685" s="3710"/>
      <c r="N685" s="3710"/>
      <c r="O685" s="3710"/>
      <c r="P685" s="3752"/>
      <c r="Q685" s="3710"/>
      <c r="R685" s="3710"/>
      <c r="S685" s="3710"/>
      <c r="T685" s="3710"/>
      <c r="U685" s="3710"/>
      <c r="V685" s="3710"/>
      <c r="W685" s="3710"/>
      <c r="X685" s="3710"/>
      <c r="Y685" s="3710"/>
      <c r="Z685" s="3710"/>
      <c r="AA685" s="3710"/>
      <c r="AB685" s="3710"/>
      <c r="AC685" s="3710"/>
    </row>
    <row r="686" spans="1:29">
      <c r="A686" s="3710"/>
      <c r="B686" s="3710"/>
      <c r="C686" s="3710"/>
      <c r="D686" s="3710"/>
      <c r="E686" s="3710"/>
      <c r="F686" s="3710"/>
      <c r="G686" s="3710"/>
      <c r="H686" s="3710"/>
      <c r="I686" s="3710"/>
      <c r="J686" s="3710"/>
      <c r="K686" s="3711"/>
      <c r="L686" s="3712"/>
      <c r="M686" s="3710"/>
      <c r="N686" s="3710"/>
      <c r="O686" s="3710"/>
      <c r="P686" s="3752"/>
      <c r="Q686" s="3710"/>
      <c r="R686" s="3710"/>
      <c r="S686" s="3710"/>
      <c r="T686" s="3710"/>
      <c r="U686" s="3710"/>
      <c r="V686" s="3710"/>
      <c r="W686" s="3710"/>
      <c r="X686" s="3710"/>
      <c r="Y686" s="3710"/>
      <c r="Z686" s="3710"/>
      <c r="AA686" s="3710"/>
      <c r="AB686" s="3710"/>
      <c r="AC686" s="3710"/>
    </row>
    <row r="687" spans="1:29">
      <c r="A687" s="3710"/>
      <c r="B687" s="3710"/>
      <c r="C687" s="3710"/>
      <c r="D687" s="3710"/>
      <c r="E687" s="3710"/>
      <c r="F687" s="3710"/>
      <c r="G687" s="3710"/>
      <c r="H687" s="3710"/>
      <c r="I687" s="3710"/>
      <c r="J687" s="3710"/>
      <c r="K687" s="3711"/>
      <c r="L687" s="3712"/>
      <c r="M687" s="3710"/>
      <c r="N687" s="3710"/>
      <c r="O687" s="3710"/>
      <c r="P687" s="3752"/>
      <c r="Q687" s="3710"/>
      <c r="R687" s="3710"/>
      <c r="S687" s="3710"/>
      <c r="T687" s="3710"/>
      <c r="U687" s="3710"/>
      <c r="V687" s="3710"/>
      <c r="W687" s="3710"/>
      <c r="X687" s="3710"/>
      <c r="Y687" s="3710"/>
      <c r="Z687" s="3710"/>
      <c r="AA687" s="3710"/>
      <c r="AB687" s="3710"/>
      <c r="AC687" s="3710"/>
    </row>
    <row r="688" spans="1:29">
      <c r="A688" s="3710"/>
      <c r="B688" s="3710"/>
      <c r="C688" s="3710"/>
      <c r="D688" s="3710"/>
      <c r="E688" s="3710"/>
      <c r="F688" s="3710"/>
      <c r="G688" s="3710"/>
      <c r="H688" s="3710"/>
      <c r="I688" s="3710"/>
      <c r="J688" s="3710"/>
      <c r="K688" s="3711"/>
      <c r="L688" s="3712"/>
      <c r="M688" s="3710"/>
      <c r="N688" s="3710"/>
      <c r="O688" s="3710"/>
      <c r="P688" s="3752"/>
      <c r="Q688" s="3710"/>
      <c r="R688" s="3710"/>
      <c r="S688" s="3710"/>
      <c r="T688" s="3710"/>
      <c r="U688" s="3710"/>
      <c r="V688" s="3710"/>
      <c r="W688" s="3710"/>
      <c r="X688" s="3710"/>
      <c r="Y688" s="3710"/>
      <c r="Z688" s="3710"/>
      <c r="AA688" s="3710"/>
      <c r="AB688" s="3710"/>
      <c r="AC688" s="3710"/>
    </row>
    <row r="689" spans="1:29">
      <c r="A689" s="3710"/>
      <c r="B689" s="3710"/>
      <c r="C689" s="3710"/>
      <c r="D689" s="3710"/>
      <c r="E689" s="3710"/>
      <c r="F689" s="3710"/>
      <c r="G689" s="3710"/>
      <c r="H689" s="3710"/>
      <c r="I689" s="3710"/>
      <c r="J689" s="3710"/>
      <c r="K689" s="3711"/>
      <c r="L689" s="3712"/>
      <c r="M689" s="3710"/>
      <c r="N689" s="3710"/>
      <c r="O689" s="3710"/>
      <c r="P689" s="3752"/>
      <c r="Q689" s="3710"/>
      <c r="R689" s="3710"/>
      <c r="S689" s="3710"/>
      <c r="T689" s="3710"/>
      <c r="U689" s="3710"/>
      <c r="V689" s="3710"/>
      <c r="W689" s="3710"/>
      <c r="X689" s="3710"/>
      <c r="Y689" s="3710"/>
      <c r="Z689" s="3710"/>
      <c r="AA689" s="3710"/>
      <c r="AB689" s="3710"/>
      <c r="AC689" s="3710"/>
    </row>
    <row r="690" spans="1:29">
      <c r="A690" s="3710"/>
      <c r="B690" s="3710"/>
      <c r="C690" s="3710"/>
      <c r="D690" s="3710"/>
      <c r="E690" s="3710"/>
      <c r="F690" s="3710"/>
      <c r="G690" s="3710"/>
      <c r="H690" s="3710"/>
      <c r="I690" s="3710"/>
      <c r="J690" s="3710"/>
      <c r="K690" s="3711"/>
      <c r="L690" s="3712"/>
      <c r="M690" s="3710"/>
      <c r="N690" s="3710"/>
      <c r="O690" s="3710"/>
      <c r="P690" s="3752"/>
      <c r="Q690" s="3710"/>
      <c r="R690" s="3710"/>
      <c r="S690" s="3710"/>
      <c r="T690" s="3710"/>
      <c r="U690" s="3710"/>
      <c r="V690" s="3710"/>
      <c r="W690" s="3710"/>
      <c r="X690" s="3710"/>
      <c r="Y690" s="3710"/>
      <c r="Z690" s="3710"/>
      <c r="AA690" s="3710"/>
      <c r="AB690" s="3710"/>
      <c r="AC690" s="3710"/>
    </row>
    <row r="691" spans="1:29">
      <c r="A691" s="3710"/>
      <c r="B691" s="3710"/>
      <c r="C691" s="3710"/>
      <c r="D691" s="3710"/>
      <c r="E691" s="3710"/>
      <c r="F691" s="3710"/>
      <c r="G691" s="3710"/>
      <c r="H691" s="3710"/>
      <c r="I691" s="3710"/>
      <c r="J691" s="3710"/>
      <c r="K691" s="3711"/>
      <c r="L691" s="3712"/>
      <c r="M691" s="3710"/>
      <c r="N691" s="3710"/>
      <c r="O691" s="3710"/>
      <c r="P691" s="3752"/>
      <c r="Q691" s="3710"/>
      <c r="R691" s="3710"/>
      <c r="S691" s="3710"/>
      <c r="T691" s="3710"/>
      <c r="U691" s="3710"/>
      <c r="V691" s="3710"/>
      <c r="W691" s="3710"/>
      <c r="X691" s="3710"/>
      <c r="Y691" s="3710"/>
      <c r="Z691" s="3710"/>
      <c r="AA691" s="3710"/>
      <c r="AB691" s="3710"/>
      <c r="AC691" s="3710"/>
    </row>
    <row r="692" spans="1:29">
      <c r="A692" s="3710"/>
      <c r="B692" s="3710"/>
      <c r="C692" s="3710"/>
      <c r="D692" s="3710"/>
      <c r="E692" s="3710"/>
      <c r="F692" s="3710"/>
      <c r="G692" s="3710"/>
      <c r="H692" s="3710"/>
      <c r="I692" s="3710"/>
      <c r="J692" s="3710"/>
      <c r="K692" s="3711"/>
      <c r="L692" s="3712"/>
      <c r="M692" s="3710"/>
      <c r="N692" s="3710"/>
      <c r="O692" s="3710"/>
      <c r="P692" s="3752"/>
      <c r="Q692" s="3710"/>
      <c r="R692" s="3710"/>
      <c r="S692" s="3710"/>
      <c r="T692" s="3710"/>
      <c r="U692" s="3710"/>
      <c r="V692" s="3710"/>
      <c r="W692" s="3710"/>
      <c r="X692" s="3710"/>
      <c r="Y692" s="3710"/>
      <c r="Z692" s="3710"/>
      <c r="AA692" s="3710"/>
      <c r="AB692" s="3710"/>
      <c r="AC692" s="3710"/>
    </row>
    <row r="693" spans="1:29">
      <c r="A693" s="3710"/>
      <c r="B693" s="3710"/>
      <c r="C693" s="3710"/>
      <c r="D693" s="3710"/>
      <c r="E693" s="3710"/>
      <c r="F693" s="3710"/>
      <c r="G693" s="3710"/>
      <c r="H693" s="3710"/>
      <c r="I693" s="3710"/>
      <c r="J693" s="3710"/>
      <c r="K693" s="3711"/>
      <c r="L693" s="3712"/>
      <c r="M693" s="3710"/>
      <c r="N693" s="3710"/>
      <c r="O693" s="3710"/>
      <c r="P693" s="3752"/>
      <c r="Q693" s="3710"/>
      <c r="R693" s="3710"/>
      <c r="S693" s="3710"/>
      <c r="T693" s="3710"/>
      <c r="U693" s="3710"/>
      <c r="V693" s="3710"/>
      <c r="W693" s="3710"/>
      <c r="X693" s="3710"/>
      <c r="Y693" s="3710"/>
      <c r="Z693" s="3710"/>
      <c r="AA693" s="3710"/>
      <c r="AB693" s="3710"/>
      <c r="AC693" s="3710"/>
    </row>
    <row r="694" spans="1:29">
      <c r="A694" s="3710"/>
      <c r="B694" s="3710"/>
      <c r="C694" s="3710"/>
      <c r="D694" s="3710"/>
      <c r="E694" s="3710"/>
      <c r="F694" s="3710"/>
      <c r="G694" s="3710"/>
      <c r="H694" s="3710"/>
      <c r="I694" s="3710"/>
      <c r="J694" s="3710"/>
      <c r="K694" s="3711"/>
      <c r="L694" s="3712"/>
      <c r="M694" s="3710"/>
      <c r="N694" s="3710"/>
      <c r="O694" s="3710"/>
      <c r="P694" s="3752"/>
      <c r="Q694" s="3710"/>
      <c r="R694" s="3710"/>
      <c r="S694" s="3710"/>
      <c r="T694" s="3710"/>
      <c r="U694" s="3710"/>
      <c r="V694" s="3710"/>
      <c r="W694" s="3710"/>
      <c r="X694" s="3710"/>
      <c r="Y694" s="3710"/>
      <c r="Z694" s="3710"/>
      <c r="AA694" s="3710"/>
      <c r="AB694" s="3710"/>
      <c r="AC694" s="3710"/>
    </row>
    <row r="695" spans="1:29">
      <c r="A695" s="3710"/>
      <c r="B695" s="3710"/>
      <c r="C695" s="3710"/>
      <c r="D695" s="3710"/>
      <c r="E695" s="3710"/>
      <c r="F695" s="3710"/>
      <c r="G695" s="3710"/>
      <c r="H695" s="3710"/>
      <c r="I695" s="3710"/>
      <c r="J695" s="3710"/>
      <c r="K695" s="3711"/>
      <c r="L695" s="3712"/>
      <c r="M695" s="3710"/>
      <c r="N695" s="3710"/>
      <c r="O695" s="3710"/>
      <c r="P695" s="3752"/>
      <c r="Q695" s="3710"/>
      <c r="R695" s="3710"/>
      <c r="S695" s="3710"/>
      <c r="T695" s="3710"/>
      <c r="U695" s="3710"/>
      <c r="V695" s="3710"/>
      <c r="W695" s="3710"/>
      <c r="X695" s="3710"/>
      <c r="Y695" s="3710"/>
      <c r="Z695" s="3710"/>
      <c r="AA695" s="3710"/>
      <c r="AB695" s="3710"/>
      <c r="AC695" s="3710"/>
    </row>
    <row r="696" spans="1:29">
      <c r="A696" s="3710"/>
      <c r="B696" s="3710"/>
      <c r="C696" s="3710"/>
      <c r="D696" s="3710"/>
      <c r="E696" s="3710"/>
      <c r="F696" s="3710"/>
      <c r="G696" s="3710"/>
      <c r="H696" s="3710"/>
      <c r="I696" s="3710"/>
      <c r="J696" s="3710"/>
      <c r="K696" s="3711"/>
      <c r="L696" s="3712"/>
      <c r="M696" s="3710"/>
      <c r="N696" s="3710"/>
      <c r="O696" s="3710"/>
      <c r="P696" s="3752"/>
      <c r="Q696" s="3710"/>
      <c r="R696" s="3710"/>
      <c r="S696" s="3710"/>
      <c r="T696" s="3710"/>
      <c r="U696" s="3710"/>
      <c r="V696" s="3710"/>
      <c r="W696" s="3710"/>
      <c r="X696" s="3710"/>
      <c r="Y696" s="3710"/>
      <c r="Z696" s="3710"/>
      <c r="AA696" s="3710"/>
      <c r="AB696" s="3710"/>
      <c r="AC696" s="3710"/>
    </row>
    <row r="697" spans="1:29">
      <c r="A697" s="3710"/>
      <c r="B697" s="3710"/>
      <c r="C697" s="3710"/>
      <c r="D697" s="3710"/>
      <c r="E697" s="3710"/>
      <c r="F697" s="3710"/>
      <c r="G697" s="3710"/>
      <c r="H697" s="3710"/>
      <c r="I697" s="3710"/>
      <c r="J697" s="3710"/>
      <c r="K697" s="3711"/>
      <c r="L697" s="3712"/>
      <c r="M697" s="3710"/>
      <c r="N697" s="3710"/>
      <c r="O697" s="3710"/>
      <c r="P697" s="3752"/>
      <c r="Q697" s="3710"/>
      <c r="R697" s="3710"/>
      <c r="S697" s="3710"/>
      <c r="T697" s="3710"/>
      <c r="U697" s="3710"/>
      <c r="V697" s="3710"/>
      <c r="W697" s="3710"/>
      <c r="X697" s="3710"/>
      <c r="Y697" s="3710"/>
      <c r="Z697" s="3710"/>
      <c r="AA697" s="3710"/>
      <c r="AB697" s="3710"/>
      <c r="AC697" s="3710"/>
    </row>
    <row r="698" spans="1:29">
      <c r="A698" s="3710"/>
      <c r="B698" s="3710"/>
      <c r="C698" s="3710"/>
      <c r="D698" s="3710"/>
      <c r="E698" s="3710"/>
      <c r="F698" s="3710"/>
      <c r="G698" s="3710"/>
      <c r="H698" s="3710"/>
      <c r="I698" s="3710"/>
      <c r="J698" s="3710"/>
      <c r="K698" s="3711"/>
      <c r="L698" s="3712"/>
      <c r="M698" s="3710"/>
      <c r="N698" s="3710"/>
      <c r="O698" s="3710"/>
      <c r="P698" s="3752"/>
      <c r="Q698" s="3710"/>
      <c r="R698" s="3710"/>
      <c r="S698" s="3710"/>
      <c r="T698" s="3710"/>
      <c r="U698" s="3710"/>
      <c r="V698" s="3710"/>
      <c r="W698" s="3710"/>
      <c r="X698" s="3710"/>
      <c r="Y698" s="3710"/>
      <c r="Z698" s="3710"/>
      <c r="AA698" s="3710"/>
      <c r="AB698" s="3710"/>
      <c r="AC698" s="3710"/>
    </row>
    <row r="699" spans="1:29">
      <c r="A699" s="3710"/>
      <c r="B699" s="3710"/>
      <c r="C699" s="3710"/>
      <c r="D699" s="3710"/>
      <c r="E699" s="3710"/>
      <c r="F699" s="3710"/>
      <c r="G699" s="3710"/>
      <c r="H699" s="3710"/>
      <c r="I699" s="3710"/>
      <c r="J699" s="3710"/>
      <c r="K699" s="3711"/>
      <c r="L699" s="3712"/>
      <c r="M699" s="3710"/>
      <c r="N699" s="3710"/>
      <c r="O699" s="3710"/>
      <c r="P699" s="3752"/>
      <c r="Q699" s="3710"/>
      <c r="R699" s="3710"/>
      <c r="S699" s="3710"/>
      <c r="T699" s="3710"/>
      <c r="U699" s="3710"/>
      <c r="V699" s="3710"/>
      <c r="W699" s="3710"/>
      <c r="X699" s="3710"/>
      <c r="Y699" s="3710"/>
      <c r="Z699" s="3710"/>
      <c r="AA699" s="3710"/>
      <c r="AB699" s="3710"/>
      <c r="AC699" s="3710"/>
    </row>
    <row r="700" spans="1:29">
      <c r="A700" s="3710"/>
      <c r="B700" s="3710"/>
      <c r="C700" s="3710"/>
      <c r="D700" s="3710"/>
      <c r="E700" s="3710"/>
      <c r="F700" s="3710"/>
      <c r="G700" s="3710"/>
      <c r="H700" s="3710"/>
      <c r="I700" s="3710"/>
      <c r="J700" s="3710"/>
      <c r="K700" s="3711"/>
      <c r="L700" s="3712"/>
      <c r="M700" s="3710"/>
      <c r="N700" s="3710"/>
      <c r="O700" s="3710"/>
      <c r="P700" s="3752"/>
      <c r="Q700" s="3710"/>
      <c r="R700" s="3710"/>
      <c r="S700" s="3710"/>
      <c r="T700" s="3710"/>
      <c r="U700" s="3710"/>
      <c r="V700" s="3710"/>
      <c r="W700" s="3710"/>
      <c r="X700" s="3710"/>
      <c r="Y700" s="3710"/>
      <c r="Z700" s="3710"/>
      <c r="AA700" s="3710"/>
      <c r="AB700" s="3710"/>
      <c r="AC700" s="3710"/>
    </row>
    <row r="701" spans="1:29">
      <c r="A701" s="3710"/>
      <c r="B701" s="3710"/>
      <c r="C701" s="3710"/>
      <c r="D701" s="3710"/>
      <c r="E701" s="3710"/>
      <c r="F701" s="3710"/>
      <c r="G701" s="3710"/>
      <c r="H701" s="3710"/>
      <c r="I701" s="3710"/>
      <c r="J701" s="3710"/>
      <c r="K701" s="3711"/>
      <c r="L701" s="3712"/>
      <c r="M701" s="3710"/>
      <c r="N701" s="3710"/>
      <c r="O701" s="3710"/>
      <c r="P701" s="3752"/>
      <c r="Q701" s="3710"/>
      <c r="R701" s="3710"/>
      <c r="S701" s="3710"/>
      <c r="T701" s="3710"/>
      <c r="U701" s="3710"/>
      <c r="V701" s="3710"/>
      <c r="W701" s="3710"/>
      <c r="X701" s="3710"/>
      <c r="Y701" s="3710"/>
      <c r="Z701" s="3710"/>
      <c r="AA701" s="3710"/>
      <c r="AB701" s="3710"/>
      <c r="AC701" s="3710"/>
    </row>
    <row r="702" spans="1:29">
      <c r="A702" s="3710"/>
      <c r="B702" s="3710"/>
      <c r="C702" s="3710"/>
      <c r="D702" s="3710"/>
      <c r="E702" s="3710"/>
      <c r="F702" s="3710"/>
      <c r="G702" s="3710"/>
      <c r="H702" s="3710"/>
      <c r="I702" s="3710"/>
      <c r="J702" s="3710"/>
      <c r="K702" s="3711"/>
      <c r="L702" s="3712"/>
      <c r="M702" s="3710"/>
      <c r="N702" s="3710"/>
      <c r="O702" s="3710"/>
      <c r="P702" s="3752"/>
      <c r="Q702" s="3710"/>
      <c r="R702" s="3710"/>
      <c r="S702" s="3710"/>
      <c r="T702" s="3710"/>
      <c r="U702" s="3710"/>
      <c r="V702" s="3710"/>
      <c r="W702" s="3710"/>
      <c r="X702" s="3710"/>
      <c r="Y702" s="3710"/>
      <c r="Z702" s="3710"/>
      <c r="AA702" s="3710"/>
      <c r="AB702" s="3710"/>
      <c r="AC702" s="3710"/>
    </row>
    <row r="703" spans="1:29">
      <c r="A703" s="3710"/>
      <c r="B703" s="3710"/>
      <c r="C703" s="3710"/>
      <c r="D703" s="3710"/>
      <c r="E703" s="3710"/>
      <c r="F703" s="3710"/>
      <c r="G703" s="3710"/>
      <c r="H703" s="3710"/>
      <c r="I703" s="3710"/>
      <c r="J703" s="3710"/>
      <c r="K703" s="3711"/>
      <c r="L703" s="3712"/>
      <c r="M703" s="3710"/>
      <c r="N703" s="3710"/>
      <c r="O703" s="3710"/>
      <c r="P703" s="3752"/>
      <c r="Q703" s="3710"/>
      <c r="R703" s="3710"/>
      <c r="S703" s="3710"/>
      <c r="T703" s="3710"/>
      <c r="U703" s="3710"/>
      <c r="V703" s="3710"/>
      <c r="W703" s="3710"/>
      <c r="X703" s="3710"/>
      <c r="Y703" s="3710"/>
      <c r="Z703" s="3710"/>
      <c r="AA703" s="3710"/>
      <c r="AB703" s="3710"/>
      <c r="AC703" s="3710"/>
    </row>
    <row r="704" spans="1:29">
      <c r="A704" s="3710"/>
      <c r="B704" s="3710"/>
      <c r="C704" s="3710"/>
      <c r="D704" s="3710"/>
      <c r="E704" s="3710"/>
      <c r="F704" s="3710"/>
      <c r="G704" s="3710"/>
      <c r="H704" s="3710"/>
      <c r="I704" s="3710"/>
      <c r="J704" s="3710"/>
      <c r="K704" s="3711"/>
      <c r="L704" s="3712"/>
      <c r="M704" s="3710"/>
      <c r="N704" s="3710"/>
      <c r="O704" s="3710"/>
      <c r="P704" s="3752"/>
      <c r="Q704" s="3710"/>
      <c r="R704" s="3710"/>
      <c r="S704" s="3710"/>
      <c r="T704" s="3710"/>
      <c r="U704" s="3710"/>
      <c r="V704" s="3710"/>
      <c r="W704" s="3710"/>
      <c r="X704" s="3710"/>
      <c r="Y704" s="3710"/>
      <c r="Z704" s="3710"/>
      <c r="AA704" s="3710"/>
      <c r="AB704" s="3710"/>
      <c r="AC704" s="3710"/>
    </row>
    <row r="705" spans="1:29">
      <c r="A705" s="3710"/>
      <c r="B705" s="3710"/>
      <c r="C705" s="3710"/>
      <c r="D705" s="3710"/>
      <c r="E705" s="3710"/>
      <c r="F705" s="3710"/>
      <c r="G705" s="3710"/>
      <c r="H705" s="3710"/>
      <c r="I705" s="3710"/>
      <c r="J705" s="3710"/>
      <c r="K705" s="3711"/>
      <c r="L705" s="3712"/>
      <c r="M705" s="3710"/>
      <c r="N705" s="3710"/>
      <c r="O705" s="3710"/>
      <c r="P705" s="3752"/>
      <c r="Q705" s="3710"/>
      <c r="R705" s="3710"/>
      <c r="S705" s="3710"/>
      <c r="T705" s="3710"/>
      <c r="U705" s="3710"/>
      <c r="V705" s="3710"/>
      <c r="W705" s="3710"/>
      <c r="X705" s="3710"/>
      <c r="Y705" s="3710"/>
      <c r="Z705" s="3710"/>
      <c r="AA705" s="3710"/>
      <c r="AB705" s="3710"/>
      <c r="AC705" s="3710"/>
    </row>
    <row r="706" spans="1:29">
      <c r="A706" s="3710"/>
      <c r="B706" s="3710"/>
      <c r="C706" s="3710"/>
      <c r="D706" s="3710"/>
      <c r="E706" s="3710"/>
      <c r="F706" s="3710"/>
      <c r="G706" s="3710"/>
      <c r="H706" s="3710"/>
      <c r="I706" s="3710"/>
      <c r="J706" s="3710"/>
      <c r="K706" s="3711"/>
      <c r="L706" s="3712"/>
      <c r="M706" s="3710"/>
      <c r="N706" s="3710"/>
      <c r="O706" s="3710"/>
      <c r="P706" s="3752"/>
      <c r="Q706" s="3710"/>
      <c r="R706" s="3710"/>
      <c r="S706" s="3710"/>
      <c r="T706" s="3710"/>
      <c r="U706" s="3710"/>
      <c r="V706" s="3710"/>
      <c r="W706" s="3710"/>
      <c r="X706" s="3710"/>
      <c r="Y706" s="3710"/>
      <c r="Z706" s="3710"/>
      <c r="AA706" s="3710"/>
      <c r="AB706" s="3710"/>
      <c r="AC706" s="3710"/>
    </row>
    <row r="707" spans="1:29">
      <c r="A707" s="3710"/>
      <c r="B707" s="3710"/>
      <c r="C707" s="3710"/>
      <c r="D707" s="3710"/>
      <c r="E707" s="3710"/>
      <c r="F707" s="3710"/>
      <c r="G707" s="3710"/>
      <c r="H707" s="3710"/>
      <c r="I707" s="3710"/>
      <c r="J707" s="3710"/>
      <c r="K707" s="3711"/>
      <c r="L707" s="3712"/>
      <c r="M707" s="3710"/>
      <c r="N707" s="3710"/>
      <c r="O707" s="3710"/>
      <c r="P707" s="3752"/>
      <c r="Q707" s="3710"/>
      <c r="R707" s="3710"/>
      <c r="S707" s="3710"/>
      <c r="T707" s="3710"/>
      <c r="U707" s="3710"/>
      <c r="V707" s="3710"/>
      <c r="W707" s="3710"/>
      <c r="X707" s="3710"/>
      <c r="Y707" s="3710"/>
      <c r="Z707" s="3710"/>
      <c r="AA707" s="3710"/>
      <c r="AB707" s="3710"/>
      <c r="AC707" s="3710"/>
    </row>
    <row r="708" spans="1:29">
      <c r="A708" s="3710"/>
      <c r="B708" s="3710"/>
      <c r="C708" s="3710"/>
      <c r="D708" s="3710"/>
      <c r="E708" s="3710"/>
      <c r="F708" s="3710"/>
      <c r="G708" s="3710"/>
      <c r="H708" s="3710"/>
      <c r="I708" s="3710"/>
      <c r="J708" s="3710"/>
      <c r="K708" s="3711"/>
      <c r="L708" s="3712"/>
      <c r="M708" s="3710"/>
      <c r="N708" s="3710"/>
      <c r="O708" s="3710"/>
      <c r="P708" s="3752"/>
      <c r="Q708" s="3710"/>
      <c r="R708" s="3710"/>
      <c r="S708" s="3710"/>
      <c r="T708" s="3710"/>
      <c r="U708" s="3710"/>
      <c r="V708" s="3710"/>
      <c r="W708" s="3710"/>
      <c r="X708" s="3710"/>
      <c r="Y708" s="3710"/>
      <c r="Z708" s="3710"/>
      <c r="AA708" s="3710"/>
      <c r="AB708" s="3710"/>
      <c r="AC708" s="3710"/>
    </row>
    <row r="709" spans="1:29">
      <c r="A709" s="3710"/>
      <c r="B709" s="3710"/>
      <c r="C709" s="3710"/>
      <c r="D709" s="3710"/>
      <c r="E709" s="3710"/>
      <c r="F709" s="3710"/>
      <c r="G709" s="3710"/>
      <c r="H709" s="3710"/>
      <c r="I709" s="3710"/>
      <c r="J709" s="3710"/>
      <c r="K709" s="3711"/>
      <c r="L709" s="3712"/>
      <c r="M709" s="3710"/>
      <c r="N709" s="3710"/>
      <c r="O709" s="3710"/>
      <c r="P709" s="3752"/>
      <c r="Q709" s="3710"/>
      <c r="R709" s="3710"/>
      <c r="S709" s="3710"/>
      <c r="T709" s="3710"/>
      <c r="U709" s="3710"/>
      <c r="V709" s="3710"/>
      <c r="W709" s="3710"/>
      <c r="X709" s="3710"/>
      <c r="Y709" s="3710"/>
      <c r="Z709" s="3710"/>
      <c r="AA709" s="3710"/>
      <c r="AB709" s="3710"/>
      <c r="AC709" s="3710"/>
    </row>
    <row r="710" spans="1:29">
      <c r="A710" s="3710"/>
      <c r="B710" s="3710"/>
      <c r="C710" s="3710"/>
      <c r="D710" s="3710"/>
      <c r="E710" s="3710"/>
      <c r="F710" s="3710"/>
      <c r="G710" s="3710"/>
      <c r="H710" s="3710"/>
      <c r="I710" s="3710"/>
      <c r="J710" s="3710"/>
      <c r="K710" s="3711"/>
      <c r="L710" s="3712"/>
      <c r="M710" s="3710"/>
      <c r="N710" s="3710"/>
      <c r="O710" s="3710"/>
      <c r="P710" s="3752"/>
      <c r="Q710" s="3710"/>
      <c r="R710" s="3710"/>
      <c r="S710" s="3710"/>
      <c r="T710" s="3710"/>
      <c r="U710" s="3710"/>
      <c r="V710" s="3710"/>
      <c r="W710" s="3710"/>
      <c r="X710" s="3710"/>
      <c r="Y710" s="3710"/>
      <c r="Z710" s="3710"/>
      <c r="AA710" s="3710"/>
      <c r="AB710" s="3710"/>
      <c r="AC710" s="3710"/>
    </row>
    <row r="711" spans="1:29">
      <c r="A711" s="3710"/>
      <c r="B711" s="3710"/>
      <c r="C711" s="3710"/>
      <c r="D711" s="3710"/>
      <c r="E711" s="3710"/>
      <c r="F711" s="3710"/>
      <c r="G711" s="3710"/>
      <c r="H711" s="3710"/>
      <c r="I711" s="3710"/>
      <c r="J711" s="3710"/>
      <c r="K711" s="3711"/>
      <c r="L711" s="3712"/>
      <c r="M711" s="3710"/>
      <c r="N711" s="3710"/>
      <c r="O711" s="3710"/>
      <c r="P711" s="3752"/>
      <c r="Q711" s="3710"/>
      <c r="R711" s="3710"/>
      <c r="S711" s="3710"/>
      <c r="T711" s="3710"/>
      <c r="U711" s="3710"/>
      <c r="V711" s="3710"/>
      <c r="W711" s="3710"/>
      <c r="X711" s="3710"/>
      <c r="Y711" s="3710"/>
      <c r="Z711" s="3710"/>
      <c r="AA711" s="3710"/>
      <c r="AB711" s="3710"/>
      <c r="AC711" s="3710"/>
    </row>
    <row r="712" spans="1:29">
      <c r="A712" s="3710"/>
      <c r="B712" s="3710"/>
      <c r="C712" s="3710"/>
      <c r="D712" s="3710"/>
      <c r="E712" s="3710"/>
      <c r="F712" s="3710"/>
      <c r="G712" s="3710"/>
      <c r="H712" s="3710"/>
      <c r="I712" s="3710"/>
      <c r="J712" s="3710"/>
      <c r="K712" s="3711"/>
      <c r="L712" s="3712"/>
      <c r="M712" s="3710"/>
      <c r="N712" s="3710"/>
      <c r="O712" s="3710"/>
      <c r="P712" s="3752"/>
      <c r="Q712" s="3710"/>
      <c r="R712" s="3710"/>
      <c r="S712" s="3710"/>
      <c r="T712" s="3710"/>
      <c r="U712" s="3710"/>
      <c r="V712" s="3710"/>
      <c r="W712" s="3710"/>
      <c r="X712" s="3710"/>
      <c r="Y712" s="3710"/>
      <c r="Z712" s="3710"/>
      <c r="AA712" s="3710"/>
      <c r="AB712" s="3710"/>
      <c r="AC712" s="3710"/>
    </row>
    <row r="713" spans="1:29">
      <c r="A713" s="3710"/>
      <c r="B713" s="3710"/>
      <c r="C713" s="3710"/>
      <c r="D713" s="3710"/>
      <c r="E713" s="3710"/>
      <c r="F713" s="3710"/>
      <c r="G713" s="3710"/>
      <c r="H713" s="3710"/>
      <c r="I713" s="3710"/>
      <c r="J713" s="3710"/>
      <c r="K713" s="3711"/>
      <c r="L713" s="3712"/>
      <c r="M713" s="3710"/>
      <c r="N713" s="3710"/>
      <c r="O713" s="3710"/>
      <c r="P713" s="3752"/>
      <c r="Q713" s="3710"/>
      <c r="R713" s="3710"/>
      <c r="S713" s="3710"/>
      <c r="T713" s="3710"/>
      <c r="U713" s="3710"/>
      <c r="V713" s="3710"/>
      <c r="W713" s="3710"/>
      <c r="X713" s="3710"/>
      <c r="Y713" s="3710"/>
      <c r="Z713" s="3710"/>
      <c r="AA713" s="3710"/>
      <c r="AB713" s="3710"/>
      <c r="AC713" s="3710"/>
    </row>
    <row r="714" spans="1:29">
      <c r="A714" s="3710"/>
      <c r="B714" s="3710"/>
      <c r="C714" s="3710"/>
      <c r="D714" s="3710"/>
      <c r="E714" s="3710"/>
      <c r="F714" s="3710"/>
      <c r="G714" s="3710"/>
      <c r="H714" s="3710"/>
      <c r="I714" s="3710"/>
      <c r="J714" s="3710"/>
      <c r="K714" s="3711"/>
      <c r="L714" s="3712"/>
      <c r="M714" s="3710"/>
      <c r="N714" s="3710"/>
      <c r="O714" s="3710"/>
      <c r="P714" s="3752"/>
      <c r="Q714" s="3710"/>
      <c r="R714" s="3710"/>
      <c r="S714" s="3710"/>
      <c r="T714" s="3710"/>
      <c r="U714" s="3710"/>
      <c r="V714" s="3710"/>
      <c r="W714" s="3710"/>
      <c r="X714" s="3710"/>
      <c r="Y714" s="3710"/>
      <c r="Z714" s="3710"/>
      <c r="AA714" s="3710"/>
      <c r="AB714" s="3710"/>
      <c r="AC714" s="3710"/>
    </row>
    <row r="715" spans="1:29">
      <c r="A715" s="3710"/>
      <c r="B715" s="3710"/>
      <c r="C715" s="3710"/>
      <c r="D715" s="3710"/>
      <c r="E715" s="3710"/>
      <c r="F715" s="3710"/>
      <c r="G715" s="3710"/>
      <c r="H715" s="3710"/>
      <c r="I715" s="3710"/>
      <c r="J715" s="3710"/>
      <c r="K715" s="3711"/>
      <c r="L715" s="3712"/>
      <c r="M715" s="3710"/>
      <c r="N715" s="3710"/>
      <c r="O715" s="3710"/>
      <c r="P715" s="3752"/>
      <c r="Q715" s="3710"/>
      <c r="R715" s="3710"/>
      <c r="S715" s="3710"/>
      <c r="T715" s="3710"/>
      <c r="U715" s="3710"/>
      <c r="V715" s="3710"/>
      <c r="W715" s="3710"/>
      <c r="X715" s="3710"/>
      <c r="Y715" s="3710"/>
      <c r="Z715" s="3710"/>
      <c r="AA715" s="3710"/>
      <c r="AB715" s="3710"/>
      <c r="AC715" s="3710"/>
    </row>
    <row r="716" spans="1:29">
      <c r="A716" s="3710"/>
      <c r="B716" s="3710"/>
      <c r="C716" s="3710"/>
      <c r="D716" s="3710"/>
      <c r="E716" s="3710"/>
      <c r="F716" s="3710"/>
      <c r="G716" s="3710"/>
      <c r="H716" s="3710"/>
      <c r="I716" s="3710"/>
      <c r="J716" s="3710"/>
      <c r="K716" s="3711"/>
      <c r="L716" s="3712"/>
      <c r="M716" s="3710"/>
      <c r="N716" s="3710"/>
      <c r="O716" s="3710"/>
      <c r="P716" s="3752"/>
      <c r="Q716" s="3710"/>
      <c r="R716" s="3710"/>
      <c r="S716" s="3710"/>
      <c r="T716" s="3710"/>
      <c r="U716" s="3710"/>
      <c r="V716" s="3710"/>
      <c r="W716" s="3710"/>
      <c r="X716" s="3710"/>
      <c r="Y716" s="3710"/>
      <c r="Z716" s="3710"/>
      <c r="AA716" s="3710"/>
      <c r="AB716" s="3710"/>
      <c r="AC716" s="3710"/>
    </row>
    <row r="717" spans="1:29">
      <c r="A717" s="3710"/>
      <c r="B717" s="3710"/>
      <c r="C717" s="3710"/>
      <c r="D717" s="3710"/>
      <c r="E717" s="3710"/>
      <c r="F717" s="3710"/>
      <c r="G717" s="3710"/>
      <c r="H717" s="3710"/>
      <c r="I717" s="3710"/>
      <c r="J717" s="3710"/>
      <c r="K717" s="3711"/>
      <c r="L717" s="3712"/>
      <c r="M717" s="3710"/>
      <c r="N717" s="3710"/>
      <c r="O717" s="3710"/>
      <c r="P717" s="3752"/>
      <c r="Q717" s="3710"/>
      <c r="R717" s="3710"/>
      <c r="S717" s="3710"/>
      <c r="T717" s="3710"/>
      <c r="U717" s="3710"/>
      <c r="V717" s="3710"/>
      <c r="W717" s="3710"/>
      <c r="X717" s="3710"/>
      <c r="Y717" s="3710"/>
      <c r="Z717" s="3710"/>
      <c r="AA717" s="3710"/>
      <c r="AB717" s="3710"/>
      <c r="AC717" s="3710"/>
    </row>
    <row r="718" spans="1:29">
      <c r="A718" s="3710"/>
      <c r="B718" s="3710"/>
      <c r="C718" s="3710"/>
      <c r="D718" s="3710"/>
      <c r="E718" s="3710"/>
      <c r="F718" s="3710"/>
      <c r="G718" s="3710"/>
      <c r="H718" s="3710"/>
      <c r="I718" s="3710"/>
      <c r="J718" s="3710"/>
      <c r="K718" s="3711"/>
      <c r="L718" s="3712"/>
      <c r="M718" s="3710"/>
      <c r="N718" s="3710"/>
      <c r="O718" s="3710"/>
      <c r="P718" s="3752"/>
      <c r="Q718" s="3710"/>
      <c r="R718" s="3710"/>
      <c r="S718" s="3710"/>
      <c r="T718" s="3710"/>
      <c r="U718" s="3710"/>
      <c r="V718" s="3710"/>
      <c r="W718" s="3710"/>
      <c r="X718" s="3710"/>
      <c r="Y718" s="3710"/>
      <c r="Z718" s="3710"/>
      <c r="AA718" s="3710"/>
      <c r="AB718" s="3710"/>
      <c r="AC718" s="3710"/>
    </row>
    <row r="719" spans="1:29">
      <c r="A719" s="3710"/>
      <c r="B719" s="3710"/>
      <c r="C719" s="3710"/>
      <c r="D719" s="3710"/>
      <c r="E719" s="3710"/>
      <c r="F719" s="3710"/>
      <c r="G719" s="3710"/>
      <c r="H719" s="3710"/>
      <c r="I719" s="3710"/>
      <c r="J719" s="3710"/>
      <c r="K719" s="3711"/>
      <c r="L719" s="3712"/>
      <c r="M719" s="3710"/>
      <c r="N719" s="3710"/>
      <c r="O719" s="3710"/>
      <c r="P719" s="3752"/>
      <c r="Q719" s="3710"/>
      <c r="R719" s="3710"/>
      <c r="S719" s="3710"/>
      <c r="T719" s="3710"/>
      <c r="U719" s="3710"/>
      <c r="V719" s="3710"/>
      <c r="W719" s="3710"/>
      <c r="X719" s="3710"/>
      <c r="Y719" s="3710"/>
      <c r="Z719" s="3710"/>
      <c r="AA719" s="3710"/>
      <c r="AB719" s="3710"/>
      <c r="AC719" s="3710"/>
    </row>
    <row r="720" spans="1:29">
      <c r="A720" s="3710"/>
      <c r="B720" s="3710"/>
      <c r="C720" s="3710"/>
      <c r="D720" s="3710"/>
      <c r="E720" s="3710"/>
      <c r="F720" s="3710"/>
      <c r="G720" s="3710"/>
      <c r="H720" s="3710"/>
      <c r="I720" s="3710"/>
      <c r="J720" s="3710"/>
      <c r="K720" s="3711"/>
      <c r="L720" s="3712"/>
      <c r="M720" s="3710"/>
      <c r="N720" s="3710"/>
      <c r="O720" s="3710"/>
      <c r="P720" s="3752"/>
      <c r="Q720" s="3710"/>
      <c r="R720" s="3710"/>
      <c r="S720" s="3710"/>
      <c r="T720" s="3710"/>
      <c r="U720" s="3710"/>
      <c r="V720" s="3710"/>
      <c r="W720" s="3710"/>
      <c r="X720" s="3710"/>
      <c r="Y720" s="3710"/>
      <c r="Z720" s="3710"/>
      <c r="AA720" s="3710"/>
      <c r="AB720" s="3710"/>
      <c r="AC720" s="3710"/>
    </row>
    <row r="721" spans="1:29">
      <c r="A721" s="3710"/>
      <c r="B721" s="3710"/>
      <c r="C721" s="3710"/>
      <c r="D721" s="3710"/>
      <c r="E721" s="3710"/>
      <c r="F721" s="3710"/>
      <c r="G721" s="3710"/>
      <c r="H721" s="3710"/>
      <c r="I721" s="3710"/>
      <c r="J721" s="3710"/>
      <c r="K721" s="3711"/>
      <c r="L721" s="3712"/>
      <c r="M721" s="3710"/>
      <c r="N721" s="3710"/>
      <c r="O721" s="3710"/>
      <c r="P721" s="3752"/>
      <c r="Q721" s="3710"/>
      <c r="R721" s="3710"/>
      <c r="S721" s="3710"/>
      <c r="T721" s="3710"/>
      <c r="U721" s="3710"/>
      <c r="V721" s="3710"/>
      <c r="W721" s="3710"/>
      <c r="X721" s="3710"/>
      <c r="Y721" s="3710"/>
      <c r="Z721" s="3710"/>
      <c r="AA721" s="3710"/>
      <c r="AB721" s="3710"/>
      <c r="AC721" s="3710"/>
    </row>
    <row r="722" spans="1:29">
      <c r="A722" s="3710"/>
      <c r="B722" s="3710"/>
      <c r="C722" s="3710"/>
      <c r="D722" s="3710"/>
      <c r="E722" s="3710"/>
      <c r="F722" s="3710"/>
      <c r="G722" s="3710"/>
      <c r="H722" s="3710"/>
      <c r="I722" s="3710"/>
      <c r="J722" s="3710"/>
      <c r="K722" s="3711"/>
      <c r="L722" s="3712"/>
      <c r="M722" s="3710"/>
      <c r="N722" s="3710"/>
      <c r="O722" s="3710"/>
      <c r="P722" s="3752"/>
      <c r="Q722" s="3710"/>
      <c r="R722" s="3710"/>
      <c r="S722" s="3710"/>
      <c r="T722" s="3710"/>
      <c r="U722" s="3710"/>
      <c r="V722" s="3710"/>
      <c r="W722" s="3710"/>
      <c r="X722" s="3710"/>
      <c r="Y722" s="3710"/>
      <c r="Z722" s="3710"/>
      <c r="AA722" s="3710"/>
      <c r="AB722" s="3710"/>
      <c r="AC722" s="3710"/>
    </row>
    <row r="723" spans="1:29">
      <c r="A723" s="3710"/>
      <c r="B723" s="3710"/>
      <c r="C723" s="3710"/>
      <c r="D723" s="3710"/>
      <c r="E723" s="3710"/>
      <c r="F723" s="3710"/>
      <c r="G723" s="3710"/>
      <c r="H723" s="3710"/>
      <c r="I723" s="3710"/>
      <c r="J723" s="3710"/>
      <c r="K723" s="3711"/>
      <c r="L723" s="3712"/>
      <c r="M723" s="3710"/>
      <c r="N723" s="3710"/>
      <c r="O723" s="3710"/>
      <c r="P723" s="3752"/>
      <c r="Q723" s="3710"/>
      <c r="R723" s="3710"/>
      <c r="S723" s="3710"/>
      <c r="T723" s="3710"/>
      <c r="U723" s="3710"/>
      <c r="V723" s="3710"/>
      <c r="W723" s="3710"/>
      <c r="X723" s="3710"/>
      <c r="Y723" s="3710"/>
      <c r="Z723" s="3710"/>
      <c r="AA723" s="3710"/>
      <c r="AB723" s="3710"/>
      <c r="AC723" s="3710"/>
    </row>
    <row r="724" spans="1:29">
      <c r="A724" s="3710"/>
      <c r="B724" s="3710"/>
      <c r="C724" s="3710"/>
      <c r="D724" s="3710"/>
      <c r="E724" s="3710"/>
      <c r="F724" s="3710"/>
      <c r="G724" s="3710"/>
      <c r="H724" s="3710"/>
      <c r="I724" s="3710"/>
      <c r="J724" s="3710"/>
      <c r="K724" s="3711"/>
      <c r="L724" s="3712"/>
      <c r="M724" s="3710"/>
      <c r="N724" s="3710"/>
      <c r="O724" s="3710"/>
      <c r="P724" s="3752"/>
      <c r="Q724" s="3710"/>
      <c r="R724" s="3710"/>
      <c r="S724" s="3710"/>
      <c r="T724" s="3710"/>
      <c r="U724" s="3710"/>
      <c r="V724" s="3710"/>
      <c r="W724" s="3710"/>
      <c r="X724" s="3710"/>
      <c r="Y724" s="3710"/>
      <c r="Z724" s="3710"/>
      <c r="AA724" s="3710"/>
      <c r="AB724" s="3710"/>
      <c r="AC724" s="3710"/>
    </row>
    <row r="725" spans="1:29">
      <c r="A725" s="3710"/>
      <c r="B725" s="3710"/>
      <c r="C725" s="3710"/>
      <c r="D725" s="3710"/>
      <c r="E725" s="3710"/>
      <c r="F725" s="3710"/>
      <c r="G725" s="3710"/>
      <c r="H725" s="3710"/>
      <c r="I725" s="3710"/>
      <c r="J725" s="3710"/>
      <c r="K725" s="3711"/>
      <c r="L725" s="3712"/>
      <c r="M725" s="3710"/>
      <c r="N725" s="3710"/>
      <c r="O725" s="3710"/>
      <c r="P725" s="3752"/>
      <c r="Q725" s="3710"/>
      <c r="R725" s="3710"/>
      <c r="S725" s="3710"/>
      <c r="T725" s="3710"/>
      <c r="U725" s="3710"/>
      <c r="V725" s="3710"/>
      <c r="W725" s="3710"/>
      <c r="X725" s="3710"/>
      <c r="Y725" s="3710"/>
      <c r="Z725" s="3710"/>
      <c r="AA725" s="3710"/>
      <c r="AB725" s="3710"/>
      <c r="AC725" s="3710"/>
    </row>
    <row r="726" spans="1:29">
      <c r="A726" s="3710"/>
      <c r="B726" s="3710"/>
      <c r="C726" s="3710"/>
      <c r="D726" s="3710"/>
      <c r="E726" s="3710"/>
      <c r="F726" s="3710"/>
      <c r="G726" s="3710"/>
      <c r="H726" s="3710"/>
      <c r="I726" s="3710"/>
      <c r="J726" s="3710"/>
      <c r="K726" s="3711"/>
      <c r="L726" s="3712"/>
      <c r="M726" s="3710"/>
      <c r="N726" s="3710"/>
      <c r="O726" s="3710"/>
      <c r="P726" s="3752"/>
      <c r="Q726" s="3710"/>
      <c r="R726" s="3710"/>
      <c r="S726" s="3710"/>
      <c r="T726" s="3710"/>
      <c r="U726" s="3710"/>
      <c r="V726" s="3710"/>
      <c r="W726" s="3710"/>
      <c r="X726" s="3710"/>
      <c r="Y726" s="3710"/>
      <c r="Z726" s="3710"/>
      <c r="AA726" s="3710"/>
      <c r="AB726" s="3710"/>
      <c r="AC726" s="3710"/>
    </row>
    <row r="727" spans="1:29">
      <c r="A727" s="3710"/>
      <c r="B727" s="3710"/>
      <c r="C727" s="3710"/>
      <c r="D727" s="3710"/>
      <c r="E727" s="3710"/>
      <c r="F727" s="3710"/>
      <c r="G727" s="3710"/>
      <c r="H727" s="3710"/>
      <c r="I727" s="3710"/>
      <c r="J727" s="3710"/>
      <c r="K727" s="3711"/>
      <c r="L727" s="3712"/>
      <c r="M727" s="3710"/>
      <c r="N727" s="3710"/>
      <c r="O727" s="3710"/>
      <c r="P727" s="3752"/>
      <c r="Q727" s="3710"/>
      <c r="R727" s="3710"/>
      <c r="S727" s="3710"/>
      <c r="T727" s="3710"/>
      <c r="U727" s="3710"/>
      <c r="V727" s="3710"/>
      <c r="W727" s="3710"/>
      <c r="X727" s="3710"/>
      <c r="Y727" s="3710"/>
      <c r="Z727" s="3710"/>
      <c r="AA727" s="3710"/>
      <c r="AB727" s="3710"/>
      <c r="AC727" s="3710"/>
    </row>
    <row r="728" spans="1:29">
      <c r="A728" s="3710"/>
      <c r="B728" s="3710"/>
      <c r="C728" s="3710"/>
      <c r="D728" s="3710"/>
      <c r="E728" s="3710"/>
      <c r="F728" s="3710"/>
      <c r="G728" s="3710"/>
      <c r="H728" s="3710"/>
      <c r="I728" s="3710"/>
      <c r="J728" s="3710"/>
      <c r="K728" s="3711"/>
      <c r="L728" s="3712"/>
      <c r="M728" s="3710"/>
      <c r="N728" s="3710"/>
      <c r="O728" s="3710"/>
      <c r="P728" s="3752"/>
      <c r="Q728" s="3710"/>
      <c r="R728" s="3710"/>
      <c r="S728" s="3710"/>
      <c r="T728" s="3710"/>
      <c r="U728" s="3710"/>
      <c r="V728" s="3710"/>
      <c r="W728" s="3710"/>
      <c r="X728" s="3710"/>
      <c r="Y728" s="3710"/>
      <c r="Z728" s="3710"/>
      <c r="AA728" s="3710"/>
      <c r="AB728" s="3710"/>
      <c r="AC728" s="3710"/>
    </row>
    <row r="729" spans="1:29">
      <c r="A729" s="3710"/>
      <c r="B729" s="3710"/>
      <c r="C729" s="3710"/>
      <c r="D729" s="3710"/>
      <c r="E729" s="3710"/>
      <c r="F729" s="3710"/>
      <c r="G729" s="3710"/>
      <c r="H729" s="3710"/>
      <c r="I729" s="3710"/>
      <c r="J729" s="3710"/>
      <c r="K729" s="3711"/>
      <c r="L729" s="3712"/>
      <c r="M729" s="3710"/>
      <c r="N729" s="3710"/>
      <c r="O729" s="3710"/>
      <c r="P729" s="3752"/>
      <c r="Q729" s="3710"/>
      <c r="R729" s="3710"/>
      <c r="S729" s="3710"/>
      <c r="T729" s="3710"/>
      <c r="U729" s="3710"/>
      <c r="V729" s="3710"/>
      <c r="W729" s="3710"/>
      <c r="X729" s="3710"/>
      <c r="Y729" s="3710"/>
      <c r="Z729" s="3710"/>
      <c r="AA729" s="3710"/>
      <c r="AB729" s="3710"/>
      <c r="AC729" s="3710"/>
    </row>
    <row r="730" spans="1:29">
      <c r="A730" s="3710"/>
      <c r="B730" s="3710"/>
      <c r="C730" s="3710"/>
      <c r="D730" s="3710"/>
      <c r="E730" s="3710"/>
      <c r="F730" s="3710"/>
      <c r="G730" s="3710"/>
      <c r="H730" s="3710"/>
      <c r="I730" s="3710"/>
      <c r="J730" s="3710"/>
      <c r="K730" s="3711"/>
      <c r="L730" s="3712"/>
      <c r="M730" s="3710"/>
      <c r="N730" s="3710"/>
      <c r="O730" s="3710"/>
      <c r="P730" s="3752"/>
      <c r="Q730" s="3710"/>
      <c r="R730" s="3710"/>
      <c r="S730" s="3710"/>
      <c r="T730" s="3710"/>
      <c r="U730" s="3710"/>
      <c r="V730" s="3710"/>
      <c r="W730" s="3710"/>
      <c r="X730" s="3710"/>
      <c r="Y730" s="3710"/>
      <c r="Z730" s="3710"/>
      <c r="AA730" s="3710"/>
      <c r="AB730" s="3710"/>
      <c r="AC730" s="3710"/>
    </row>
    <row r="731" spans="1:29">
      <c r="A731" s="3710"/>
      <c r="B731" s="3710"/>
      <c r="C731" s="3710"/>
      <c r="D731" s="3710"/>
      <c r="E731" s="3710"/>
      <c r="F731" s="3710"/>
      <c r="G731" s="3710"/>
      <c r="H731" s="3710"/>
      <c r="I731" s="3710"/>
      <c r="J731" s="3710"/>
      <c r="K731" s="3711"/>
      <c r="L731" s="3712"/>
      <c r="M731" s="3710"/>
      <c r="N731" s="3710"/>
      <c r="O731" s="3710"/>
      <c r="P731" s="3752"/>
      <c r="Q731" s="3710"/>
      <c r="R731" s="3710"/>
      <c r="S731" s="3710"/>
      <c r="T731" s="3710"/>
      <c r="U731" s="3710"/>
      <c r="V731" s="3710"/>
      <c r="W731" s="3710"/>
      <c r="X731" s="3710"/>
      <c r="Y731" s="3710"/>
      <c r="Z731" s="3710"/>
      <c r="AA731" s="3710"/>
      <c r="AB731" s="3710"/>
      <c r="AC731" s="3710"/>
    </row>
    <row r="732" spans="1:29">
      <c r="A732" s="3710"/>
      <c r="B732" s="3710"/>
      <c r="C732" s="3710"/>
      <c r="D732" s="3710"/>
      <c r="E732" s="3710"/>
      <c r="F732" s="3710"/>
      <c r="G732" s="3710"/>
      <c r="H732" s="3710"/>
      <c r="I732" s="3710"/>
      <c r="J732" s="3710"/>
      <c r="K732" s="3711"/>
      <c r="L732" s="3712"/>
      <c r="M732" s="3710"/>
      <c r="N732" s="3710"/>
      <c r="O732" s="3710"/>
      <c r="P732" s="3752"/>
      <c r="Q732" s="3710"/>
      <c r="R732" s="3710"/>
      <c r="S732" s="3710"/>
      <c r="T732" s="3710"/>
      <c r="U732" s="3710"/>
      <c r="V732" s="3710"/>
      <c r="W732" s="3710"/>
      <c r="X732" s="3710"/>
      <c r="Y732" s="3710"/>
      <c r="Z732" s="3710"/>
      <c r="AA732" s="3710"/>
      <c r="AB732" s="3710"/>
      <c r="AC732" s="3710"/>
    </row>
    <row r="733" spans="1:29">
      <c r="A733" s="3710"/>
      <c r="B733" s="3710"/>
      <c r="C733" s="3710"/>
      <c r="D733" s="3710"/>
      <c r="E733" s="3710"/>
      <c r="F733" s="3710"/>
      <c r="G733" s="3710"/>
      <c r="H733" s="3710"/>
      <c r="I733" s="3710"/>
      <c r="J733" s="3710"/>
      <c r="K733" s="3711"/>
      <c r="L733" s="3712"/>
      <c r="M733" s="3710"/>
      <c r="N733" s="3710"/>
      <c r="O733" s="3710"/>
      <c r="P733" s="3752"/>
      <c r="Q733" s="3710"/>
      <c r="R733" s="3710"/>
      <c r="S733" s="3710"/>
      <c r="T733" s="3710"/>
      <c r="U733" s="3710"/>
      <c r="V733" s="3710"/>
      <c r="W733" s="3710"/>
      <c r="X733" s="3710"/>
      <c r="Y733" s="3710"/>
      <c r="Z733" s="3710"/>
      <c r="AA733" s="3710"/>
      <c r="AB733" s="3710"/>
      <c r="AC733" s="3710"/>
    </row>
    <row r="734" spans="1:29">
      <c r="A734" s="3710"/>
      <c r="B734" s="3710"/>
      <c r="C734" s="3710"/>
      <c r="D734" s="3710"/>
      <c r="E734" s="3710"/>
      <c r="F734" s="3710"/>
      <c r="G734" s="3710"/>
      <c r="H734" s="3710"/>
      <c r="I734" s="3710"/>
      <c r="J734" s="3710"/>
      <c r="K734" s="3711"/>
      <c r="L734" s="3712"/>
      <c r="M734" s="3710"/>
      <c r="N734" s="3710"/>
      <c r="O734" s="3710"/>
      <c r="P734" s="3752"/>
      <c r="Q734" s="3710"/>
      <c r="R734" s="3710"/>
      <c r="S734" s="3710"/>
      <c r="T734" s="3710"/>
      <c r="U734" s="3710"/>
      <c r="V734" s="3710"/>
      <c r="W734" s="3710"/>
      <c r="X734" s="3710"/>
      <c r="Y734" s="3710"/>
      <c r="Z734" s="3710"/>
      <c r="AA734" s="3710"/>
      <c r="AB734" s="3710"/>
      <c r="AC734" s="3710"/>
    </row>
    <row r="735" spans="1:29">
      <c r="A735" s="3710"/>
      <c r="B735" s="3710"/>
      <c r="C735" s="3710"/>
      <c r="D735" s="3710"/>
      <c r="E735" s="3710"/>
      <c r="F735" s="3710"/>
      <c r="G735" s="3710"/>
      <c r="H735" s="3710"/>
      <c r="I735" s="3710"/>
      <c r="J735" s="3710"/>
      <c r="K735" s="3711"/>
      <c r="L735" s="3712"/>
      <c r="M735" s="3710"/>
      <c r="N735" s="3710"/>
      <c r="O735" s="3710"/>
      <c r="P735" s="3752"/>
      <c r="Q735" s="3710"/>
      <c r="R735" s="3710"/>
      <c r="S735" s="3710"/>
      <c r="T735" s="3710"/>
      <c r="U735" s="3710"/>
      <c r="V735" s="3710"/>
      <c r="W735" s="3710"/>
      <c r="X735" s="3710"/>
      <c r="Y735" s="3710"/>
      <c r="Z735" s="3710"/>
      <c r="AA735" s="3710"/>
      <c r="AB735" s="3710"/>
      <c r="AC735" s="3710"/>
    </row>
    <row r="736" spans="1:29">
      <c r="A736" s="3710"/>
      <c r="B736" s="3710"/>
      <c r="C736" s="3710"/>
      <c r="D736" s="3710"/>
      <c r="E736" s="3710"/>
      <c r="F736" s="3710"/>
      <c r="G736" s="3710"/>
      <c r="H736" s="3710"/>
      <c r="I736" s="3710"/>
      <c r="J736" s="3710"/>
      <c r="K736" s="3711"/>
      <c r="L736" s="3712"/>
      <c r="M736" s="3710"/>
      <c r="N736" s="3710"/>
      <c r="O736" s="3710"/>
      <c r="P736" s="3752"/>
      <c r="Q736" s="3710"/>
      <c r="R736" s="3710"/>
      <c r="S736" s="3710"/>
      <c r="T736" s="3710"/>
      <c r="U736" s="3710"/>
      <c r="V736" s="3710"/>
      <c r="W736" s="3710"/>
      <c r="X736" s="3710"/>
      <c r="Y736" s="3710"/>
      <c r="Z736" s="3710"/>
      <c r="AA736" s="3710"/>
      <c r="AB736" s="3710"/>
      <c r="AC736" s="3710"/>
    </row>
    <row r="737" spans="1:29">
      <c r="A737" s="3710"/>
      <c r="B737" s="3710"/>
      <c r="C737" s="3710"/>
      <c r="D737" s="3710"/>
      <c r="E737" s="3710"/>
      <c r="F737" s="3710"/>
      <c r="G737" s="3710"/>
      <c r="H737" s="3710"/>
      <c r="I737" s="3710"/>
      <c r="J737" s="3710"/>
      <c r="K737" s="3711"/>
      <c r="L737" s="3712"/>
      <c r="M737" s="3710"/>
      <c r="N737" s="3710"/>
      <c r="O737" s="3710"/>
      <c r="P737" s="3752"/>
      <c r="Q737" s="3710"/>
      <c r="R737" s="3710"/>
      <c r="S737" s="3710"/>
      <c r="T737" s="3710"/>
      <c r="U737" s="3710"/>
      <c r="V737" s="3710"/>
      <c r="W737" s="3710"/>
      <c r="X737" s="3710"/>
      <c r="Y737" s="3710"/>
      <c r="Z737" s="3710"/>
      <c r="AA737" s="3710"/>
      <c r="AB737" s="3710"/>
      <c r="AC737" s="3710"/>
    </row>
    <row r="738" spans="1:29">
      <c r="A738" s="3710"/>
      <c r="B738" s="3710"/>
      <c r="C738" s="3710"/>
      <c r="D738" s="3710"/>
      <c r="E738" s="3710"/>
      <c r="F738" s="3710"/>
      <c r="G738" s="3710"/>
      <c r="H738" s="3710"/>
      <c r="I738" s="3710"/>
      <c r="J738" s="3710"/>
      <c r="K738" s="3711"/>
      <c r="L738" s="3712"/>
      <c r="M738" s="3710"/>
      <c r="N738" s="3710"/>
      <c r="O738" s="3710"/>
      <c r="P738" s="3752"/>
      <c r="Q738" s="3710"/>
      <c r="R738" s="3710"/>
      <c r="S738" s="3710"/>
      <c r="T738" s="3710"/>
      <c r="U738" s="3710"/>
      <c r="V738" s="3710"/>
      <c r="W738" s="3710"/>
      <c r="X738" s="3710"/>
      <c r="Y738" s="3710"/>
      <c r="Z738" s="3710"/>
      <c r="AA738" s="3710"/>
      <c r="AB738" s="3710"/>
      <c r="AC738" s="3710"/>
    </row>
    <row r="739" spans="1:29">
      <c r="A739" s="3710"/>
      <c r="B739" s="3710"/>
      <c r="C739" s="3710"/>
      <c r="D739" s="3710"/>
      <c r="E739" s="3710"/>
      <c r="F739" s="3710"/>
      <c r="G739" s="3710"/>
      <c r="H739" s="3710"/>
      <c r="I739" s="3710"/>
      <c r="J739" s="3710"/>
      <c r="K739" s="3711"/>
      <c r="L739" s="3712"/>
      <c r="M739" s="3710"/>
      <c r="N739" s="3710"/>
      <c r="O739" s="3710"/>
      <c r="P739" s="3752"/>
      <c r="Q739" s="3710"/>
      <c r="R739" s="3710"/>
      <c r="S739" s="3710"/>
      <c r="T739" s="3710"/>
      <c r="U739" s="3710"/>
      <c r="V739" s="3710"/>
      <c r="W739" s="3710"/>
      <c r="X739" s="3710"/>
      <c r="Y739" s="3710"/>
      <c r="Z739" s="3710"/>
      <c r="AA739" s="3710"/>
      <c r="AB739" s="3710"/>
      <c r="AC739" s="3710"/>
    </row>
    <row r="740" spans="1:29">
      <c r="A740" s="3710"/>
      <c r="B740" s="3710"/>
      <c r="C740" s="3710"/>
      <c r="D740" s="3710"/>
      <c r="E740" s="3710"/>
      <c r="F740" s="3710"/>
      <c r="G740" s="3710"/>
      <c r="H740" s="3710"/>
      <c r="I740" s="3710"/>
      <c r="J740" s="3710"/>
      <c r="K740" s="3711"/>
      <c r="L740" s="3712"/>
      <c r="M740" s="3710"/>
      <c r="N740" s="3710"/>
      <c r="O740" s="3710"/>
      <c r="P740" s="3752"/>
      <c r="Q740" s="3710"/>
      <c r="R740" s="3710"/>
      <c r="S740" s="3710"/>
      <c r="T740" s="3710"/>
      <c r="U740" s="3710"/>
      <c r="V740" s="3710"/>
      <c r="W740" s="3710"/>
      <c r="X740" s="3710"/>
      <c r="Y740" s="3710"/>
      <c r="Z740" s="3710"/>
      <c r="AA740" s="3710"/>
      <c r="AB740" s="3710"/>
      <c r="AC740" s="3710"/>
    </row>
    <row r="741" spans="1:29">
      <c r="A741" s="3710"/>
      <c r="B741" s="3710"/>
      <c r="C741" s="3710"/>
      <c r="D741" s="3710"/>
      <c r="E741" s="3710"/>
      <c r="F741" s="3710"/>
      <c r="G741" s="3710"/>
      <c r="H741" s="3710"/>
      <c r="I741" s="3710"/>
      <c r="J741" s="3710"/>
      <c r="K741" s="3711"/>
      <c r="L741" s="3712"/>
      <c r="M741" s="3710"/>
      <c r="N741" s="3710"/>
      <c r="O741" s="3710"/>
      <c r="P741" s="3752"/>
      <c r="Q741" s="3710"/>
      <c r="R741" s="3710"/>
      <c r="S741" s="3710"/>
      <c r="T741" s="3710"/>
      <c r="U741" s="3710"/>
      <c r="V741" s="3710"/>
      <c r="W741" s="3710"/>
      <c r="X741" s="3710"/>
      <c r="Y741" s="3710"/>
      <c r="Z741" s="3710"/>
      <c r="AA741" s="3710"/>
      <c r="AB741" s="3710"/>
      <c r="AC741" s="3710"/>
    </row>
    <row r="742" spans="1:29">
      <c r="A742" s="3710"/>
      <c r="B742" s="3710"/>
      <c r="C742" s="3710"/>
      <c r="D742" s="3710"/>
      <c r="E742" s="3710"/>
      <c r="F742" s="3710"/>
      <c r="G742" s="3710"/>
      <c r="H742" s="3710"/>
      <c r="I742" s="3710"/>
      <c r="J742" s="3710"/>
      <c r="K742" s="3711"/>
      <c r="L742" s="3712"/>
      <c r="M742" s="3710"/>
      <c r="N742" s="3710"/>
      <c r="O742" s="3710"/>
      <c r="P742" s="3752"/>
      <c r="Q742" s="3710"/>
      <c r="R742" s="3710"/>
      <c r="S742" s="3710"/>
      <c r="T742" s="3710"/>
      <c r="U742" s="3710"/>
      <c r="V742" s="3710"/>
      <c r="W742" s="3710"/>
      <c r="X742" s="3710"/>
      <c r="Y742" s="3710"/>
      <c r="Z742" s="3710"/>
      <c r="AA742" s="3710"/>
      <c r="AB742" s="3710"/>
      <c r="AC742" s="3710"/>
    </row>
    <row r="743" spans="1:29">
      <c r="A743" s="3710"/>
      <c r="B743" s="3710"/>
      <c r="C743" s="3710"/>
      <c r="D743" s="3710"/>
      <c r="E743" s="3710"/>
      <c r="F743" s="3710"/>
      <c r="G743" s="3710"/>
      <c r="H743" s="3710"/>
      <c r="I743" s="3710"/>
      <c r="J743" s="3710"/>
      <c r="K743" s="3711"/>
      <c r="L743" s="3712"/>
      <c r="M743" s="3710"/>
      <c r="N743" s="3710"/>
      <c r="O743" s="3710"/>
      <c r="P743" s="3752"/>
      <c r="Q743" s="3710"/>
      <c r="R743" s="3710"/>
      <c r="S743" s="3710"/>
      <c r="T743" s="3710"/>
      <c r="U743" s="3710"/>
      <c r="V743" s="3710"/>
      <c r="W743" s="3710"/>
      <c r="X743" s="3710"/>
      <c r="Y743" s="3710"/>
      <c r="Z743" s="3710"/>
      <c r="AA743" s="3710"/>
      <c r="AB743" s="3710"/>
      <c r="AC743" s="3710"/>
    </row>
    <row r="744" spans="1:29">
      <c r="A744" s="3710"/>
      <c r="B744" s="3710"/>
      <c r="C744" s="3710"/>
      <c r="D744" s="3710"/>
      <c r="E744" s="3710"/>
      <c r="F744" s="3710"/>
      <c r="G744" s="3710"/>
      <c r="H744" s="3710"/>
      <c r="I744" s="3710"/>
      <c r="J744" s="3710"/>
      <c r="K744" s="3711"/>
      <c r="L744" s="3712"/>
      <c r="M744" s="3710"/>
      <c r="N744" s="3710"/>
      <c r="O744" s="3710"/>
      <c r="P744" s="3752"/>
      <c r="Q744" s="3710"/>
      <c r="R744" s="3710"/>
      <c r="S744" s="3710"/>
      <c r="T744" s="3710"/>
      <c r="U744" s="3710"/>
      <c r="V744" s="3710"/>
      <c r="W744" s="3710"/>
      <c r="X744" s="3710"/>
      <c r="Y744" s="3710"/>
      <c r="Z744" s="3710"/>
      <c r="AA744" s="3710"/>
      <c r="AB744" s="3710"/>
      <c r="AC744" s="3710"/>
    </row>
    <row r="745" spans="1:29">
      <c r="A745" s="3710"/>
      <c r="B745" s="3710"/>
      <c r="C745" s="3710"/>
      <c r="D745" s="3710"/>
      <c r="E745" s="3710"/>
      <c r="F745" s="3710"/>
      <c r="G745" s="3710"/>
      <c r="H745" s="3710"/>
      <c r="I745" s="3710"/>
      <c r="J745" s="3710"/>
      <c r="K745" s="3711"/>
      <c r="L745" s="3712"/>
      <c r="M745" s="3710"/>
      <c r="N745" s="3710"/>
      <c r="O745" s="3710"/>
      <c r="P745" s="3752"/>
      <c r="Q745" s="3710"/>
      <c r="R745" s="3710"/>
      <c r="S745" s="3710"/>
      <c r="T745" s="3710"/>
      <c r="U745" s="3710"/>
      <c r="V745" s="3710"/>
      <c r="W745" s="3710"/>
      <c r="X745" s="3710"/>
      <c r="Y745" s="3710"/>
      <c r="Z745" s="3710"/>
      <c r="AA745" s="3710"/>
      <c r="AB745" s="3710"/>
      <c r="AC745" s="3710"/>
    </row>
    <row r="746" spans="1:29">
      <c r="A746" s="3710"/>
      <c r="B746" s="3710"/>
      <c r="C746" s="3710"/>
      <c r="D746" s="3710"/>
      <c r="E746" s="3710"/>
      <c r="F746" s="3710"/>
      <c r="G746" s="3710"/>
      <c r="H746" s="3710"/>
      <c r="I746" s="3710"/>
      <c r="J746" s="3710"/>
      <c r="K746" s="3711"/>
      <c r="L746" s="3712"/>
      <c r="M746" s="3710"/>
      <c r="N746" s="3710"/>
      <c r="O746" s="3710"/>
      <c r="P746" s="3752"/>
      <c r="Q746" s="3710"/>
      <c r="R746" s="3710"/>
      <c r="S746" s="3710"/>
      <c r="T746" s="3710"/>
      <c r="U746" s="3710"/>
      <c r="V746" s="3710"/>
      <c r="W746" s="3710"/>
      <c r="X746" s="3710"/>
      <c r="Y746" s="3710"/>
      <c r="Z746" s="3710"/>
      <c r="AA746" s="3710"/>
      <c r="AB746" s="3710"/>
      <c r="AC746" s="3710"/>
    </row>
    <row r="747" spans="1:29">
      <c r="A747" s="3710"/>
      <c r="B747" s="3710"/>
      <c r="C747" s="3710"/>
      <c r="D747" s="3710"/>
      <c r="E747" s="3710"/>
      <c r="F747" s="3710"/>
      <c r="G747" s="3710"/>
      <c r="H747" s="3710"/>
      <c r="I747" s="3710"/>
      <c r="J747" s="3710"/>
      <c r="K747" s="3711"/>
      <c r="L747" s="3712"/>
      <c r="M747" s="3710"/>
      <c r="N747" s="3710"/>
      <c r="O747" s="3710"/>
      <c r="P747" s="3752"/>
      <c r="Q747" s="3710"/>
      <c r="R747" s="3710"/>
      <c r="S747" s="3710"/>
      <c r="T747" s="3710"/>
      <c r="U747" s="3710"/>
      <c r="V747" s="3710"/>
      <c r="W747" s="3710"/>
      <c r="X747" s="3710"/>
      <c r="Y747" s="3710"/>
      <c r="Z747" s="3710"/>
      <c r="AA747" s="3710"/>
      <c r="AB747" s="3710"/>
      <c r="AC747" s="3710"/>
    </row>
    <row r="748" spans="1:29">
      <c r="A748" s="3710"/>
      <c r="B748" s="3710"/>
      <c r="C748" s="3710"/>
      <c r="D748" s="3710"/>
      <c r="E748" s="3710"/>
      <c r="F748" s="3710"/>
      <c r="G748" s="3710"/>
      <c r="H748" s="3710"/>
      <c r="I748" s="3710"/>
      <c r="J748" s="3710"/>
      <c r="K748" s="3711"/>
      <c r="L748" s="3712"/>
      <c r="M748" s="3710"/>
      <c r="N748" s="3710"/>
      <c r="O748" s="3710"/>
      <c r="P748" s="3752"/>
      <c r="Q748" s="3710"/>
      <c r="R748" s="3710"/>
      <c r="S748" s="3710"/>
      <c r="T748" s="3710"/>
      <c r="U748" s="3710"/>
      <c r="V748" s="3710"/>
      <c r="W748" s="3710"/>
      <c r="X748" s="3710"/>
      <c r="Y748" s="3710"/>
      <c r="Z748" s="3710"/>
      <c r="AA748" s="3710"/>
      <c r="AB748" s="3710"/>
      <c r="AC748" s="3710"/>
    </row>
    <row r="749" spans="1:29">
      <c r="A749" s="3710"/>
      <c r="B749" s="3710"/>
      <c r="C749" s="3710"/>
      <c r="D749" s="3710"/>
      <c r="E749" s="3710"/>
      <c r="F749" s="3710"/>
      <c r="G749" s="3710"/>
      <c r="H749" s="3710"/>
      <c r="I749" s="3710"/>
      <c r="J749" s="3710"/>
      <c r="K749" s="3711"/>
      <c r="L749" s="3712"/>
      <c r="M749" s="3710"/>
      <c r="N749" s="3710"/>
      <c r="O749" s="3710"/>
      <c r="P749" s="3752"/>
      <c r="Q749" s="3710"/>
      <c r="R749" s="3710"/>
      <c r="S749" s="3710"/>
      <c r="T749" s="3710"/>
      <c r="U749" s="3710"/>
      <c r="V749" s="3710"/>
      <c r="W749" s="3710"/>
      <c r="X749" s="3710"/>
      <c r="Y749" s="3710"/>
      <c r="Z749" s="3710"/>
      <c r="AA749" s="3710"/>
      <c r="AB749" s="3710"/>
      <c r="AC749" s="3710"/>
    </row>
    <row r="750" spans="1:29">
      <c r="A750" s="3710"/>
      <c r="B750" s="3710"/>
      <c r="C750" s="3710"/>
      <c r="D750" s="3710"/>
      <c r="E750" s="3710"/>
      <c r="F750" s="3710"/>
      <c r="G750" s="3710"/>
      <c r="H750" s="3710"/>
      <c r="I750" s="3710"/>
      <c r="J750" s="3710"/>
      <c r="K750" s="3711"/>
      <c r="L750" s="3712"/>
      <c r="M750" s="3710"/>
      <c r="N750" s="3710"/>
      <c r="O750" s="3710"/>
      <c r="P750" s="3752"/>
      <c r="Q750" s="3710"/>
      <c r="R750" s="3710"/>
      <c r="S750" s="3710"/>
      <c r="T750" s="3710"/>
      <c r="U750" s="3710"/>
      <c r="V750" s="3710"/>
      <c r="W750" s="3710"/>
      <c r="X750" s="3710"/>
      <c r="Y750" s="3710"/>
      <c r="Z750" s="3710"/>
      <c r="AA750" s="3710"/>
      <c r="AB750" s="3710"/>
      <c r="AC750" s="3710"/>
    </row>
    <row r="751" spans="1:29">
      <c r="A751" s="3710"/>
      <c r="B751" s="3710"/>
      <c r="C751" s="3710"/>
      <c r="D751" s="3710"/>
      <c r="E751" s="3710"/>
      <c r="F751" s="3710"/>
      <c r="G751" s="3710"/>
      <c r="H751" s="3710"/>
      <c r="I751" s="3710"/>
      <c r="J751" s="3710"/>
      <c r="K751" s="3711"/>
      <c r="L751" s="3712"/>
      <c r="M751" s="3710"/>
      <c r="N751" s="3710"/>
      <c r="O751" s="3710"/>
      <c r="P751" s="3752"/>
      <c r="Q751" s="3710"/>
      <c r="R751" s="3710"/>
      <c r="S751" s="3710"/>
      <c r="T751" s="3710"/>
      <c r="U751" s="3710"/>
      <c r="V751" s="3710"/>
      <c r="W751" s="3710"/>
      <c r="X751" s="3710"/>
      <c r="Y751" s="3710"/>
      <c r="Z751" s="3710"/>
      <c r="AA751" s="3710"/>
      <c r="AB751" s="3710"/>
      <c r="AC751" s="3710"/>
    </row>
    <row r="752" spans="1:29">
      <c r="A752" s="3710"/>
      <c r="B752" s="3710"/>
      <c r="C752" s="3710"/>
      <c r="D752" s="3710"/>
      <c r="E752" s="3710"/>
      <c r="F752" s="3710"/>
      <c r="G752" s="3710"/>
      <c r="H752" s="3710"/>
      <c r="I752" s="3710"/>
      <c r="J752" s="3710"/>
      <c r="K752" s="3711"/>
      <c r="L752" s="3712"/>
      <c r="M752" s="3710"/>
      <c r="N752" s="3710"/>
      <c r="O752" s="3710"/>
      <c r="P752" s="3752"/>
      <c r="Q752" s="3710"/>
      <c r="R752" s="3710"/>
      <c r="S752" s="3710"/>
      <c r="T752" s="3710"/>
      <c r="U752" s="3710"/>
      <c r="V752" s="3710"/>
      <c r="W752" s="3710"/>
      <c r="X752" s="3710"/>
      <c r="Y752" s="3710"/>
      <c r="Z752" s="3710"/>
      <c r="AA752" s="3710"/>
      <c r="AB752" s="3710"/>
      <c r="AC752" s="3710"/>
    </row>
    <row r="753" spans="1:29">
      <c r="A753" s="3710"/>
      <c r="B753" s="3710"/>
      <c r="C753" s="3710"/>
      <c r="D753" s="3710"/>
      <c r="E753" s="3710"/>
      <c r="F753" s="3710"/>
      <c r="G753" s="3710"/>
      <c r="H753" s="3710"/>
      <c r="I753" s="3710"/>
      <c r="J753" s="3710"/>
      <c r="K753" s="3711"/>
      <c r="L753" s="3712"/>
      <c r="M753" s="3710"/>
      <c r="N753" s="3710"/>
      <c r="O753" s="3710"/>
      <c r="P753" s="3752"/>
      <c r="Q753" s="3710"/>
      <c r="R753" s="3710"/>
      <c r="S753" s="3710"/>
      <c r="T753" s="3710"/>
      <c r="U753" s="3710"/>
      <c r="V753" s="3710"/>
      <c r="W753" s="3710"/>
      <c r="X753" s="3710"/>
      <c r="Y753" s="3710"/>
      <c r="Z753" s="3710"/>
      <c r="AA753" s="3710"/>
      <c r="AB753" s="3710"/>
      <c r="AC753" s="3710"/>
    </row>
    <row r="754" spans="1:29">
      <c r="A754" s="3710"/>
      <c r="B754" s="3710"/>
      <c r="C754" s="3710"/>
      <c r="D754" s="3710"/>
      <c r="E754" s="3710"/>
      <c r="F754" s="3710"/>
      <c r="G754" s="3710"/>
      <c r="H754" s="3710"/>
      <c r="I754" s="3710"/>
      <c r="J754" s="3710"/>
      <c r="K754" s="3711"/>
      <c r="L754" s="3712"/>
      <c r="M754" s="3710"/>
      <c r="N754" s="3710"/>
      <c r="O754" s="3710"/>
      <c r="P754" s="3752"/>
      <c r="Q754" s="3710"/>
      <c r="R754" s="3710"/>
      <c r="S754" s="3710"/>
      <c r="T754" s="3710"/>
      <c r="U754" s="3710"/>
      <c r="V754" s="3710"/>
      <c r="W754" s="3710"/>
      <c r="X754" s="3710"/>
      <c r="Y754" s="3710"/>
      <c r="Z754" s="3710"/>
      <c r="AA754" s="3710"/>
      <c r="AB754" s="3710"/>
      <c r="AC754" s="3710"/>
    </row>
    <row r="755" spans="1:29">
      <c r="A755" s="3710"/>
      <c r="B755" s="3710"/>
      <c r="C755" s="3710"/>
      <c r="D755" s="3710"/>
      <c r="E755" s="3710"/>
      <c r="F755" s="3710"/>
      <c r="G755" s="3710"/>
      <c r="H755" s="3710"/>
      <c r="I755" s="3710"/>
      <c r="J755" s="3710"/>
      <c r="K755" s="3711"/>
      <c r="L755" s="3712"/>
      <c r="M755" s="3710"/>
      <c r="N755" s="3710"/>
      <c r="O755" s="3710"/>
      <c r="P755" s="3752"/>
      <c r="Q755" s="3710"/>
      <c r="R755" s="3710"/>
      <c r="S755" s="3710"/>
      <c r="T755" s="3710"/>
      <c r="U755" s="3710"/>
      <c r="V755" s="3710"/>
      <c r="W755" s="3710"/>
      <c r="X755" s="3710"/>
      <c r="Y755" s="3710"/>
      <c r="Z755" s="3710"/>
      <c r="AA755" s="3710"/>
      <c r="AB755" s="3710"/>
      <c r="AC755" s="3710"/>
    </row>
    <row r="756" spans="1:29">
      <c r="A756" s="3710"/>
      <c r="B756" s="3710"/>
      <c r="C756" s="3710"/>
      <c r="D756" s="3710"/>
      <c r="E756" s="3710"/>
      <c r="F756" s="3710"/>
      <c r="G756" s="3710"/>
      <c r="H756" s="3710"/>
      <c r="I756" s="3710"/>
      <c r="J756" s="3710"/>
      <c r="K756" s="3711"/>
      <c r="L756" s="3712"/>
      <c r="M756" s="3710"/>
      <c r="N756" s="3710"/>
      <c r="O756" s="3710"/>
      <c r="P756" s="3752"/>
      <c r="Q756" s="3710"/>
      <c r="R756" s="3710"/>
      <c r="S756" s="3710"/>
      <c r="T756" s="3710"/>
      <c r="U756" s="3710"/>
      <c r="V756" s="3710"/>
      <c r="W756" s="3710"/>
      <c r="X756" s="3710"/>
      <c r="Y756" s="3710"/>
      <c r="Z756" s="3710"/>
      <c r="AA756" s="3710"/>
      <c r="AB756" s="3710"/>
      <c r="AC756" s="3710"/>
    </row>
    <row r="757" spans="1:29">
      <c r="A757" s="3710"/>
      <c r="B757" s="3710"/>
      <c r="C757" s="3710"/>
      <c r="D757" s="3710"/>
      <c r="E757" s="3710"/>
      <c r="F757" s="3710"/>
      <c r="G757" s="3710"/>
      <c r="H757" s="3710"/>
      <c r="I757" s="3710"/>
      <c r="J757" s="3710"/>
      <c r="K757" s="3711"/>
      <c r="L757" s="3712"/>
      <c r="M757" s="3710"/>
      <c r="N757" s="3710"/>
      <c r="O757" s="3710"/>
      <c r="P757" s="3752"/>
      <c r="Q757" s="3710"/>
      <c r="R757" s="3710"/>
      <c r="S757" s="3710"/>
      <c r="T757" s="3710"/>
      <c r="U757" s="3710"/>
      <c r="V757" s="3710"/>
      <c r="W757" s="3710"/>
      <c r="X757" s="3710"/>
      <c r="Y757" s="3710"/>
      <c r="Z757" s="3710"/>
      <c r="AA757" s="3710"/>
      <c r="AB757" s="3710"/>
      <c r="AC757" s="3710"/>
    </row>
    <row r="758" spans="1:29">
      <c r="A758" s="3710"/>
      <c r="B758" s="3710"/>
      <c r="C758" s="3710"/>
      <c r="D758" s="3710"/>
      <c r="E758" s="3710"/>
      <c r="F758" s="3710"/>
      <c r="G758" s="3710"/>
      <c r="H758" s="3710"/>
      <c r="I758" s="3710"/>
      <c r="J758" s="3710"/>
      <c r="K758" s="3711"/>
      <c r="L758" s="3712"/>
      <c r="M758" s="3710"/>
      <c r="N758" s="3710"/>
      <c r="O758" s="3710"/>
      <c r="P758" s="3752"/>
      <c r="Q758" s="3710"/>
      <c r="R758" s="3710"/>
      <c r="S758" s="3710"/>
      <c r="T758" s="3710"/>
      <c r="U758" s="3710"/>
      <c r="V758" s="3710"/>
      <c r="W758" s="3710"/>
      <c r="X758" s="3710"/>
      <c r="Y758" s="3710"/>
      <c r="Z758" s="3710"/>
      <c r="AA758" s="3710"/>
      <c r="AB758" s="3710"/>
      <c r="AC758" s="3710"/>
    </row>
    <row r="759" spans="1:29">
      <c r="A759" s="3710"/>
      <c r="B759" s="3710"/>
      <c r="C759" s="3710"/>
      <c r="D759" s="3710"/>
      <c r="E759" s="3710"/>
      <c r="F759" s="3710"/>
      <c r="G759" s="3710"/>
      <c r="H759" s="3710"/>
      <c r="I759" s="3710"/>
      <c r="J759" s="3710"/>
      <c r="K759" s="3711"/>
      <c r="L759" s="3712"/>
      <c r="M759" s="3710"/>
      <c r="N759" s="3710"/>
      <c r="O759" s="3710"/>
      <c r="P759" s="3752"/>
      <c r="Q759" s="3710"/>
      <c r="R759" s="3710"/>
      <c r="S759" s="3710"/>
      <c r="T759" s="3710"/>
      <c r="U759" s="3710"/>
      <c r="V759" s="3710"/>
      <c r="W759" s="3710"/>
      <c r="X759" s="3710"/>
      <c r="Y759" s="3710"/>
      <c r="Z759" s="3710"/>
      <c r="AA759" s="3710"/>
      <c r="AB759" s="3710"/>
      <c r="AC759" s="3710"/>
    </row>
    <row r="760" spans="1:29">
      <c r="A760" s="3710"/>
      <c r="B760" s="3710"/>
      <c r="C760" s="3710"/>
      <c r="D760" s="3710"/>
      <c r="E760" s="3710"/>
      <c r="F760" s="3710"/>
      <c r="G760" s="3710"/>
      <c r="H760" s="3710"/>
      <c r="I760" s="3710"/>
      <c r="J760" s="3710"/>
      <c r="K760" s="3711"/>
      <c r="L760" s="3712"/>
      <c r="M760" s="3710"/>
      <c r="N760" s="3710"/>
      <c r="O760" s="3710"/>
      <c r="P760" s="3752"/>
      <c r="Q760" s="3710"/>
      <c r="R760" s="3710"/>
      <c r="S760" s="3710"/>
      <c r="T760" s="3710"/>
      <c r="U760" s="3710"/>
      <c r="V760" s="3710"/>
      <c r="W760" s="3710"/>
      <c r="X760" s="3710"/>
      <c r="Y760" s="3710"/>
      <c r="Z760" s="3710"/>
      <c r="AA760" s="3710"/>
      <c r="AB760" s="3710"/>
      <c r="AC760" s="3710"/>
    </row>
    <row r="761" spans="1:29">
      <c r="A761" s="3710"/>
      <c r="B761" s="3710"/>
      <c r="C761" s="3710"/>
      <c r="D761" s="3710"/>
      <c r="E761" s="3710"/>
      <c r="F761" s="3710"/>
      <c r="G761" s="3710"/>
      <c r="H761" s="3710"/>
      <c r="I761" s="3710"/>
      <c r="J761" s="3710"/>
      <c r="K761" s="3711"/>
      <c r="L761" s="3712"/>
      <c r="M761" s="3710"/>
      <c r="N761" s="3710"/>
      <c r="O761" s="3710"/>
      <c r="P761" s="3752"/>
      <c r="Q761" s="3710"/>
      <c r="R761" s="3710"/>
      <c r="S761" s="3710"/>
      <c r="T761" s="3710"/>
      <c r="U761" s="3710"/>
      <c r="V761" s="3710"/>
      <c r="W761" s="3710"/>
      <c r="X761" s="3710"/>
      <c r="Y761" s="3710"/>
      <c r="Z761" s="3710"/>
      <c r="AA761" s="3710"/>
      <c r="AB761" s="3710"/>
      <c r="AC761" s="3710"/>
    </row>
    <row r="762" spans="1:29">
      <c r="A762" s="3710"/>
      <c r="B762" s="3710"/>
      <c r="C762" s="3710"/>
      <c r="D762" s="3710"/>
      <c r="E762" s="3710"/>
      <c r="F762" s="3710"/>
      <c r="G762" s="3710"/>
      <c r="H762" s="3710"/>
      <c r="I762" s="3710"/>
      <c r="J762" s="3710"/>
      <c r="K762" s="3711"/>
      <c r="L762" s="3712"/>
      <c r="M762" s="3710"/>
      <c r="N762" s="3710"/>
      <c r="O762" s="3710"/>
      <c r="P762" s="3752"/>
      <c r="Q762" s="3710"/>
      <c r="R762" s="3710"/>
      <c r="S762" s="3710"/>
      <c r="T762" s="3710"/>
      <c r="U762" s="3710"/>
      <c r="V762" s="3710"/>
      <c r="W762" s="3710"/>
      <c r="X762" s="3710"/>
      <c r="Y762" s="3710"/>
      <c r="Z762" s="3710"/>
      <c r="AA762" s="3710"/>
      <c r="AB762" s="3710"/>
      <c r="AC762" s="3710"/>
    </row>
    <row r="763" spans="1:29">
      <c r="A763" s="3710"/>
      <c r="B763" s="3710"/>
      <c r="C763" s="3710"/>
      <c r="D763" s="3710"/>
      <c r="E763" s="3710"/>
      <c r="F763" s="3710"/>
      <c r="G763" s="3710"/>
      <c r="H763" s="3710"/>
      <c r="I763" s="3710"/>
      <c r="J763" s="3710"/>
      <c r="K763" s="3711"/>
      <c r="L763" s="3712"/>
      <c r="M763" s="3710"/>
      <c r="N763" s="3710"/>
      <c r="O763" s="3710"/>
      <c r="P763" s="3752"/>
      <c r="Q763" s="3710"/>
      <c r="R763" s="3710"/>
      <c r="S763" s="3710"/>
      <c r="T763" s="3710"/>
      <c r="U763" s="3710"/>
      <c r="V763" s="3710"/>
      <c r="W763" s="3710"/>
      <c r="X763" s="3710"/>
      <c r="Y763" s="3710"/>
      <c r="Z763" s="3710"/>
      <c r="AA763" s="3710"/>
      <c r="AB763" s="3710"/>
      <c r="AC763" s="3710"/>
    </row>
    <row r="764" spans="1:29">
      <c r="A764" s="3710"/>
      <c r="B764" s="3710"/>
      <c r="C764" s="3710"/>
      <c r="D764" s="3710"/>
      <c r="E764" s="3710"/>
      <c r="F764" s="3710"/>
      <c r="G764" s="3710"/>
      <c r="H764" s="3710"/>
      <c r="I764" s="3710"/>
      <c r="J764" s="3710"/>
      <c r="K764" s="3711"/>
      <c r="L764" s="3712"/>
      <c r="M764" s="3710"/>
      <c r="N764" s="3710"/>
      <c r="O764" s="3710"/>
      <c r="P764" s="3752"/>
      <c r="Q764" s="3710"/>
      <c r="R764" s="3710"/>
      <c r="S764" s="3710"/>
      <c r="T764" s="3710"/>
      <c r="U764" s="3710"/>
      <c r="V764" s="3710"/>
      <c r="W764" s="3710"/>
      <c r="X764" s="3710"/>
      <c r="Y764" s="3710"/>
      <c r="Z764" s="3710"/>
      <c r="AA764" s="3710"/>
      <c r="AB764" s="3710"/>
      <c r="AC764" s="3710"/>
    </row>
    <row r="765" spans="1:29">
      <c r="A765" s="3710"/>
      <c r="B765" s="3710"/>
      <c r="C765" s="3710"/>
      <c r="D765" s="3710"/>
      <c r="E765" s="3710"/>
      <c r="F765" s="3710"/>
      <c r="G765" s="3710"/>
      <c r="H765" s="3710"/>
      <c r="I765" s="3710"/>
      <c r="J765" s="3710"/>
      <c r="K765" s="3711"/>
      <c r="L765" s="3712"/>
      <c r="M765" s="3710"/>
      <c r="N765" s="3710"/>
      <c r="O765" s="3710"/>
      <c r="P765" s="3752"/>
      <c r="Q765" s="3710"/>
      <c r="R765" s="3710"/>
      <c r="S765" s="3710"/>
      <c r="T765" s="3710"/>
      <c r="U765" s="3710"/>
      <c r="V765" s="3710"/>
      <c r="W765" s="3710"/>
      <c r="X765" s="3710"/>
      <c r="Y765" s="3710"/>
      <c r="Z765" s="3710"/>
      <c r="AA765" s="3710"/>
      <c r="AB765" s="3710"/>
      <c r="AC765" s="3710"/>
    </row>
    <row r="766" spans="1:29">
      <c r="A766" s="3710"/>
      <c r="B766" s="3710"/>
      <c r="C766" s="3710"/>
      <c r="D766" s="3710"/>
      <c r="E766" s="3710"/>
      <c r="F766" s="3710"/>
      <c r="G766" s="3710"/>
      <c r="H766" s="3710"/>
      <c r="I766" s="3710"/>
      <c r="J766" s="3710"/>
      <c r="K766" s="3711"/>
      <c r="L766" s="3712"/>
      <c r="M766" s="3710"/>
      <c r="N766" s="3710"/>
      <c r="O766" s="3710"/>
      <c r="P766" s="3752"/>
      <c r="Q766" s="3710"/>
      <c r="R766" s="3710"/>
      <c r="S766" s="3710"/>
      <c r="T766" s="3710"/>
      <c r="U766" s="3710"/>
      <c r="V766" s="3710"/>
      <c r="W766" s="3710"/>
      <c r="X766" s="3710"/>
      <c r="Y766" s="3710"/>
      <c r="Z766" s="3710"/>
      <c r="AA766" s="3710"/>
      <c r="AB766" s="3710"/>
      <c r="AC766" s="3710"/>
    </row>
    <row r="767" spans="1:29">
      <c r="A767" s="3710"/>
      <c r="B767" s="3710"/>
      <c r="C767" s="3710"/>
      <c r="D767" s="3710"/>
      <c r="E767" s="3710"/>
      <c r="F767" s="3710"/>
      <c r="G767" s="3710"/>
      <c r="H767" s="3710"/>
      <c r="I767" s="3710"/>
      <c r="J767" s="3710"/>
      <c r="K767" s="3711"/>
      <c r="L767" s="3712"/>
      <c r="M767" s="3710"/>
      <c r="N767" s="3710"/>
      <c r="O767" s="3710"/>
      <c r="P767" s="3752"/>
      <c r="Q767" s="3710"/>
      <c r="R767" s="3710"/>
      <c r="S767" s="3710"/>
      <c r="T767" s="3710"/>
      <c r="U767" s="3710"/>
      <c r="V767" s="3710"/>
      <c r="W767" s="3710"/>
      <c r="X767" s="3710"/>
      <c r="Y767" s="3710"/>
      <c r="Z767" s="3710"/>
      <c r="AA767" s="3710"/>
      <c r="AB767" s="3710"/>
      <c r="AC767" s="3710"/>
    </row>
    <row r="768" spans="1:29">
      <c r="A768" s="3710"/>
      <c r="B768" s="3710"/>
      <c r="C768" s="3710"/>
      <c r="D768" s="3710"/>
      <c r="E768" s="3710"/>
      <c r="F768" s="3710"/>
      <c r="G768" s="3710"/>
      <c r="H768" s="3710"/>
      <c r="I768" s="3710"/>
      <c r="J768" s="3710"/>
      <c r="K768" s="3711"/>
      <c r="L768" s="3712"/>
      <c r="M768" s="3710"/>
      <c r="N768" s="3710"/>
      <c r="O768" s="3710"/>
      <c r="P768" s="3752"/>
      <c r="Q768" s="3710"/>
      <c r="R768" s="3710"/>
      <c r="S768" s="3710"/>
      <c r="T768" s="3710"/>
      <c r="U768" s="3710"/>
      <c r="V768" s="3710"/>
      <c r="W768" s="3710"/>
      <c r="X768" s="3710"/>
      <c r="Y768" s="3710"/>
      <c r="Z768" s="3710"/>
      <c r="AA768" s="3710"/>
      <c r="AB768" s="3710"/>
      <c r="AC768" s="3710"/>
    </row>
    <row r="769" spans="1:29">
      <c r="A769" s="3710"/>
      <c r="B769" s="3710"/>
      <c r="C769" s="3710"/>
      <c r="D769" s="3710"/>
      <c r="E769" s="3710"/>
      <c r="F769" s="3710"/>
      <c r="G769" s="3710"/>
      <c r="H769" s="3710"/>
      <c r="I769" s="3710"/>
      <c r="J769" s="3710"/>
      <c r="K769" s="3711"/>
      <c r="L769" s="3712"/>
      <c r="M769" s="3710"/>
      <c r="N769" s="3710"/>
      <c r="O769" s="3710"/>
      <c r="P769" s="3752"/>
      <c r="Q769" s="3710"/>
      <c r="R769" s="3710"/>
      <c r="S769" s="3710"/>
      <c r="T769" s="3710"/>
      <c r="U769" s="3710"/>
      <c r="V769" s="3710"/>
      <c r="W769" s="3710"/>
      <c r="X769" s="3710"/>
      <c r="Y769" s="3710"/>
      <c r="Z769" s="3710"/>
      <c r="AA769" s="3710"/>
      <c r="AB769" s="3710"/>
      <c r="AC769" s="3710"/>
    </row>
    <row r="770" spans="1:29">
      <c r="A770" s="3710"/>
      <c r="B770" s="3710"/>
      <c r="C770" s="3710"/>
      <c r="D770" s="3710"/>
      <c r="E770" s="3710"/>
      <c r="F770" s="3710"/>
      <c r="G770" s="3710"/>
      <c r="H770" s="3710"/>
      <c r="I770" s="3710"/>
      <c r="J770" s="3710"/>
      <c r="K770" s="3711"/>
      <c r="L770" s="3712"/>
      <c r="M770" s="3710"/>
      <c r="N770" s="3710"/>
      <c r="O770" s="3710"/>
      <c r="P770" s="3752"/>
      <c r="Q770" s="3710"/>
      <c r="R770" s="3710"/>
      <c r="S770" s="3710"/>
      <c r="T770" s="3710"/>
      <c r="U770" s="3710"/>
      <c r="V770" s="3710"/>
      <c r="W770" s="3710"/>
      <c r="X770" s="3710"/>
      <c r="Y770" s="3710"/>
      <c r="Z770" s="3710"/>
      <c r="AA770" s="3710"/>
      <c r="AB770" s="3710"/>
      <c r="AC770" s="3710"/>
    </row>
    <row r="771" spans="1:29">
      <c r="A771" s="3710"/>
      <c r="B771" s="3710"/>
      <c r="C771" s="3710"/>
      <c r="D771" s="3710"/>
      <c r="E771" s="3710"/>
      <c r="F771" s="3710"/>
      <c r="G771" s="3710"/>
      <c r="H771" s="3710"/>
      <c r="I771" s="3710"/>
      <c r="J771" s="3710"/>
      <c r="K771" s="3711"/>
      <c r="L771" s="3712"/>
      <c r="M771" s="3710"/>
      <c r="N771" s="3710"/>
      <c r="O771" s="3710"/>
      <c r="P771" s="3752"/>
      <c r="Q771" s="3710"/>
      <c r="R771" s="3710"/>
      <c r="S771" s="3710"/>
      <c r="T771" s="3710"/>
      <c r="U771" s="3710"/>
      <c r="V771" s="3710"/>
      <c r="W771" s="3710"/>
      <c r="X771" s="3710"/>
      <c r="Y771" s="3710"/>
      <c r="Z771" s="3710"/>
      <c r="AA771" s="3710"/>
      <c r="AB771" s="3710"/>
      <c r="AC771" s="3710"/>
    </row>
    <row r="772" spans="1:29">
      <c r="A772" s="3710"/>
      <c r="B772" s="3710"/>
      <c r="C772" s="3710"/>
      <c r="D772" s="3710"/>
      <c r="E772" s="3710"/>
      <c r="F772" s="3710"/>
      <c r="G772" s="3710"/>
      <c r="H772" s="3710"/>
      <c r="I772" s="3710"/>
      <c r="J772" s="3710"/>
      <c r="K772" s="3711"/>
      <c r="L772" s="3712"/>
      <c r="M772" s="3710"/>
      <c r="N772" s="3710"/>
      <c r="O772" s="3710"/>
      <c r="P772" s="3752"/>
      <c r="Q772" s="3710"/>
      <c r="R772" s="3710"/>
      <c r="S772" s="3710"/>
      <c r="T772" s="3710"/>
      <c r="U772" s="3710"/>
      <c r="V772" s="3710"/>
      <c r="W772" s="3710"/>
      <c r="X772" s="3710"/>
      <c r="Y772" s="3710"/>
      <c r="Z772" s="3710"/>
      <c r="AA772" s="3710"/>
      <c r="AB772" s="3710"/>
      <c r="AC772" s="3710"/>
    </row>
    <row r="773" spans="1:29">
      <c r="A773" s="3710"/>
      <c r="B773" s="3710"/>
      <c r="C773" s="3710"/>
      <c r="D773" s="3710"/>
      <c r="E773" s="3710"/>
      <c r="F773" s="3710"/>
      <c r="G773" s="3710"/>
      <c r="H773" s="3710"/>
      <c r="I773" s="3710"/>
      <c r="J773" s="3710"/>
      <c r="K773" s="3711"/>
      <c r="L773" s="3712"/>
      <c r="M773" s="3710"/>
      <c r="N773" s="3710"/>
      <c r="O773" s="3710"/>
      <c r="P773" s="3752"/>
      <c r="Q773" s="3710"/>
      <c r="R773" s="3710"/>
      <c r="S773" s="3710"/>
      <c r="T773" s="3710"/>
      <c r="U773" s="3710"/>
      <c r="V773" s="3710"/>
      <c r="W773" s="3710"/>
      <c r="X773" s="3710"/>
      <c r="Y773" s="3710"/>
      <c r="Z773" s="3710"/>
      <c r="AA773" s="3710"/>
      <c r="AB773" s="3710"/>
      <c r="AC773" s="3710"/>
    </row>
    <row r="774" spans="1:29">
      <c r="A774" s="3710"/>
      <c r="B774" s="3710"/>
      <c r="C774" s="3710"/>
      <c r="D774" s="3710"/>
      <c r="E774" s="3710"/>
      <c r="F774" s="3710"/>
      <c r="G774" s="3710"/>
      <c r="H774" s="3710"/>
      <c r="I774" s="3710"/>
      <c r="J774" s="3710"/>
      <c r="K774" s="3711"/>
      <c r="L774" s="3712"/>
      <c r="M774" s="3710"/>
      <c r="N774" s="3710"/>
      <c r="O774" s="3710"/>
      <c r="P774" s="3752"/>
      <c r="Q774" s="3710"/>
      <c r="R774" s="3710"/>
      <c r="S774" s="3710"/>
      <c r="T774" s="3710"/>
      <c r="U774" s="3710"/>
      <c r="V774" s="3710"/>
      <c r="W774" s="3710"/>
      <c r="X774" s="3710"/>
      <c r="Y774" s="3710"/>
      <c r="Z774" s="3710"/>
      <c r="AA774" s="3710"/>
      <c r="AB774" s="3710"/>
      <c r="AC774" s="3710"/>
    </row>
    <row r="775" spans="1:29">
      <c r="A775" s="3710"/>
      <c r="B775" s="3710"/>
      <c r="C775" s="3710"/>
      <c r="D775" s="3710"/>
      <c r="E775" s="3710"/>
      <c r="F775" s="3710"/>
      <c r="G775" s="3710"/>
      <c r="H775" s="3710"/>
      <c r="I775" s="3710"/>
      <c r="J775" s="3710"/>
      <c r="K775" s="3711"/>
      <c r="L775" s="3712"/>
      <c r="M775" s="3710"/>
      <c r="N775" s="3710"/>
      <c r="O775" s="3710"/>
      <c r="P775" s="3752"/>
      <c r="Q775" s="3710"/>
      <c r="R775" s="3710"/>
      <c r="S775" s="3710"/>
      <c r="T775" s="3710"/>
      <c r="U775" s="3710"/>
      <c r="V775" s="3710"/>
      <c r="W775" s="3710"/>
      <c r="X775" s="3710"/>
      <c r="Y775" s="3710"/>
      <c r="Z775" s="3710"/>
      <c r="AA775" s="3710"/>
      <c r="AB775" s="3710"/>
      <c r="AC775" s="3710"/>
    </row>
    <row r="776" spans="1:29">
      <c r="A776" s="3710"/>
      <c r="B776" s="3710"/>
      <c r="C776" s="3710"/>
      <c r="D776" s="3710"/>
      <c r="E776" s="3710"/>
      <c r="F776" s="3710"/>
      <c r="G776" s="3710"/>
      <c r="H776" s="3710"/>
      <c r="I776" s="3710"/>
      <c r="J776" s="3710"/>
      <c r="K776" s="3711"/>
      <c r="L776" s="3712"/>
      <c r="M776" s="3710"/>
      <c r="N776" s="3710"/>
      <c r="O776" s="3710"/>
      <c r="P776" s="3752"/>
      <c r="Q776" s="3710"/>
      <c r="R776" s="3710"/>
      <c r="S776" s="3710"/>
      <c r="T776" s="3710"/>
      <c r="U776" s="3710"/>
      <c r="V776" s="3710"/>
      <c r="W776" s="3710"/>
      <c r="X776" s="3710"/>
      <c r="Y776" s="3710"/>
      <c r="Z776" s="3710"/>
      <c r="AA776" s="3710"/>
      <c r="AB776" s="3710"/>
      <c r="AC776" s="3710"/>
    </row>
    <row r="777" spans="1:29">
      <c r="A777" s="3710"/>
      <c r="B777" s="3710"/>
      <c r="C777" s="3710"/>
      <c r="D777" s="3710"/>
      <c r="E777" s="3710"/>
      <c r="F777" s="3710"/>
      <c r="G777" s="3710"/>
      <c r="H777" s="3710"/>
      <c r="I777" s="3710"/>
      <c r="J777" s="3710"/>
      <c r="K777" s="3711"/>
      <c r="L777" s="3712"/>
      <c r="M777" s="3710"/>
      <c r="N777" s="3710"/>
      <c r="O777" s="3710"/>
      <c r="P777" s="3752"/>
      <c r="Q777" s="3710"/>
      <c r="R777" s="3710"/>
      <c r="S777" s="3710"/>
      <c r="T777" s="3710"/>
      <c r="U777" s="3710"/>
      <c r="V777" s="3710"/>
      <c r="W777" s="3710"/>
      <c r="X777" s="3710"/>
      <c r="Y777" s="3710"/>
      <c r="Z777" s="3710"/>
      <c r="AA777" s="3710"/>
      <c r="AB777" s="3710"/>
      <c r="AC777" s="3710"/>
    </row>
    <row r="778" spans="1:29">
      <c r="A778" s="3710"/>
      <c r="B778" s="3710"/>
      <c r="C778" s="3710"/>
      <c r="D778" s="3710"/>
      <c r="E778" s="3710"/>
      <c r="F778" s="3710"/>
      <c r="G778" s="3710"/>
      <c r="H778" s="3710"/>
      <c r="I778" s="3710"/>
      <c r="J778" s="3710"/>
      <c r="K778" s="3711"/>
      <c r="L778" s="3712"/>
      <c r="M778" s="3710"/>
      <c r="N778" s="3710"/>
      <c r="O778" s="3710"/>
      <c r="P778" s="3752"/>
      <c r="Q778" s="3710"/>
      <c r="R778" s="3710"/>
      <c r="S778" s="3710"/>
      <c r="T778" s="3710"/>
      <c r="U778" s="3710"/>
      <c r="V778" s="3710"/>
      <c r="W778" s="3710"/>
      <c r="X778" s="3710"/>
      <c r="Y778" s="3710"/>
      <c r="Z778" s="3710"/>
      <c r="AA778" s="3710"/>
      <c r="AB778" s="3710"/>
      <c r="AC778" s="3710"/>
    </row>
    <row r="779" spans="1:29">
      <c r="A779" s="3710"/>
      <c r="B779" s="3710"/>
      <c r="C779" s="3710"/>
      <c r="D779" s="3710"/>
      <c r="E779" s="3710"/>
      <c r="F779" s="3710"/>
      <c r="G779" s="3710"/>
      <c r="H779" s="3710"/>
      <c r="I779" s="3710"/>
      <c r="J779" s="3710"/>
      <c r="K779" s="3711"/>
      <c r="L779" s="3712"/>
      <c r="M779" s="3710"/>
      <c r="N779" s="3710"/>
      <c r="O779" s="3710"/>
      <c r="P779" s="3752"/>
      <c r="Q779" s="3710"/>
      <c r="R779" s="3710"/>
      <c r="S779" s="3710"/>
      <c r="T779" s="3710"/>
      <c r="U779" s="3710"/>
      <c r="V779" s="3710"/>
      <c r="W779" s="3710"/>
      <c r="X779" s="3710"/>
      <c r="Y779" s="3710"/>
      <c r="Z779" s="3710"/>
      <c r="AA779" s="3710"/>
      <c r="AB779" s="3710"/>
      <c r="AC779" s="3710"/>
    </row>
    <row r="780" spans="1:29">
      <c r="A780" s="3710"/>
      <c r="B780" s="3710"/>
      <c r="C780" s="3710"/>
      <c r="D780" s="3710"/>
      <c r="E780" s="3710"/>
      <c r="F780" s="3710"/>
      <c r="G780" s="3710"/>
      <c r="H780" s="3710"/>
      <c r="I780" s="3710"/>
      <c r="J780" s="3710"/>
      <c r="K780" s="3711"/>
      <c r="L780" s="3712"/>
      <c r="M780" s="3710"/>
      <c r="N780" s="3710"/>
      <c r="O780" s="3710"/>
      <c r="P780" s="3752"/>
      <c r="Q780" s="3710"/>
      <c r="R780" s="3710"/>
      <c r="S780" s="3710"/>
      <c r="T780" s="3710"/>
      <c r="U780" s="3710"/>
      <c r="V780" s="3710"/>
      <c r="W780" s="3710"/>
      <c r="X780" s="3710"/>
      <c r="Y780" s="3710"/>
      <c r="Z780" s="3710"/>
      <c r="AA780" s="3710"/>
      <c r="AB780" s="3710"/>
      <c r="AC780" s="3710"/>
    </row>
    <row r="781" spans="1:29">
      <c r="A781" s="3710"/>
      <c r="B781" s="3710"/>
      <c r="C781" s="3710"/>
      <c r="D781" s="3710"/>
      <c r="E781" s="3710"/>
      <c r="F781" s="3710"/>
      <c r="G781" s="3710"/>
      <c r="H781" s="3710"/>
      <c r="I781" s="3710"/>
      <c r="J781" s="3710"/>
      <c r="K781" s="3711"/>
      <c r="L781" s="3712"/>
      <c r="M781" s="3710"/>
      <c r="N781" s="3710"/>
      <c r="O781" s="3710"/>
      <c r="P781" s="3752"/>
      <c r="Q781" s="3710"/>
      <c r="R781" s="3710"/>
      <c r="S781" s="3710"/>
      <c r="T781" s="3710"/>
      <c r="U781" s="3710"/>
      <c r="V781" s="3710"/>
      <c r="W781" s="3710"/>
      <c r="X781" s="3710"/>
      <c r="Y781" s="3710"/>
      <c r="Z781" s="3710"/>
      <c r="AA781" s="3710"/>
      <c r="AB781" s="3710"/>
      <c r="AC781" s="3710"/>
    </row>
    <row r="782" spans="1:29">
      <c r="A782" s="3710"/>
      <c r="B782" s="3710"/>
      <c r="C782" s="3710"/>
      <c r="D782" s="3710"/>
      <c r="E782" s="3710"/>
      <c r="F782" s="3710"/>
      <c r="G782" s="3710"/>
      <c r="H782" s="3710"/>
      <c r="I782" s="3710"/>
      <c r="J782" s="3710"/>
      <c r="K782" s="3711"/>
      <c r="L782" s="3712"/>
      <c r="M782" s="3710"/>
      <c r="N782" s="3710"/>
      <c r="O782" s="3710"/>
      <c r="P782" s="3752"/>
      <c r="Q782" s="3710"/>
      <c r="R782" s="3710"/>
      <c r="S782" s="3710"/>
      <c r="T782" s="3710"/>
      <c r="U782" s="3710"/>
      <c r="V782" s="3710"/>
      <c r="W782" s="3710"/>
      <c r="X782" s="3710"/>
      <c r="Y782" s="3710"/>
      <c r="Z782" s="3710"/>
      <c r="AA782" s="3710"/>
      <c r="AB782" s="3710"/>
      <c r="AC782" s="3710"/>
    </row>
    <row r="783" spans="1:29">
      <c r="A783" s="3710"/>
      <c r="B783" s="3710"/>
      <c r="C783" s="3710"/>
      <c r="D783" s="3710"/>
      <c r="E783" s="3710"/>
      <c r="F783" s="3710"/>
      <c r="G783" s="3710"/>
      <c r="H783" s="3710"/>
      <c r="I783" s="3710"/>
      <c r="J783" s="3710"/>
      <c r="K783" s="3711"/>
      <c r="L783" s="3712"/>
      <c r="M783" s="3710"/>
      <c r="N783" s="3710"/>
      <c r="O783" s="3710"/>
      <c r="P783" s="3752"/>
      <c r="Q783" s="3710"/>
      <c r="R783" s="3710"/>
      <c r="S783" s="3710"/>
      <c r="T783" s="3710"/>
      <c r="U783" s="3710"/>
      <c r="V783" s="3710"/>
      <c r="W783" s="3710"/>
      <c r="X783" s="3710"/>
      <c r="Y783" s="3710"/>
      <c r="Z783" s="3710"/>
      <c r="AA783" s="3710"/>
      <c r="AB783" s="3710"/>
      <c r="AC783" s="3710"/>
    </row>
    <row r="784" spans="1:29">
      <c r="A784" s="3710"/>
      <c r="B784" s="3710"/>
      <c r="C784" s="3710"/>
      <c r="D784" s="3710"/>
      <c r="E784" s="3710"/>
      <c r="F784" s="3710"/>
      <c r="G784" s="3710"/>
      <c r="H784" s="3710"/>
      <c r="I784" s="3710"/>
      <c r="J784" s="3710"/>
      <c r="K784" s="3711"/>
      <c r="L784" s="3712"/>
      <c r="M784" s="3710"/>
      <c r="N784" s="3710"/>
      <c r="O784" s="3710"/>
      <c r="P784" s="3752"/>
      <c r="Q784" s="3710"/>
      <c r="R784" s="3710"/>
      <c r="S784" s="3710"/>
      <c r="T784" s="3710"/>
      <c r="U784" s="3710"/>
      <c r="V784" s="3710"/>
      <c r="W784" s="3710"/>
      <c r="X784" s="3710"/>
      <c r="Y784" s="3710"/>
      <c r="Z784" s="3710"/>
      <c r="AA784" s="3710"/>
      <c r="AB784" s="3710"/>
      <c r="AC784" s="3710"/>
    </row>
    <row r="785" spans="1:29">
      <c r="A785" s="3710"/>
      <c r="B785" s="3710"/>
      <c r="C785" s="3710"/>
      <c r="D785" s="3710"/>
      <c r="E785" s="3710"/>
      <c r="F785" s="3710"/>
      <c r="G785" s="3710"/>
      <c r="H785" s="3710"/>
      <c r="I785" s="3710"/>
      <c r="J785" s="3710"/>
      <c r="K785" s="3711"/>
      <c r="L785" s="3712"/>
      <c r="M785" s="3710"/>
      <c r="N785" s="3710"/>
      <c r="O785" s="3710"/>
      <c r="P785" s="3752"/>
      <c r="Q785" s="3710"/>
      <c r="R785" s="3710"/>
      <c r="S785" s="3710"/>
      <c r="T785" s="3710"/>
      <c r="U785" s="3710"/>
      <c r="V785" s="3710"/>
      <c r="W785" s="3710"/>
      <c r="X785" s="3710"/>
      <c r="Y785" s="3710"/>
      <c r="Z785" s="3710"/>
      <c r="AA785" s="3710"/>
      <c r="AB785" s="3710"/>
      <c r="AC785" s="3710"/>
    </row>
    <row r="786" spans="1:29">
      <c r="A786" s="3710"/>
      <c r="B786" s="3710"/>
      <c r="C786" s="3710"/>
      <c r="D786" s="3710"/>
      <c r="E786" s="3710"/>
      <c r="F786" s="3710"/>
      <c r="G786" s="3710"/>
      <c r="H786" s="3710"/>
      <c r="I786" s="3710"/>
      <c r="J786" s="3710"/>
      <c r="K786" s="3711"/>
      <c r="L786" s="3712"/>
      <c r="M786" s="3710"/>
      <c r="N786" s="3710"/>
      <c r="O786" s="3710"/>
      <c r="P786" s="3752"/>
      <c r="Q786" s="3710"/>
      <c r="R786" s="3710"/>
      <c r="S786" s="3710"/>
      <c r="T786" s="3710"/>
      <c r="U786" s="3710"/>
      <c r="V786" s="3710"/>
      <c r="W786" s="3710"/>
      <c r="X786" s="3710"/>
      <c r="Y786" s="3710"/>
      <c r="Z786" s="3710"/>
      <c r="AA786" s="3710"/>
      <c r="AB786" s="3710"/>
      <c r="AC786" s="3710"/>
    </row>
    <row r="787" spans="1:29">
      <c r="A787" s="3710"/>
      <c r="B787" s="3710"/>
      <c r="C787" s="3710"/>
      <c r="D787" s="3710"/>
      <c r="E787" s="3710"/>
      <c r="F787" s="3710"/>
      <c r="G787" s="3710"/>
      <c r="H787" s="3710"/>
      <c r="I787" s="3710"/>
      <c r="J787" s="3710"/>
      <c r="K787" s="3711"/>
      <c r="L787" s="3712"/>
      <c r="M787" s="3710"/>
      <c r="N787" s="3710"/>
      <c r="O787" s="3710"/>
      <c r="P787" s="3752"/>
      <c r="Q787" s="3710"/>
      <c r="R787" s="3710"/>
      <c r="S787" s="3710"/>
      <c r="T787" s="3710"/>
      <c r="U787" s="3710"/>
      <c r="V787" s="3710"/>
      <c r="W787" s="3710"/>
      <c r="X787" s="3710"/>
      <c r="Y787" s="3710"/>
      <c r="Z787" s="3710"/>
      <c r="AA787" s="3710"/>
      <c r="AB787" s="3710"/>
      <c r="AC787" s="3710"/>
    </row>
    <row r="788" spans="1:29">
      <c r="A788" s="3710"/>
      <c r="B788" s="3710"/>
      <c r="C788" s="3710"/>
      <c r="D788" s="3710"/>
      <c r="E788" s="3710"/>
      <c r="F788" s="3710"/>
      <c r="G788" s="3710"/>
      <c r="H788" s="3710"/>
      <c r="I788" s="3710"/>
      <c r="J788" s="3710"/>
      <c r="K788" s="3711"/>
      <c r="L788" s="3712"/>
      <c r="M788" s="3710"/>
      <c r="N788" s="3710"/>
      <c r="O788" s="3710"/>
      <c r="P788" s="3752"/>
      <c r="Q788" s="3710"/>
      <c r="R788" s="3710"/>
      <c r="S788" s="3710"/>
      <c r="T788" s="3710"/>
      <c r="U788" s="3710"/>
      <c r="V788" s="3710"/>
      <c r="W788" s="3710"/>
      <c r="X788" s="3710"/>
      <c r="Y788" s="3710"/>
      <c r="Z788" s="3710"/>
      <c r="AA788" s="3710"/>
      <c r="AB788" s="3710"/>
      <c r="AC788" s="3710"/>
    </row>
    <row r="789" spans="1:29">
      <c r="A789" s="3710"/>
      <c r="B789" s="3710"/>
      <c r="C789" s="3710"/>
      <c r="D789" s="3710"/>
      <c r="E789" s="3710"/>
      <c r="F789" s="3710"/>
      <c r="G789" s="3710"/>
      <c r="H789" s="3710"/>
      <c r="I789" s="3710"/>
      <c r="J789" s="3710"/>
      <c r="K789" s="3711"/>
      <c r="L789" s="3712"/>
      <c r="M789" s="3710"/>
      <c r="N789" s="3710"/>
      <c r="O789" s="3710"/>
      <c r="P789" s="3752"/>
      <c r="Q789" s="3710"/>
      <c r="R789" s="3710"/>
      <c r="S789" s="3710"/>
      <c r="T789" s="3710"/>
      <c r="U789" s="3710"/>
      <c r="V789" s="3710"/>
      <c r="W789" s="3710"/>
      <c r="X789" s="3710"/>
      <c r="Y789" s="3710"/>
      <c r="Z789" s="3710"/>
      <c r="AA789" s="3710"/>
      <c r="AB789" s="3710"/>
      <c r="AC789" s="3710"/>
    </row>
    <row r="790" spans="1:29">
      <c r="A790" s="3710"/>
      <c r="B790" s="3710"/>
      <c r="C790" s="3710"/>
      <c r="D790" s="3710"/>
      <c r="E790" s="3710"/>
      <c r="F790" s="3710"/>
      <c r="G790" s="3710"/>
      <c r="H790" s="3710"/>
      <c r="I790" s="3710"/>
      <c r="J790" s="3710"/>
      <c r="K790" s="3711"/>
      <c r="L790" s="3712"/>
      <c r="M790" s="3710"/>
      <c r="N790" s="3710"/>
      <c r="O790" s="3710"/>
      <c r="P790" s="3752"/>
      <c r="Q790" s="3710"/>
      <c r="R790" s="3710"/>
      <c r="S790" s="3710"/>
      <c r="T790" s="3710"/>
      <c r="U790" s="3710"/>
      <c r="V790" s="3710"/>
      <c r="W790" s="3710"/>
      <c r="X790" s="3710"/>
      <c r="Y790" s="3710"/>
      <c r="Z790" s="3710"/>
      <c r="AA790" s="3710"/>
      <c r="AB790" s="3710"/>
      <c r="AC790" s="3710"/>
    </row>
    <row r="791" spans="1:29">
      <c r="A791" s="3710"/>
      <c r="B791" s="3710"/>
      <c r="C791" s="3710"/>
      <c r="D791" s="3710"/>
      <c r="E791" s="3710"/>
      <c r="F791" s="3710"/>
      <c r="G791" s="3710"/>
      <c r="H791" s="3710"/>
      <c r="I791" s="3710"/>
      <c r="J791" s="3710"/>
      <c r="K791" s="3711"/>
      <c r="L791" s="3712"/>
      <c r="M791" s="3710"/>
      <c r="N791" s="3710"/>
      <c r="O791" s="3710"/>
      <c r="P791" s="3752"/>
      <c r="Q791" s="3710"/>
      <c r="R791" s="3710"/>
      <c r="S791" s="3710"/>
      <c r="T791" s="3710"/>
      <c r="U791" s="3710"/>
      <c r="V791" s="3710"/>
      <c r="W791" s="3710"/>
      <c r="X791" s="3710"/>
      <c r="Y791" s="3710"/>
      <c r="Z791" s="3710"/>
      <c r="AA791" s="3710"/>
      <c r="AB791" s="3710"/>
      <c r="AC791" s="3710"/>
    </row>
    <row r="792" spans="1:29">
      <c r="A792" s="3710"/>
      <c r="B792" s="3710"/>
      <c r="C792" s="3710"/>
      <c r="D792" s="3710"/>
      <c r="E792" s="3710"/>
      <c r="F792" s="3710"/>
      <c r="G792" s="3710"/>
      <c r="H792" s="3710"/>
      <c r="I792" s="3710"/>
      <c r="J792" s="3710"/>
      <c r="K792" s="3711"/>
      <c r="L792" s="3712"/>
      <c r="M792" s="3710"/>
      <c r="N792" s="3710"/>
      <c r="O792" s="3710"/>
      <c r="P792" s="3752"/>
      <c r="Q792" s="3710"/>
      <c r="R792" s="3710"/>
      <c r="S792" s="3710"/>
      <c r="T792" s="3710"/>
      <c r="U792" s="3710"/>
      <c r="V792" s="3710"/>
      <c r="W792" s="3710"/>
      <c r="X792" s="3710"/>
      <c r="Y792" s="3710"/>
      <c r="Z792" s="3710"/>
      <c r="AA792" s="3710"/>
      <c r="AB792" s="3710"/>
      <c r="AC792" s="3710"/>
    </row>
    <row r="793" spans="1:29">
      <c r="A793" s="3710"/>
      <c r="B793" s="3710"/>
      <c r="C793" s="3710"/>
      <c r="D793" s="3710"/>
      <c r="E793" s="3710"/>
      <c r="F793" s="3710"/>
      <c r="G793" s="3710"/>
      <c r="H793" s="3710"/>
      <c r="I793" s="3710"/>
      <c r="J793" s="3710"/>
      <c r="K793" s="3711"/>
      <c r="L793" s="3712"/>
      <c r="M793" s="3710"/>
      <c r="N793" s="3710"/>
      <c r="O793" s="3710"/>
      <c r="P793" s="3752"/>
      <c r="Q793" s="3710"/>
      <c r="R793" s="3710"/>
      <c r="S793" s="3710"/>
      <c r="T793" s="3710"/>
      <c r="U793" s="3710"/>
      <c r="V793" s="3710"/>
      <c r="W793" s="3710"/>
      <c r="X793" s="3710"/>
      <c r="Y793" s="3710"/>
      <c r="Z793" s="3710"/>
      <c r="AA793" s="3710"/>
      <c r="AB793" s="3710"/>
      <c r="AC793" s="3710"/>
    </row>
    <row r="794" spans="1:29">
      <c r="A794" s="3710"/>
      <c r="B794" s="3710"/>
      <c r="C794" s="3710"/>
      <c r="D794" s="3710"/>
      <c r="E794" s="3710"/>
      <c r="F794" s="3710"/>
      <c r="G794" s="3710"/>
      <c r="H794" s="3710"/>
      <c r="I794" s="3710"/>
      <c r="J794" s="3710"/>
      <c r="K794" s="3711"/>
      <c r="L794" s="3712"/>
      <c r="M794" s="3710"/>
      <c r="N794" s="3710"/>
      <c r="O794" s="3710"/>
      <c r="P794" s="3752"/>
      <c r="Q794" s="3710"/>
      <c r="R794" s="3710"/>
      <c r="S794" s="3710"/>
      <c r="T794" s="3710"/>
      <c r="U794" s="3710"/>
      <c r="V794" s="3710"/>
      <c r="W794" s="3710"/>
      <c r="X794" s="3710"/>
      <c r="Y794" s="3710"/>
      <c r="Z794" s="3710"/>
      <c r="AA794" s="3710"/>
      <c r="AB794" s="3710"/>
      <c r="AC794" s="3710"/>
    </row>
    <row r="795" spans="1:29">
      <c r="A795" s="3710"/>
      <c r="B795" s="3710"/>
      <c r="C795" s="3710"/>
      <c r="D795" s="3710"/>
      <c r="E795" s="3710"/>
      <c r="F795" s="3710"/>
      <c r="G795" s="3710"/>
      <c r="H795" s="3710"/>
      <c r="I795" s="3710"/>
      <c r="J795" s="3710"/>
      <c r="K795" s="3711"/>
      <c r="L795" s="3712"/>
      <c r="M795" s="3710"/>
      <c r="N795" s="3710"/>
      <c r="O795" s="3710"/>
      <c r="P795" s="3752"/>
      <c r="Q795" s="3710"/>
      <c r="R795" s="3710"/>
      <c r="S795" s="3710"/>
      <c r="T795" s="3710"/>
      <c r="U795" s="3710"/>
      <c r="V795" s="3710"/>
      <c r="W795" s="3710"/>
      <c r="X795" s="3710"/>
      <c r="Y795" s="3710"/>
      <c r="Z795" s="3710"/>
      <c r="AA795" s="3710"/>
      <c r="AB795" s="3710"/>
      <c r="AC795" s="3710"/>
    </row>
    <row r="796" spans="1:29">
      <c r="A796" s="3710"/>
      <c r="B796" s="3710"/>
      <c r="C796" s="3710"/>
      <c r="D796" s="3710"/>
      <c r="E796" s="3710"/>
      <c r="F796" s="3710"/>
      <c r="G796" s="3710"/>
      <c r="H796" s="3710"/>
      <c r="I796" s="3710"/>
      <c r="J796" s="3710"/>
      <c r="K796" s="3711"/>
      <c r="L796" s="3712"/>
      <c r="M796" s="3710"/>
      <c r="N796" s="3710"/>
      <c r="O796" s="3710"/>
      <c r="P796" s="3752"/>
      <c r="Q796" s="3710"/>
      <c r="R796" s="3710"/>
      <c r="S796" s="3710"/>
      <c r="T796" s="3710"/>
      <c r="U796" s="3710"/>
      <c r="V796" s="3710"/>
      <c r="W796" s="3710"/>
      <c r="X796" s="3710"/>
      <c r="Y796" s="3710"/>
      <c r="Z796" s="3710"/>
      <c r="AA796" s="3710"/>
      <c r="AB796" s="3710"/>
      <c r="AC796" s="3710"/>
    </row>
    <row r="797" spans="1:29">
      <c r="A797" s="3710"/>
      <c r="B797" s="3710"/>
      <c r="C797" s="3710"/>
      <c r="D797" s="3710"/>
      <c r="E797" s="3710"/>
      <c r="F797" s="3710"/>
      <c r="G797" s="3710"/>
      <c r="H797" s="3710"/>
      <c r="I797" s="3710"/>
      <c r="J797" s="3710"/>
      <c r="K797" s="3711"/>
      <c r="L797" s="3712"/>
      <c r="M797" s="3710"/>
      <c r="N797" s="3710"/>
      <c r="O797" s="3710"/>
      <c r="P797" s="3752"/>
      <c r="Q797" s="3710"/>
      <c r="R797" s="3710"/>
      <c r="S797" s="3710"/>
      <c r="T797" s="3710"/>
      <c r="U797" s="3710"/>
      <c r="V797" s="3710"/>
      <c r="W797" s="3710"/>
      <c r="X797" s="3710"/>
      <c r="Y797" s="3710"/>
      <c r="Z797" s="3710"/>
      <c r="AA797" s="3710"/>
      <c r="AB797" s="3710"/>
      <c r="AC797" s="3710"/>
    </row>
    <row r="798" spans="1:29">
      <c r="A798" s="3710"/>
      <c r="B798" s="3710"/>
      <c r="C798" s="3710"/>
      <c r="D798" s="3710"/>
      <c r="E798" s="3710"/>
      <c r="F798" s="3710"/>
      <c r="G798" s="3710"/>
      <c r="H798" s="3710"/>
      <c r="I798" s="3710"/>
      <c r="J798" s="3710"/>
      <c r="K798" s="3711"/>
      <c r="L798" s="3712"/>
      <c r="M798" s="3710"/>
      <c r="N798" s="3710"/>
      <c r="O798" s="3710"/>
      <c r="P798" s="3752"/>
      <c r="Q798" s="3710"/>
      <c r="R798" s="3710"/>
      <c r="S798" s="3710"/>
      <c r="T798" s="3710"/>
      <c r="U798" s="3710"/>
      <c r="V798" s="3710"/>
      <c r="W798" s="3710"/>
      <c r="X798" s="3710"/>
      <c r="Y798" s="3710"/>
      <c r="Z798" s="3710"/>
      <c r="AA798" s="3710"/>
      <c r="AB798" s="3710"/>
      <c r="AC798" s="3710"/>
    </row>
    <row r="799" spans="1:29">
      <c r="A799" s="3710"/>
      <c r="B799" s="3710"/>
      <c r="C799" s="3710"/>
      <c r="D799" s="3710"/>
      <c r="E799" s="3710"/>
      <c r="F799" s="3710"/>
      <c r="G799" s="3710"/>
      <c r="H799" s="3710"/>
      <c r="I799" s="3710"/>
      <c r="J799" s="3710"/>
      <c r="K799" s="3711"/>
      <c r="L799" s="3712"/>
      <c r="M799" s="3710"/>
      <c r="N799" s="3710"/>
      <c r="O799" s="3710"/>
      <c r="P799" s="3752"/>
      <c r="Q799" s="3710"/>
      <c r="R799" s="3710"/>
      <c r="S799" s="3710"/>
      <c r="T799" s="3710"/>
      <c r="U799" s="3710"/>
      <c r="V799" s="3710"/>
      <c r="W799" s="3710"/>
      <c r="X799" s="3710"/>
      <c r="Y799" s="3710"/>
      <c r="Z799" s="3710"/>
      <c r="AA799" s="3710"/>
      <c r="AB799" s="3710"/>
      <c r="AC799" s="3710"/>
    </row>
    <row r="800" spans="1:29">
      <c r="A800" s="3710"/>
      <c r="B800" s="3710"/>
      <c r="C800" s="3710"/>
      <c r="D800" s="3710"/>
      <c r="E800" s="3710"/>
      <c r="F800" s="3710"/>
      <c r="G800" s="3710"/>
      <c r="H800" s="3710"/>
      <c r="I800" s="3710"/>
      <c r="J800" s="3710"/>
      <c r="K800" s="3711"/>
      <c r="L800" s="3712"/>
      <c r="M800" s="3710"/>
      <c r="N800" s="3710"/>
      <c r="O800" s="3710"/>
      <c r="P800" s="3752"/>
      <c r="Q800" s="3710"/>
      <c r="R800" s="3710"/>
      <c r="S800" s="3710"/>
      <c r="T800" s="3710"/>
      <c r="U800" s="3710"/>
      <c r="V800" s="3710"/>
      <c r="W800" s="3710"/>
      <c r="X800" s="3710"/>
      <c r="Y800" s="3710"/>
      <c r="Z800" s="3710"/>
      <c r="AA800" s="3710"/>
      <c r="AB800" s="3710"/>
      <c r="AC800" s="3710"/>
    </row>
    <row r="801" spans="1:29">
      <c r="A801" s="3710"/>
      <c r="B801" s="3710"/>
      <c r="C801" s="3710"/>
      <c r="D801" s="3710"/>
      <c r="E801" s="3710"/>
      <c r="F801" s="3710"/>
      <c r="G801" s="3710"/>
      <c r="H801" s="3710"/>
      <c r="I801" s="3710"/>
      <c r="J801" s="3710"/>
      <c r="K801" s="3711"/>
      <c r="L801" s="3712"/>
      <c r="M801" s="3710"/>
      <c r="N801" s="3710"/>
      <c r="O801" s="3710"/>
      <c r="P801" s="3752"/>
      <c r="Q801" s="3710"/>
      <c r="R801" s="3710"/>
      <c r="S801" s="3710"/>
      <c r="T801" s="3710"/>
      <c r="U801" s="3710"/>
      <c r="V801" s="3710"/>
      <c r="W801" s="3710"/>
      <c r="X801" s="3710"/>
      <c r="Y801" s="3710"/>
      <c r="Z801" s="3710"/>
      <c r="AA801" s="3710"/>
      <c r="AB801" s="3710"/>
      <c r="AC801" s="3710"/>
    </row>
    <row r="802" spans="1:29">
      <c r="A802" s="3710"/>
      <c r="B802" s="3710"/>
      <c r="C802" s="3710"/>
      <c r="D802" s="3710"/>
      <c r="E802" s="3710"/>
      <c r="F802" s="3710"/>
      <c r="G802" s="3710"/>
      <c r="H802" s="3710"/>
      <c r="I802" s="3710"/>
      <c r="J802" s="3710"/>
      <c r="K802" s="3711"/>
      <c r="L802" s="3712"/>
      <c r="M802" s="3710"/>
      <c r="N802" s="3710"/>
      <c r="O802" s="3710"/>
      <c r="P802" s="3752"/>
      <c r="Q802" s="3710"/>
      <c r="R802" s="3710"/>
      <c r="S802" s="3710"/>
      <c r="T802" s="3710"/>
      <c r="U802" s="3710"/>
      <c r="V802" s="3710"/>
      <c r="W802" s="3710"/>
      <c r="X802" s="3710"/>
      <c r="Y802" s="3710"/>
      <c r="Z802" s="3710"/>
      <c r="AA802" s="3710"/>
      <c r="AB802" s="3710"/>
      <c r="AC802" s="3710"/>
    </row>
    <row r="803" spans="1:29">
      <c r="A803" s="3710"/>
      <c r="B803" s="3710"/>
      <c r="C803" s="3710"/>
      <c r="D803" s="3710"/>
      <c r="E803" s="3710"/>
      <c r="F803" s="3710"/>
      <c r="G803" s="3710"/>
      <c r="H803" s="3710"/>
      <c r="I803" s="3710"/>
      <c r="J803" s="3710"/>
      <c r="K803" s="3711"/>
      <c r="L803" s="3712"/>
      <c r="M803" s="3710"/>
      <c r="N803" s="3710"/>
      <c r="O803" s="3710"/>
      <c r="P803" s="3752"/>
      <c r="Q803" s="3710"/>
      <c r="R803" s="3710"/>
      <c r="S803" s="3710"/>
      <c r="T803" s="3710"/>
      <c r="U803" s="3710"/>
      <c r="V803" s="3710"/>
      <c r="W803" s="3710"/>
      <c r="X803" s="3710"/>
      <c r="Y803" s="3710"/>
      <c r="Z803" s="3710"/>
      <c r="AA803" s="3710"/>
      <c r="AB803" s="3710"/>
      <c r="AC803" s="3710"/>
    </row>
    <row r="804" spans="1:29">
      <c r="A804" s="3710"/>
      <c r="B804" s="3710"/>
      <c r="C804" s="3710"/>
      <c r="D804" s="3710"/>
      <c r="E804" s="3710"/>
      <c r="F804" s="3710"/>
      <c r="G804" s="3710"/>
      <c r="H804" s="3710"/>
      <c r="I804" s="3710"/>
      <c r="J804" s="3710"/>
      <c r="K804" s="3711"/>
      <c r="L804" s="3712"/>
      <c r="M804" s="3710"/>
      <c r="N804" s="3710"/>
      <c r="O804" s="3710"/>
      <c r="P804" s="3752"/>
      <c r="Q804" s="3710"/>
      <c r="R804" s="3710"/>
      <c r="S804" s="3710"/>
      <c r="T804" s="3710"/>
      <c r="U804" s="3710"/>
      <c r="V804" s="3710"/>
      <c r="W804" s="3710"/>
      <c r="X804" s="3710"/>
      <c r="Y804" s="3710"/>
      <c r="Z804" s="3710"/>
      <c r="AA804" s="3710"/>
      <c r="AB804" s="3710"/>
      <c r="AC804" s="3710"/>
    </row>
    <row r="805" spans="1:29">
      <c r="A805" s="3710"/>
      <c r="B805" s="3710"/>
      <c r="C805" s="3710"/>
      <c r="D805" s="3710"/>
      <c r="E805" s="3710"/>
      <c r="F805" s="3710"/>
      <c r="G805" s="3710"/>
      <c r="H805" s="3710"/>
      <c r="I805" s="3710"/>
      <c r="J805" s="3710"/>
      <c r="K805" s="3711"/>
      <c r="L805" s="3712"/>
      <c r="M805" s="3710"/>
      <c r="N805" s="3710"/>
      <c r="O805" s="3710"/>
      <c r="P805" s="3752"/>
      <c r="Q805" s="3710"/>
      <c r="R805" s="3710"/>
      <c r="S805" s="3710"/>
      <c r="T805" s="3710"/>
      <c r="U805" s="3710"/>
      <c r="V805" s="3710"/>
      <c r="W805" s="3710"/>
      <c r="X805" s="3710"/>
      <c r="Y805" s="3710"/>
      <c r="Z805" s="3710"/>
      <c r="AA805" s="3710"/>
      <c r="AB805" s="3710"/>
      <c r="AC805" s="3710"/>
    </row>
    <row r="806" spans="1:29">
      <c r="A806" s="3710"/>
      <c r="B806" s="3710"/>
      <c r="C806" s="3710"/>
      <c r="D806" s="3710"/>
      <c r="E806" s="3710"/>
      <c r="F806" s="3710"/>
      <c r="G806" s="3710"/>
      <c r="H806" s="3710"/>
      <c r="I806" s="3710"/>
      <c r="J806" s="3710"/>
      <c r="K806" s="3711"/>
      <c r="L806" s="3712"/>
      <c r="M806" s="3710"/>
      <c r="N806" s="3710"/>
      <c r="O806" s="3710"/>
      <c r="P806" s="3752"/>
      <c r="Q806" s="3710"/>
      <c r="R806" s="3710"/>
      <c r="S806" s="3710"/>
      <c r="T806" s="3710"/>
      <c r="U806" s="3710"/>
      <c r="V806" s="3710"/>
      <c r="W806" s="3710"/>
      <c r="X806" s="3710"/>
      <c r="Y806" s="3710"/>
      <c r="Z806" s="3710"/>
      <c r="AA806" s="3710"/>
      <c r="AB806" s="3710"/>
      <c r="AC806" s="3710"/>
    </row>
    <row r="807" spans="1:29">
      <c r="A807" s="3710"/>
      <c r="B807" s="3710"/>
      <c r="C807" s="3710"/>
      <c r="D807" s="3710"/>
      <c r="E807" s="3710"/>
      <c r="F807" s="3710"/>
      <c r="G807" s="3710"/>
      <c r="H807" s="3710"/>
      <c r="I807" s="3710"/>
      <c r="J807" s="3710"/>
      <c r="K807" s="3711"/>
      <c r="L807" s="3712"/>
      <c r="M807" s="3710"/>
      <c r="N807" s="3710"/>
      <c r="O807" s="3710"/>
      <c r="P807" s="3752"/>
      <c r="Q807" s="3710"/>
      <c r="R807" s="3710"/>
      <c r="S807" s="3710"/>
      <c r="T807" s="3710"/>
      <c r="U807" s="3710"/>
      <c r="V807" s="3710"/>
      <c r="W807" s="3710"/>
      <c r="X807" s="3710"/>
      <c r="Y807" s="3710"/>
      <c r="Z807" s="3710"/>
      <c r="AA807" s="3710"/>
      <c r="AB807" s="3710"/>
      <c r="AC807" s="3710"/>
    </row>
    <row r="808" spans="1:29">
      <c r="A808" s="3710"/>
      <c r="B808" s="3710"/>
      <c r="C808" s="3710"/>
      <c r="D808" s="3710"/>
      <c r="E808" s="3710"/>
      <c r="F808" s="3710"/>
      <c r="G808" s="3710"/>
      <c r="H808" s="3710"/>
      <c r="I808" s="3710"/>
      <c r="J808" s="3710"/>
      <c r="K808" s="3711"/>
      <c r="L808" s="3712"/>
      <c r="M808" s="3710"/>
      <c r="N808" s="3710"/>
      <c r="O808" s="3710"/>
      <c r="P808" s="3752"/>
      <c r="Q808" s="3710"/>
      <c r="R808" s="3710"/>
      <c r="S808" s="3710"/>
      <c r="T808" s="3710"/>
      <c r="U808" s="3710"/>
      <c r="V808" s="3710"/>
      <c r="W808" s="3710"/>
      <c r="X808" s="3710"/>
      <c r="Y808" s="3710"/>
      <c r="Z808" s="3710"/>
      <c r="AA808" s="3710"/>
      <c r="AB808" s="3710"/>
      <c r="AC808" s="3710"/>
    </row>
    <row r="809" spans="1:29">
      <c r="A809" s="3710"/>
      <c r="B809" s="3710"/>
      <c r="C809" s="3710"/>
      <c r="D809" s="3710"/>
      <c r="E809" s="3710"/>
      <c r="F809" s="3710"/>
      <c r="G809" s="3710"/>
      <c r="H809" s="3710"/>
      <c r="I809" s="3710"/>
      <c r="J809" s="3710"/>
      <c r="K809" s="3711"/>
      <c r="L809" s="3712"/>
      <c r="M809" s="3710"/>
      <c r="N809" s="3710"/>
      <c r="O809" s="3710"/>
      <c r="P809" s="3752"/>
      <c r="Q809" s="3710"/>
      <c r="R809" s="3710"/>
      <c r="S809" s="3710"/>
      <c r="T809" s="3710"/>
      <c r="U809" s="3710"/>
      <c r="V809" s="3710"/>
      <c r="W809" s="3710"/>
      <c r="X809" s="3710"/>
      <c r="Y809" s="3710"/>
      <c r="Z809" s="3710"/>
      <c r="AA809" s="3710"/>
      <c r="AB809" s="3710"/>
      <c r="AC809" s="3710"/>
    </row>
    <row r="810" spans="1:29">
      <c r="A810" s="3710"/>
      <c r="B810" s="3710"/>
      <c r="C810" s="3710"/>
      <c r="D810" s="3710"/>
      <c r="E810" s="3710"/>
      <c r="F810" s="3710"/>
      <c r="G810" s="3710"/>
      <c r="H810" s="3710"/>
      <c r="I810" s="3710"/>
      <c r="J810" s="3710"/>
      <c r="K810" s="3711"/>
      <c r="L810" s="3712"/>
      <c r="M810" s="3710"/>
      <c r="N810" s="3710"/>
      <c r="O810" s="3710"/>
      <c r="P810" s="3752"/>
      <c r="Q810" s="3710"/>
      <c r="R810" s="3710"/>
      <c r="S810" s="3710"/>
      <c r="T810" s="3710"/>
      <c r="U810" s="3710"/>
      <c r="V810" s="3710"/>
      <c r="W810" s="3710"/>
      <c r="X810" s="3710"/>
      <c r="Y810" s="3710"/>
      <c r="Z810" s="3710"/>
      <c r="AA810" s="3710"/>
      <c r="AB810" s="3710"/>
      <c r="AC810" s="3710"/>
    </row>
    <row r="811" spans="1:29">
      <c r="A811" s="3710"/>
      <c r="B811" s="3710"/>
      <c r="C811" s="3710"/>
      <c r="D811" s="3710"/>
      <c r="E811" s="3710"/>
      <c r="F811" s="3710"/>
      <c r="G811" s="3710"/>
      <c r="H811" s="3710"/>
      <c r="I811" s="3710"/>
      <c r="J811" s="3710"/>
      <c r="K811" s="3711"/>
      <c r="L811" s="3712"/>
      <c r="M811" s="3710"/>
      <c r="N811" s="3710"/>
      <c r="O811" s="3710"/>
      <c r="P811" s="3752"/>
      <c r="Q811" s="3710"/>
      <c r="R811" s="3710"/>
      <c r="S811" s="3710"/>
      <c r="T811" s="3710"/>
      <c r="U811" s="3710"/>
      <c r="V811" s="3710"/>
      <c r="W811" s="3710"/>
      <c r="X811" s="3710"/>
      <c r="Y811" s="3710"/>
      <c r="Z811" s="3710"/>
      <c r="AA811" s="3710"/>
      <c r="AB811" s="3710"/>
      <c r="AC811" s="3710"/>
    </row>
    <row r="812" spans="1:29">
      <c r="A812" s="3710"/>
      <c r="B812" s="3710"/>
      <c r="C812" s="3710"/>
      <c r="D812" s="3710"/>
      <c r="E812" s="3710"/>
      <c r="F812" s="3710"/>
      <c r="G812" s="3710"/>
      <c r="H812" s="3710"/>
      <c r="I812" s="3710"/>
      <c r="J812" s="3710"/>
      <c r="K812" s="3711"/>
      <c r="L812" s="3712"/>
      <c r="M812" s="3710"/>
      <c r="N812" s="3710"/>
      <c r="O812" s="3710"/>
      <c r="P812" s="3752"/>
      <c r="Q812" s="3710"/>
      <c r="R812" s="3710"/>
      <c r="S812" s="3710"/>
      <c r="T812" s="3710"/>
      <c r="U812" s="3710"/>
      <c r="V812" s="3710"/>
      <c r="W812" s="3710"/>
      <c r="X812" s="3710"/>
      <c r="Y812" s="3710"/>
      <c r="Z812" s="3710"/>
      <c r="AA812" s="3710"/>
      <c r="AB812" s="3710"/>
      <c r="AC812" s="3710"/>
    </row>
    <row r="813" spans="1:29">
      <c r="A813" s="3710"/>
      <c r="B813" s="3710"/>
      <c r="C813" s="3710"/>
      <c r="D813" s="3710"/>
      <c r="E813" s="3710"/>
      <c r="F813" s="3710"/>
      <c r="G813" s="3710"/>
      <c r="H813" s="3710"/>
      <c r="I813" s="3710"/>
      <c r="J813" s="3710"/>
      <c r="K813" s="3711"/>
      <c r="L813" s="3712"/>
      <c r="M813" s="3710"/>
      <c r="N813" s="3710"/>
      <c r="O813" s="3710"/>
      <c r="P813" s="3752"/>
      <c r="Q813" s="3710"/>
      <c r="R813" s="3710"/>
      <c r="S813" s="3710"/>
      <c r="T813" s="3710"/>
      <c r="U813" s="3710"/>
      <c r="V813" s="3710"/>
      <c r="W813" s="3710"/>
      <c r="X813" s="3710"/>
      <c r="Y813" s="3710"/>
      <c r="Z813" s="3710"/>
      <c r="AA813" s="3710"/>
      <c r="AB813" s="3710"/>
      <c r="AC813" s="3710"/>
    </row>
    <row r="814" spans="1:29">
      <c r="A814" s="3710"/>
      <c r="B814" s="3710"/>
      <c r="C814" s="3710"/>
      <c r="D814" s="3710"/>
      <c r="E814" s="3710"/>
      <c r="F814" s="3710"/>
      <c r="G814" s="3710"/>
      <c r="H814" s="3710"/>
      <c r="I814" s="3710"/>
      <c r="J814" s="3710"/>
      <c r="K814" s="3711"/>
      <c r="L814" s="3712"/>
      <c r="M814" s="3710"/>
      <c r="N814" s="3710"/>
      <c r="O814" s="3710"/>
      <c r="P814" s="3752"/>
      <c r="Q814" s="3710"/>
      <c r="R814" s="3710"/>
      <c r="S814" s="3710"/>
      <c r="T814" s="3710"/>
      <c r="U814" s="3710"/>
      <c r="V814" s="3710"/>
      <c r="W814" s="3710"/>
      <c r="X814" s="3710"/>
      <c r="Y814" s="3710"/>
      <c r="Z814" s="3710"/>
      <c r="AA814" s="3710"/>
      <c r="AB814" s="3710"/>
      <c r="AC814" s="3710"/>
    </row>
    <row r="815" spans="1:29">
      <c r="A815" s="3710"/>
      <c r="B815" s="3710"/>
      <c r="C815" s="3710"/>
      <c r="D815" s="3710"/>
      <c r="E815" s="3710"/>
      <c r="F815" s="3710"/>
      <c r="G815" s="3710"/>
      <c r="H815" s="3710"/>
      <c r="I815" s="3710"/>
      <c r="J815" s="3710"/>
      <c r="K815" s="3711"/>
      <c r="L815" s="3712"/>
      <c r="M815" s="3710"/>
      <c r="N815" s="3710"/>
      <c r="O815" s="3710"/>
      <c r="P815" s="3752"/>
      <c r="Q815" s="3710"/>
      <c r="R815" s="3710"/>
      <c r="S815" s="3710"/>
      <c r="T815" s="3710"/>
      <c r="U815" s="3710"/>
      <c r="V815" s="3710"/>
      <c r="W815" s="3710"/>
      <c r="X815" s="3710"/>
      <c r="Y815" s="3710"/>
      <c r="Z815" s="3710"/>
      <c r="AA815" s="3710"/>
      <c r="AB815" s="3710"/>
      <c r="AC815" s="3710"/>
    </row>
    <row r="816" spans="1:29">
      <c r="A816" s="3710"/>
      <c r="B816" s="3710"/>
      <c r="C816" s="3710"/>
      <c r="D816" s="3710"/>
      <c r="E816" s="3710"/>
      <c r="F816" s="3710"/>
      <c r="G816" s="3710"/>
      <c r="H816" s="3710"/>
      <c r="I816" s="3710"/>
      <c r="J816" s="3710"/>
      <c r="K816" s="3711"/>
      <c r="L816" s="3712"/>
      <c r="M816" s="3710"/>
      <c r="N816" s="3710"/>
      <c r="O816" s="3710"/>
      <c r="P816" s="3752"/>
      <c r="Q816" s="3710"/>
      <c r="R816" s="3710"/>
      <c r="S816" s="3710"/>
      <c r="T816" s="3710"/>
      <c r="U816" s="3710"/>
      <c r="V816" s="3710"/>
      <c r="W816" s="3710"/>
      <c r="X816" s="3710"/>
      <c r="Y816" s="3710"/>
      <c r="Z816" s="3710"/>
      <c r="AA816" s="3710"/>
      <c r="AB816" s="3710"/>
      <c r="AC816" s="3710"/>
    </row>
    <row r="817" spans="1:29">
      <c r="A817" s="3710"/>
      <c r="B817" s="3710"/>
      <c r="C817" s="3710"/>
      <c r="D817" s="3710"/>
      <c r="E817" s="3710"/>
      <c r="F817" s="3710"/>
      <c r="G817" s="3710"/>
      <c r="H817" s="3710"/>
      <c r="I817" s="3710"/>
      <c r="J817" s="3710"/>
      <c r="K817" s="3711"/>
      <c r="L817" s="3712"/>
      <c r="M817" s="3710"/>
      <c r="N817" s="3710"/>
      <c r="O817" s="3710"/>
      <c r="P817" s="3752"/>
      <c r="Q817" s="3710"/>
      <c r="R817" s="3710"/>
      <c r="S817" s="3710"/>
      <c r="T817" s="3710"/>
      <c r="U817" s="3710"/>
      <c r="V817" s="3710"/>
      <c r="W817" s="3710"/>
      <c r="X817" s="3710"/>
      <c r="Y817" s="3710"/>
      <c r="Z817" s="3710"/>
      <c r="AA817" s="3710"/>
      <c r="AB817" s="3710"/>
      <c r="AC817" s="3710"/>
    </row>
    <row r="818" spans="1:29">
      <c r="A818" s="3710"/>
      <c r="B818" s="3710"/>
      <c r="C818" s="3710"/>
      <c r="D818" s="3710"/>
      <c r="E818" s="3710"/>
      <c r="F818" s="3710"/>
      <c r="G818" s="3710"/>
      <c r="H818" s="3710"/>
      <c r="I818" s="3710"/>
      <c r="J818" s="3710"/>
      <c r="K818" s="3711"/>
      <c r="L818" s="3712"/>
      <c r="M818" s="3710"/>
      <c r="N818" s="3710"/>
      <c r="O818" s="3710"/>
      <c r="P818" s="3752"/>
      <c r="Q818" s="3710"/>
      <c r="R818" s="3710"/>
      <c r="S818" s="3710"/>
      <c r="T818" s="3710"/>
      <c r="U818" s="3710"/>
      <c r="V818" s="3710"/>
      <c r="W818" s="3710"/>
      <c r="X818" s="3710"/>
      <c r="Y818" s="3710"/>
      <c r="Z818" s="3710"/>
      <c r="AA818" s="3710"/>
      <c r="AB818" s="3710"/>
      <c r="AC818" s="3710"/>
    </row>
    <row r="819" spans="1:29">
      <c r="A819" s="3710"/>
      <c r="B819" s="3710"/>
      <c r="C819" s="3710"/>
      <c r="D819" s="3710"/>
      <c r="E819" s="3710"/>
      <c r="F819" s="3710"/>
      <c r="G819" s="3710"/>
      <c r="H819" s="3710"/>
      <c r="I819" s="3710"/>
      <c r="J819" s="3710"/>
      <c r="K819" s="3711"/>
      <c r="L819" s="3712"/>
      <c r="M819" s="3710"/>
      <c r="N819" s="3710"/>
      <c r="O819" s="3710"/>
      <c r="P819" s="3752"/>
      <c r="Q819" s="3710"/>
      <c r="R819" s="3710"/>
      <c r="S819" s="3710"/>
      <c r="T819" s="3710"/>
      <c r="U819" s="3710"/>
      <c r="V819" s="3710"/>
      <c r="W819" s="3710"/>
      <c r="X819" s="3710"/>
      <c r="Y819" s="3710"/>
      <c r="Z819" s="3710"/>
      <c r="AA819" s="3710"/>
      <c r="AB819" s="3710"/>
      <c r="AC819" s="3710"/>
    </row>
    <row r="820" spans="1:29">
      <c r="A820" s="3710"/>
      <c r="B820" s="3710"/>
      <c r="C820" s="3710"/>
      <c r="D820" s="3710"/>
      <c r="E820" s="3710"/>
      <c r="F820" s="3710"/>
      <c r="G820" s="3710"/>
      <c r="H820" s="3710"/>
      <c r="I820" s="3710"/>
      <c r="J820" s="3710"/>
      <c r="K820" s="3711"/>
      <c r="L820" s="3712"/>
      <c r="M820" s="3710"/>
      <c r="N820" s="3710"/>
      <c r="O820" s="3710"/>
      <c r="P820" s="3752"/>
      <c r="Q820" s="3710"/>
      <c r="R820" s="3710"/>
      <c r="S820" s="3710"/>
      <c r="T820" s="3710"/>
      <c r="U820" s="3710"/>
      <c r="V820" s="3710"/>
      <c r="W820" s="3710"/>
      <c r="X820" s="3710"/>
      <c r="Y820" s="3710"/>
      <c r="Z820" s="3710"/>
      <c r="AA820" s="3710"/>
      <c r="AB820" s="3710"/>
      <c r="AC820" s="3710"/>
    </row>
    <row r="821" spans="1:29">
      <c r="A821" s="3710"/>
      <c r="B821" s="3710"/>
      <c r="C821" s="3710"/>
      <c r="D821" s="3710"/>
      <c r="E821" s="3710"/>
      <c r="F821" s="3710"/>
      <c r="G821" s="3710"/>
      <c r="H821" s="3710"/>
      <c r="I821" s="3710"/>
      <c r="J821" s="3710"/>
      <c r="K821" s="3711"/>
      <c r="L821" s="3712"/>
      <c r="M821" s="3710"/>
      <c r="N821" s="3710"/>
      <c r="O821" s="3710"/>
      <c r="P821" s="3752"/>
      <c r="Q821" s="3710"/>
      <c r="R821" s="3710"/>
      <c r="S821" s="3710"/>
      <c r="T821" s="3710"/>
      <c r="U821" s="3710"/>
      <c r="V821" s="3710"/>
      <c r="W821" s="3710"/>
      <c r="X821" s="3710"/>
      <c r="Y821" s="3710"/>
      <c r="Z821" s="3710"/>
      <c r="AA821" s="3710"/>
      <c r="AB821" s="3710"/>
      <c r="AC821" s="3710"/>
    </row>
    <row r="822" spans="1:29">
      <c r="A822" s="3710"/>
      <c r="B822" s="3710"/>
      <c r="C822" s="3710"/>
      <c r="D822" s="3710"/>
      <c r="E822" s="3710"/>
      <c r="F822" s="3710"/>
      <c r="G822" s="3710"/>
      <c r="H822" s="3710"/>
      <c r="I822" s="3710"/>
      <c r="J822" s="3710"/>
      <c r="K822" s="3711"/>
      <c r="L822" s="3712"/>
      <c r="M822" s="3710"/>
      <c r="N822" s="3710"/>
      <c r="O822" s="3710"/>
      <c r="P822" s="3752"/>
      <c r="Q822" s="3710"/>
      <c r="R822" s="3710"/>
      <c r="S822" s="3710"/>
      <c r="T822" s="3710"/>
      <c r="U822" s="3710"/>
      <c r="V822" s="3710"/>
      <c r="W822" s="3710"/>
      <c r="X822" s="3710"/>
      <c r="Y822" s="3710"/>
      <c r="Z822" s="3710"/>
      <c r="AA822" s="3710"/>
      <c r="AB822" s="3710"/>
      <c r="AC822" s="3710"/>
    </row>
    <row r="823" spans="1:29">
      <c r="A823" s="3710"/>
      <c r="B823" s="3710"/>
      <c r="C823" s="3710"/>
      <c r="D823" s="3710"/>
      <c r="E823" s="3710"/>
      <c r="F823" s="3710"/>
      <c r="G823" s="3710"/>
      <c r="H823" s="3710"/>
      <c r="I823" s="3710"/>
      <c r="J823" s="3710"/>
      <c r="K823" s="3711"/>
      <c r="L823" s="3712"/>
      <c r="M823" s="3710"/>
      <c r="N823" s="3710"/>
      <c r="O823" s="3710"/>
      <c r="P823" s="3752"/>
      <c r="Q823" s="3710"/>
      <c r="R823" s="3710"/>
      <c r="S823" s="3710"/>
      <c r="T823" s="3710"/>
      <c r="U823" s="3710"/>
      <c r="V823" s="3710"/>
      <c r="W823" s="3710"/>
      <c r="X823" s="3710"/>
      <c r="Y823" s="3710"/>
      <c r="Z823" s="3710"/>
      <c r="AA823" s="3710"/>
      <c r="AB823" s="3710"/>
      <c r="AC823" s="3710"/>
    </row>
    <row r="824" spans="1:29">
      <c r="A824" s="3710"/>
      <c r="B824" s="3710"/>
      <c r="C824" s="3710"/>
      <c r="D824" s="3710"/>
      <c r="E824" s="3710"/>
      <c r="F824" s="3710"/>
      <c r="G824" s="3710"/>
      <c r="H824" s="3710"/>
      <c r="I824" s="3710"/>
      <c r="J824" s="3710"/>
      <c r="K824" s="3711"/>
      <c r="L824" s="3712"/>
      <c r="M824" s="3710"/>
      <c r="N824" s="3710"/>
      <c r="O824" s="3710"/>
      <c r="P824" s="3752"/>
      <c r="Q824" s="3710"/>
      <c r="R824" s="3710"/>
      <c r="S824" s="3710"/>
      <c r="T824" s="3710"/>
      <c r="U824" s="3710"/>
      <c r="V824" s="3710"/>
      <c r="W824" s="3710"/>
      <c r="X824" s="3710"/>
      <c r="Y824" s="3710"/>
      <c r="Z824" s="3710"/>
      <c r="AA824" s="3710"/>
      <c r="AB824" s="3710"/>
      <c r="AC824" s="3710"/>
    </row>
    <row r="825" spans="1:29">
      <c r="A825" s="3710"/>
      <c r="B825" s="3710"/>
      <c r="C825" s="3710"/>
      <c r="D825" s="3710"/>
      <c r="E825" s="3710"/>
      <c r="F825" s="3710"/>
      <c r="G825" s="3710"/>
      <c r="H825" s="3710"/>
      <c r="I825" s="3710"/>
      <c r="J825" s="3710"/>
      <c r="K825" s="3711"/>
      <c r="L825" s="3712"/>
      <c r="M825" s="3710"/>
      <c r="N825" s="3710"/>
      <c r="O825" s="3710"/>
      <c r="P825" s="3752"/>
      <c r="Q825" s="3710"/>
      <c r="R825" s="3710"/>
      <c r="S825" s="3710"/>
      <c r="T825" s="3710"/>
      <c r="U825" s="3710"/>
      <c r="V825" s="3710"/>
      <c r="W825" s="3710"/>
      <c r="X825" s="3710"/>
      <c r="Y825" s="3710"/>
      <c r="Z825" s="3710"/>
      <c r="AA825" s="3710"/>
      <c r="AB825" s="3710"/>
      <c r="AC825" s="3710"/>
    </row>
    <row r="826" spans="1:29">
      <c r="A826" s="3710"/>
      <c r="B826" s="3710"/>
      <c r="C826" s="3710"/>
      <c r="D826" s="3710"/>
      <c r="E826" s="3710"/>
      <c r="F826" s="3710"/>
      <c r="G826" s="3710"/>
      <c r="H826" s="3710"/>
      <c r="I826" s="3710"/>
      <c r="J826" s="3710"/>
      <c r="K826" s="3711"/>
      <c r="L826" s="3712"/>
      <c r="M826" s="3710"/>
      <c r="N826" s="3710"/>
      <c r="O826" s="3710"/>
      <c r="P826" s="3752"/>
      <c r="Q826" s="3710"/>
      <c r="R826" s="3710"/>
      <c r="S826" s="3710"/>
      <c r="T826" s="3710"/>
      <c r="U826" s="3710"/>
      <c r="V826" s="3710"/>
      <c r="W826" s="3710"/>
      <c r="X826" s="3710"/>
      <c r="Y826" s="3710"/>
      <c r="Z826" s="3710"/>
      <c r="AA826" s="3710"/>
      <c r="AB826" s="3710"/>
      <c r="AC826" s="3710"/>
    </row>
    <row r="827" spans="1:29">
      <c r="A827" s="3710"/>
      <c r="B827" s="3710"/>
      <c r="C827" s="3710"/>
      <c r="D827" s="3710"/>
      <c r="E827" s="3710"/>
      <c r="F827" s="3710"/>
      <c r="G827" s="3710"/>
      <c r="H827" s="3710"/>
      <c r="I827" s="3710"/>
      <c r="J827" s="3710"/>
      <c r="K827" s="3711"/>
      <c r="L827" s="3712"/>
      <c r="M827" s="3710"/>
      <c r="N827" s="3710"/>
      <c r="O827" s="3710"/>
      <c r="P827" s="3752"/>
      <c r="Q827" s="3710"/>
      <c r="R827" s="3710"/>
      <c r="S827" s="3710"/>
      <c r="T827" s="3710"/>
      <c r="U827" s="3710"/>
      <c r="V827" s="3710"/>
      <c r="W827" s="3710"/>
      <c r="X827" s="3710"/>
      <c r="Y827" s="3710"/>
      <c r="Z827" s="3710"/>
      <c r="AA827" s="3710"/>
      <c r="AB827" s="3710"/>
      <c r="AC827" s="3710"/>
    </row>
    <row r="828" spans="1:29">
      <c r="A828" s="3710"/>
      <c r="B828" s="3710"/>
      <c r="C828" s="3710"/>
      <c r="D828" s="3710"/>
      <c r="E828" s="3710"/>
      <c r="F828" s="3710"/>
      <c r="G828" s="3710"/>
      <c r="H828" s="3710"/>
      <c r="I828" s="3710"/>
      <c r="J828" s="3710"/>
      <c r="K828" s="3711"/>
      <c r="L828" s="3712"/>
      <c r="M828" s="3710"/>
      <c r="N828" s="3710"/>
      <c r="O828" s="3710"/>
      <c r="P828" s="3752"/>
      <c r="Q828" s="3710"/>
      <c r="R828" s="3710"/>
      <c r="S828" s="3710"/>
      <c r="T828" s="3710"/>
      <c r="U828" s="3710"/>
      <c r="V828" s="3710"/>
      <c r="W828" s="3710"/>
      <c r="X828" s="3710"/>
      <c r="Y828" s="3710"/>
      <c r="Z828" s="3710"/>
      <c r="AA828" s="3710"/>
      <c r="AB828" s="3710"/>
      <c r="AC828" s="3710"/>
    </row>
    <row r="829" spans="1:29">
      <c r="A829" s="3710"/>
      <c r="B829" s="3710"/>
      <c r="C829" s="3710"/>
      <c r="D829" s="3710"/>
      <c r="E829" s="3710"/>
      <c r="F829" s="3710"/>
      <c r="G829" s="3710"/>
      <c r="H829" s="3710"/>
      <c r="I829" s="3710"/>
      <c r="J829" s="3710"/>
      <c r="K829" s="3711"/>
      <c r="L829" s="3712"/>
      <c r="M829" s="3710"/>
      <c r="N829" s="3710"/>
      <c r="O829" s="3710"/>
      <c r="P829" s="3752"/>
      <c r="Q829" s="3710"/>
      <c r="R829" s="3710"/>
      <c r="S829" s="3710"/>
      <c r="T829" s="3710"/>
      <c r="U829" s="3710"/>
      <c r="V829" s="3710"/>
      <c r="W829" s="3710"/>
      <c r="X829" s="3710"/>
      <c r="Y829" s="3710"/>
      <c r="Z829" s="3710"/>
      <c r="AA829" s="3710"/>
      <c r="AB829" s="3710"/>
      <c r="AC829" s="3710"/>
    </row>
    <row r="830" spans="1:29">
      <c r="A830" s="3710"/>
      <c r="B830" s="3710"/>
      <c r="C830" s="3710"/>
      <c r="D830" s="3710"/>
      <c r="E830" s="3710"/>
      <c r="F830" s="3710"/>
      <c r="G830" s="3710"/>
      <c r="H830" s="3710"/>
      <c r="I830" s="3710"/>
      <c r="J830" s="3710"/>
      <c r="K830" s="3711"/>
      <c r="L830" s="3712"/>
      <c r="M830" s="3710"/>
      <c r="N830" s="3710"/>
      <c r="O830" s="3710"/>
      <c r="P830" s="3752"/>
      <c r="Q830" s="3710"/>
      <c r="R830" s="3710"/>
      <c r="S830" s="3710"/>
      <c r="T830" s="3710"/>
      <c r="U830" s="3710"/>
      <c r="V830" s="3710"/>
      <c r="W830" s="3710"/>
      <c r="X830" s="3710"/>
      <c r="Y830" s="3710"/>
      <c r="Z830" s="3710"/>
      <c r="AA830" s="3710"/>
      <c r="AB830" s="3710"/>
      <c r="AC830" s="3710"/>
    </row>
    <row r="831" spans="1:29">
      <c r="A831" s="3710"/>
      <c r="B831" s="3710"/>
      <c r="C831" s="3710"/>
      <c r="D831" s="3710"/>
      <c r="E831" s="3710"/>
      <c r="F831" s="3710"/>
      <c r="G831" s="3710"/>
      <c r="H831" s="3710"/>
      <c r="I831" s="3710"/>
      <c r="J831" s="3710"/>
      <c r="K831" s="3711"/>
      <c r="L831" s="3712"/>
      <c r="M831" s="3710"/>
      <c r="N831" s="3710"/>
      <c r="O831" s="3710"/>
      <c r="P831" s="3752"/>
      <c r="Q831" s="3710"/>
      <c r="R831" s="3710"/>
      <c r="S831" s="3710"/>
      <c r="T831" s="3710"/>
      <c r="U831" s="3710"/>
      <c r="V831" s="3710"/>
      <c r="W831" s="3710"/>
      <c r="X831" s="3710"/>
      <c r="Y831" s="3710"/>
      <c r="Z831" s="3710"/>
      <c r="AA831" s="3710"/>
      <c r="AB831" s="3710"/>
      <c r="AC831" s="3710"/>
    </row>
    <row r="832" spans="1:29">
      <c r="A832" s="3710"/>
      <c r="B832" s="3710"/>
      <c r="C832" s="3710"/>
      <c r="D832" s="3710"/>
      <c r="E832" s="3710"/>
      <c r="F832" s="3710"/>
      <c r="G832" s="3710"/>
      <c r="H832" s="3710"/>
      <c r="I832" s="3710"/>
      <c r="J832" s="3710"/>
      <c r="K832" s="3711"/>
      <c r="L832" s="3712"/>
      <c r="M832" s="3710"/>
      <c r="N832" s="3710"/>
      <c r="O832" s="3710"/>
      <c r="P832" s="3752"/>
      <c r="Q832" s="3710"/>
      <c r="R832" s="3710"/>
      <c r="S832" s="3710"/>
      <c r="T832" s="3710"/>
      <c r="U832" s="3710"/>
      <c r="V832" s="3710"/>
      <c r="W832" s="3710"/>
      <c r="X832" s="3710"/>
      <c r="Y832" s="3710"/>
      <c r="Z832" s="3710"/>
      <c r="AA832" s="3710"/>
      <c r="AB832" s="3710"/>
      <c r="AC832" s="3710"/>
    </row>
    <row r="833" spans="1:29">
      <c r="A833" s="3710"/>
      <c r="B833" s="3710"/>
      <c r="C833" s="3710"/>
      <c r="D833" s="3710"/>
      <c r="E833" s="3710"/>
      <c r="F833" s="3710"/>
      <c r="G833" s="3710"/>
      <c r="H833" s="3710"/>
      <c r="I833" s="3710"/>
      <c r="J833" s="3710"/>
      <c r="K833" s="3711"/>
      <c r="L833" s="3712"/>
      <c r="M833" s="3710"/>
      <c r="N833" s="3710"/>
      <c r="O833" s="3710"/>
      <c r="P833" s="3752"/>
      <c r="Q833" s="3710"/>
      <c r="R833" s="3710"/>
      <c r="S833" s="3710"/>
      <c r="T833" s="3710"/>
      <c r="U833" s="3710"/>
      <c r="V833" s="3710"/>
      <c r="W833" s="3710"/>
      <c r="X833" s="3710"/>
      <c r="Y833" s="3710"/>
      <c r="Z833" s="3710"/>
      <c r="AA833" s="3710"/>
      <c r="AB833" s="3710"/>
      <c r="AC833" s="3710"/>
    </row>
    <row r="834" spans="1:29">
      <c r="A834" s="3710"/>
      <c r="B834" s="3710"/>
      <c r="C834" s="3710"/>
      <c r="D834" s="3710"/>
      <c r="E834" s="3710"/>
      <c r="F834" s="3710"/>
      <c r="G834" s="3710"/>
      <c r="H834" s="3710"/>
      <c r="I834" s="3710"/>
      <c r="J834" s="3710"/>
      <c r="K834" s="3711"/>
      <c r="L834" s="3712"/>
      <c r="M834" s="3710"/>
      <c r="N834" s="3710"/>
      <c r="O834" s="3710"/>
      <c r="P834" s="3752"/>
      <c r="Q834" s="3710"/>
      <c r="R834" s="3710"/>
      <c r="S834" s="3710"/>
      <c r="T834" s="3710"/>
      <c r="U834" s="3710"/>
      <c r="V834" s="3710"/>
      <c r="W834" s="3710"/>
      <c r="X834" s="3710"/>
      <c r="Y834" s="3710"/>
      <c r="Z834" s="3710"/>
      <c r="AA834" s="3710"/>
      <c r="AB834" s="3710"/>
      <c r="AC834" s="3710"/>
    </row>
    <row r="835" spans="1:29">
      <c r="A835" s="3710"/>
      <c r="B835" s="3710"/>
      <c r="C835" s="3710"/>
      <c r="D835" s="3710"/>
      <c r="E835" s="3710"/>
      <c r="F835" s="3710"/>
      <c r="G835" s="3710"/>
      <c r="H835" s="3710"/>
      <c r="I835" s="3710"/>
      <c r="J835" s="3710"/>
      <c r="K835" s="3711"/>
      <c r="L835" s="3712"/>
      <c r="M835" s="3710"/>
      <c r="N835" s="3710"/>
      <c r="O835" s="3710"/>
      <c r="P835" s="3752"/>
      <c r="Q835" s="3710"/>
      <c r="R835" s="3710"/>
      <c r="S835" s="3710"/>
      <c r="T835" s="3710"/>
      <c r="U835" s="3710"/>
      <c r="V835" s="3710"/>
      <c r="W835" s="3710"/>
      <c r="X835" s="3710"/>
      <c r="Y835" s="3710"/>
      <c r="Z835" s="3710"/>
      <c r="AA835" s="3710"/>
      <c r="AB835" s="3710"/>
      <c r="AC835" s="3710"/>
    </row>
    <row r="836" spans="1:29">
      <c r="A836" s="3710"/>
      <c r="B836" s="3710"/>
      <c r="C836" s="3710"/>
      <c r="D836" s="3710"/>
      <c r="E836" s="3710"/>
      <c r="F836" s="3710"/>
      <c r="G836" s="3710"/>
      <c r="H836" s="3710"/>
      <c r="I836" s="3710"/>
      <c r="J836" s="3710"/>
      <c r="K836" s="3711"/>
      <c r="L836" s="3712"/>
      <c r="M836" s="3710"/>
      <c r="N836" s="3710"/>
      <c r="O836" s="3710"/>
      <c r="P836" s="3752"/>
      <c r="Q836" s="3710"/>
      <c r="R836" s="3710"/>
      <c r="S836" s="3710"/>
      <c r="T836" s="3710"/>
      <c r="U836" s="3710"/>
      <c r="V836" s="3710"/>
      <c r="W836" s="3710"/>
      <c r="X836" s="3710"/>
      <c r="Y836" s="3710"/>
      <c r="Z836" s="3710"/>
      <c r="AA836" s="3710"/>
      <c r="AB836" s="3710"/>
      <c r="AC836" s="3710"/>
    </row>
    <row r="837" spans="1:29">
      <c r="A837" s="3710"/>
      <c r="B837" s="3710"/>
      <c r="C837" s="3710"/>
      <c r="D837" s="3710"/>
      <c r="E837" s="3710"/>
      <c r="F837" s="3710"/>
      <c r="G837" s="3710"/>
      <c r="H837" s="3710"/>
      <c r="I837" s="3710"/>
      <c r="J837" s="3710"/>
      <c r="K837" s="3711"/>
      <c r="L837" s="3712"/>
      <c r="M837" s="3710"/>
      <c r="N837" s="3710"/>
      <c r="O837" s="3710"/>
      <c r="P837" s="3752"/>
      <c r="Q837" s="3710"/>
      <c r="R837" s="3710"/>
      <c r="S837" s="3710"/>
      <c r="T837" s="3710"/>
      <c r="U837" s="3710"/>
      <c r="V837" s="3710"/>
      <c r="W837" s="3710"/>
      <c r="X837" s="3710"/>
      <c r="Y837" s="3710"/>
      <c r="Z837" s="3710"/>
      <c r="AA837" s="3710"/>
      <c r="AB837" s="3710"/>
      <c r="AC837" s="3710"/>
    </row>
    <row r="838" spans="1:29">
      <c r="A838" s="3710"/>
      <c r="B838" s="3710"/>
      <c r="C838" s="3710"/>
      <c r="D838" s="3710"/>
      <c r="E838" s="3710"/>
      <c r="F838" s="3710"/>
      <c r="G838" s="3710"/>
      <c r="H838" s="3710"/>
      <c r="I838" s="3710"/>
      <c r="J838" s="3710"/>
      <c r="K838" s="3711"/>
      <c r="L838" s="3712"/>
      <c r="M838" s="3710"/>
      <c r="N838" s="3710"/>
      <c r="O838" s="3710"/>
      <c r="P838" s="3752"/>
      <c r="Q838" s="3710"/>
      <c r="R838" s="3710"/>
      <c r="S838" s="3710"/>
      <c r="T838" s="3710"/>
      <c r="U838" s="3710"/>
      <c r="V838" s="3710"/>
      <c r="W838" s="3710"/>
      <c r="X838" s="3710"/>
      <c r="Y838" s="3710"/>
      <c r="Z838" s="3710"/>
      <c r="AA838" s="3710"/>
      <c r="AB838" s="3710"/>
      <c r="AC838" s="3710"/>
    </row>
    <row r="839" spans="1:29">
      <c r="A839" s="3710"/>
      <c r="B839" s="3710"/>
      <c r="C839" s="3710"/>
      <c r="D839" s="3710"/>
      <c r="E839" s="3710"/>
      <c r="F839" s="3710"/>
      <c r="G839" s="3710"/>
      <c r="H839" s="3710"/>
      <c r="I839" s="3710"/>
      <c r="J839" s="3710"/>
      <c r="K839" s="3711"/>
      <c r="L839" s="3712"/>
      <c r="M839" s="3710"/>
      <c r="N839" s="3710"/>
      <c r="O839" s="3710"/>
      <c r="P839" s="3752"/>
      <c r="Q839" s="3710"/>
      <c r="R839" s="3710"/>
      <c r="S839" s="3710"/>
      <c r="T839" s="3710"/>
      <c r="U839" s="3710"/>
      <c r="V839" s="3710"/>
      <c r="W839" s="3710"/>
      <c r="X839" s="3710"/>
      <c r="Y839" s="3710"/>
      <c r="Z839" s="3710"/>
      <c r="AA839" s="3710"/>
      <c r="AB839" s="3710"/>
      <c r="AC839" s="3710"/>
    </row>
    <row r="840" spans="1:29">
      <c r="A840" s="3710"/>
      <c r="B840" s="3710"/>
      <c r="C840" s="3710"/>
      <c r="D840" s="3710"/>
      <c r="E840" s="3710"/>
      <c r="F840" s="3710"/>
      <c r="G840" s="3710"/>
      <c r="H840" s="3710"/>
      <c r="I840" s="3710"/>
      <c r="J840" s="3710"/>
      <c r="K840" s="3711"/>
      <c r="L840" s="3712"/>
      <c r="M840" s="3710"/>
      <c r="N840" s="3710"/>
      <c r="O840" s="3710"/>
      <c r="P840" s="3752"/>
      <c r="Q840" s="3710"/>
      <c r="R840" s="3710"/>
      <c r="S840" s="3710"/>
      <c r="T840" s="3710"/>
      <c r="U840" s="3710"/>
      <c r="V840" s="3710"/>
      <c r="W840" s="3710"/>
      <c r="X840" s="3710"/>
      <c r="Y840" s="3710"/>
      <c r="Z840" s="3710"/>
      <c r="AA840" s="3710"/>
      <c r="AB840" s="3710"/>
      <c r="AC840" s="3710"/>
    </row>
    <row r="841" spans="1:29">
      <c r="A841" s="3710"/>
      <c r="B841" s="3710"/>
      <c r="C841" s="3710"/>
      <c r="D841" s="3710"/>
      <c r="E841" s="3710"/>
      <c r="F841" s="3710"/>
      <c r="G841" s="3710"/>
      <c r="H841" s="3710"/>
      <c r="I841" s="3710"/>
      <c r="J841" s="3710"/>
      <c r="K841" s="3711"/>
      <c r="L841" s="3712"/>
      <c r="M841" s="3710"/>
      <c r="N841" s="3710"/>
      <c r="O841" s="3710"/>
      <c r="P841" s="3752"/>
      <c r="Q841" s="3710"/>
      <c r="R841" s="3710"/>
      <c r="S841" s="3710"/>
      <c r="T841" s="3710"/>
      <c r="U841" s="3710"/>
      <c r="V841" s="3710"/>
      <c r="W841" s="3710"/>
      <c r="X841" s="3710"/>
      <c r="Y841" s="3710"/>
      <c r="Z841" s="3710"/>
      <c r="AA841" s="3710"/>
      <c r="AB841" s="3710"/>
      <c r="AC841" s="3710"/>
    </row>
    <row r="842" spans="1:29">
      <c r="A842" s="3710"/>
      <c r="B842" s="3710"/>
      <c r="C842" s="3710"/>
      <c r="D842" s="3710"/>
      <c r="E842" s="3710"/>
      <c r="F842" s="3710"/>
      <c r="G842" s="3710"/>
      <c r="H842" s="3710"/>
      <c r="I842" s="3710"/>
      <c r="J842" s="3710"/>
      <c r="K842" s="3711"/>
      <c r="L842" s="3712"/>
      <c r="M842" s="3710"/>
      <c r="N842" s="3710"/>
      <c r="O842" s="3710"/>
      <c r="P842" s="3752"/>
      <c r="Q842" s="3710"/>
      <c r="R842" s="3710"/>
      <c r="S842" s="3710"/>
      <c r="T842" s="3710"/>
      <c r="U842" s="3710"/>
      <c r="V842" s="3710"/>
      <c r="W842" s="3710"/>
      <c r="X842" s="3710"/>
      <c r="Y842" s="3710"/>
      <c r="Z842" s="3710"/>
      <c r="AA842" s="3710"/>
      <c r="AB842" s="3710"/>
      <c r="AC842" s="3710"/>
    </row>
    <row r="843" spans="1:29">
      <c r="A843" s="3710"/>
      <c r="B843" s="3710"/>
      <c r="C843" s="3710"/>
      <c r="D843" s="3710"/>
      <c r="E843" s="3710"/>
      <c r="F843" s="3710"/>
      <c r="G843" s="3710"/>
      <c r="H843" s="3710"/>
      <c r="I843" s="3710"/>
      <c r="J843" s="3710"/>
      <c r="K843" s="3711"/>
      <c r="L843" s="3712"/>
      <c r="M843" s="3710"/>
      <c r="N843" s="3710"/>
      <c r="O843" s="3710"/>
      <c r="P843" s="3752"/>
      <c r="Q843" s="3710"/>
      <c r="R843" s="3710"/>
      <c r="S843" s="3710"/>
      <c r="T843" s="3710"/>
      <c r="U843" s="3710"/>
      <c r="V843" s="3710"/>
      <c r="W843" s="3710"/>
      <c r="X843" s="3710"/>
      <c r="Y843" s="3710"/>
      <c r="Z843" s="3710"/>
      <c r="AA843" s="3710"/>
      <c r="AB843" s="3710"/>
      <c r="AC843" s="3710"/>
    </row>
    <row r="844" spans="1:29">
      <c r="A844" s="3710"/>
      <c r="B844" s="3710"/>
      <c r="C844" s="3710"/>
      <c r="D844" s="3710"/>
      <c r="E844" s="3710"/>
      <c r="F844" s="3710"/>
      <c r="G844" s="3710"/>
      <c r="H844" s="3710"/>
      <c r="I844" s="3710"/>
      <c r="J844" s="3710"/>
      <c r="K844" s="3711"/>
      <c r="L844" s="3712"/>
      <c r="M844" s="3710"/>
      <c r="N844" s="3710"/>
      <c r="O844" s="3710"/>
      <c r="P844" s="3752"/>
      <c r="Q844" s="3710"/>
      <c r="R844" s="3710"/>
      <c r="S844" s="3710"/>
      <c r="T844" s="3710"/>
      <c r="U844" s="3710"/>
      <c r="V844" s="3710"/>
      <c r="W844" s="3710"/>
      <c r="X844" s="3710"/>
      <c r="Y844" s="3710"/>
      <c r="Z844" s="3710"/>
      <c r="AA844" s="3710"/>
      <c r="AB844" s="3710"/>
      <c r="AC844" s="3710"/>
    </row>
    <row r="845" spans="1:29">
      <c r="A845" s="3710"/>
      <c r="B845" s="3710"/>
      <c r="C845" s="3710"/>
      <c r="D845" s="3710"/>
      <c r="E845" s="3710"/>
      <c r="F845" s="3710"/>
      <c r="G845" s="3710"/>
      <c r="H845" s="3710"/>
      <c r="I845" s="3710"/>
      <c r="J845" s="3710"/>
      <c r="K845" s="3711"/>
      <c r="L845" s="3712"/>
      <c r="M845" s="3710"/>
      <c r="N845" s="3710"/>
      <c r="O845" s="3710"/>
      <c r="P845" s="3752"/>
      <c r="Q845" s="3710"/>
      <c r="R845" s="3710"/>
      <c r="S845" s="3710"/>
      <c r="T845" s="3710"/>
      <c r="U845" s="3710"/>
      <c r="V845" s="3710"/>
      <c r="W845" s="3710"/>
      <c r="X845" s="3710"/>
      <c r="Y845" s="3710"/>
      <c r="Z845" s="3710"/>
      <c r="AA845" s="3710"/>
      <c r="AB845" s="3710"/>
      <c r="AC845" s="3710"/>
    </row>
    <row r="846" spans="1:29">
      <c r="A846" s="3710"/>
      <c r="B846" s="3710"/>
      <c r="C846" s="3710"/>
      <c r="D846" s="3710"/>
      <c r="E846" s="3710"/>
      <c r="F846" s="3710"/>
      <c r="G846" s="3710"/>
      <c r="H846" s="3710"/>
      <c r="I846" s="3710"/>
      <c r="J846" s="3710"/>
      <c r="K846" s="3711"/>
      <c r="L846" s="3712"/>
      <c r="M846" s="3710"/>
      <c r="N846" s="3710"/>
      <c r="O846" s="3710"/>
      <c r="P846" s="3752"/>
      <c r="Q846" s="3710"/>
      <c r="R846" s="3710"/>
      <c r="S846" s="3710"/>
      <c r="T846" s="3710"/>
      <c r="U846" s="3710"/>
      <c r="V846" s="3710"/>
      <c r="W846" s="3710"/>
      <c r="X846" s="3710"/>
      <c r="Y846" s="3710"/>
      <c r="Z846" s="3710"/>
      <c r="AA846" s="3710"/>
      <c r="AB846" s="3710"/>
      <c r="AC846" s="3710"/>
    </row>
    <row r="847" spans="1:29">
      <c r="A847" s="3710"/>
      <c r="B847" s="3710"/>
      <c r="C847" s="3710"/>
      <c r="D847" s="3710"/>
      <c r="E847" s="3710"/>
      <c r="F847" s="3710"/>
      <c r="G847" s="3710"/>
      <c r="H847" s="3710"/>
      <c r="I847" s="3710"/>
      <c r="J847" s="3710"/>
      <c r="K847" s="3711"/>
      <c r="L847" s="3712"/>
      <c r="M847" s="3710"/>
      <c r="N847" s="3710"/>
      <c r="O847" s="3710"/>
      <c r="P847" s="3752"/>
      <c r="Q847" s="3710"/>
      <c r="R847" s="3710"/>
      <c r="S847" s="3710"/>
      <c r="T847" s="3710"/>
      <c r="U847" s="3710"/>
      <c r="V847" s="3710"/>
      <c r="W847" s="3710"/>
      <c r="X847" s="3710"/>
      <c r="Y847" s="3710"/>
      <c r="Z847" s="3710"/>
      <c r="AA847" s="3710"/>
      <c r="AB847" s="3710"/>
      <c r="AC847" s="3710"/>
    </row>
    <row r="848" spans="1:29">
      <c r="A848" s="3710"/>
      <c r="B848" s="3710"/>
      <c r="C848" s="3710"/>
      <c r="D848" s="3710"/>
      <c r="E848" s="3710"/>
      <c r="F848" s="3710"/>
      <c r="G848" s="3710"/>
      <c r="H848" s="3710"/>
      <c r="I848" s="3710"/>
      <c r="J848" s="3710"/>
      <c r="K848" s="3711"/>
      <c r="L848" s="3712"/>
      <c r="M848" s="3710"/>
      <c r="N848" s="3710"/>
      <c r="O848" s="3710"/>
      <c r="P848" s="3752"/>
      <c r="Q848" s="3710"/>
      <c r="R848" s="3710"/>
      <c r="S848" s="3710"/>
      <c r="T848" s="3710"/>
      <c r="U848" s="3710"/>
      <c r="V848" s="3710"/>
      <c r="W848" s="3710"/>
      <c r="X848" s="3710"/>
      <c r="Y848" s="3710"/>
      <c r="Z848" s="3710"/>
      <c r="AA848" s="3710"/>
      <c r="AB848" s="3710"/>
      <c r="AC848" s="3710"/>
    </row>
    <row r="849" spans="1:29">
      <c r="A849" s="3710"/>
      <c r="B849" s="3710"/>
      <c r="C849" s="3710"/>
      <c r="D849" s="3710"/>
      <c r="E849" s="3710"/>
      <c r="F849" s="3710"/>
      <c r="G849" s="3710"/>
      <c r="H849" s="3710"/>
      <c r="I849" s="3710"/>
      <c r="J849" s="3710"/>
      <c r="K849" s="3711"/>
      <c r="L849" s="3712"/>
      <c r="M849" s="3710"/>
      <c r="N849" s="3710"/>
      <c r="O849" s="3710"/>
      <c r="P849" s="3752"/>
      <c r="Q849" s="3710"/>
      <c r="R849" s="3710"/>
      <c r="S849" s="3710"/>
      <c r="T849" s="3710"/>
      <c r="U849" s="3710"/>
      <c r="V849" s="3710"/>
      <c r="W849" s="3710"/>
      <c r="X849" s="3710"/>
      <c r="Y849" s="3710"/>
      <c r="Z849" s="3710"/>
      <c r="AA849" s="3710"/>
      <c r="AB849" s="3710"/>
      <c r="AC849" s="3710"/>
    </row>
    <row r="850" spans="1:29">
      <c r="A850" s="3710"/>
      <c r="B850" s="3710"/>
      <c r="C850" s="3710"/>
      <c r="D850" s="3710"/>
      <c r="E850" s="3710"/>
      <c r="F850" s="3710"/>
      <c r="G850" s="3710"/>
      <c r="H850" s="3710"/>
      <c r="I850" s="3710"/>
      <c r="J850" s="3710"/>
      <c r="K850" s="3711"/>
      <c r="L850" s="3712"/>
      <c r="M850" s="3710"/>
      <c r="N850" s="3710"/>
      <c r="O850" s="3710"/>
      <c r="P850" s="3752"/>
      <c r="Q850" s="3710"/>
      <c r="R850" s="3710"/>
      <c r="S850" s="3710"/>
      <c r="T850" s="3710"/>
      <c r="U850" s="3710"/>
      <c r="V850" s="3710"/>
      <c r="W850" s="3710"/>
      <c r="X850" s="3710"/>
      <c r="Y850" s="3710"/>
      <c r="Z850" s="3710"/>
      <c r="AA850" s="3710"/>
      <c r="AB850" s="3710"/>
      <c r="AC850" s="3710"/>
    </row>
    <row r="851" spans="1:29">
      <c r="A851" s="3710"/>
      <c r="B851" s="3710"/>
      <c r="C851" s="3710"/>
      <c r="D851" s="3710"/>
      <c r="E851" s="3710"/>
      <c r="F851" s="3710"/>
      <c r="G851" s="3710"/>
      <c r="H851" s="3710"/>
      <c r="I851" s="3710"/>
      <c r="J851" s="3710"/>
      <c r="K851" s="3711"/>
      <c r="L851" s="3712"/>
      <c r="M851" s="3710"/>
      <c r="N851" s="3710"/>
      <c r="O851" s="3710"/>
      <c r="P851" s="3752"/>
      <c r="Q851" s="3710"/>
      <c r="R851" s="3710"/>
      <c r="S851" s="3710"/>
      <c r="T851" s="3710"/>
      <c r="U851" s="3710"/>
      <c r="V851" s="3710"/>
      <c r="W851" s="3710"/>
      <c r="X851" s="3710"/>
      <c r="Y851" s="3710"/>
      <c r="Z851" s="3710"/>
      <c r="AA851" s="3710"/>
      <c r="AB851" s="3710"/>
      <c r="AC851" s="3710"/>
    </row>
    <row r="852" spans="1:29">
      <c r="A852" s="3710"/>
      <c r="B852" s="3710"/>
      <c r="C852" s="3710"/>
      <c r="D852" s="3710"/>
      <c r="E852" s="3710"/>
      <c r="F852" s="3710"/>
      <c r="G852" s="3710"/>
      <c r="H852" s="3710"/>
      <c r="I852" s="3710"/>
      <c r="J852" s="3710"/>
      <c r="K852" s="3711"/>
      <c r="L852" s="3712"/>
      <c r="M852" s="3710"/>
      <c r="N852" s="3710"/>
      <c r="O852" s="3710"/>
      <c r="P852" s="3752"/>
      <c r="Q852" s="3710"/>
      <c r="R852" s="3710"/>
      <c r="S852" s="3710"/>
      <c r="T852" s="3710"/>
      <c r="U852" s="3710"/>
      <c r="V852" s="3710"/>
      <c r="W852" s="3710"/>
      <c r="X852" s="3710"/>
      <c r="Y852" s="3710"/>
      <c r="Z852" s="3710"/>
      <c r="AA852" s="3710"/>
      <c r="AB852" s="3710"/>
      <c r="AC852" s="3710"/>
    </row>
    <row r="853" spans="1:29">
      <c r="A853" s="3710"/>
      <c r="B853" s="3710"/>
      <c r="C853" s="3710"/>
      <c r="D853" s="3710"/>
      <c r="E853" s="3710"/>
      <c r="F853" s="3710"/>
      <c r="G853" s="3710"/>
      <c r="H853" s="3710"/>
      <c r="I853" s="3710"/>
      <c r="J853" s="3710"/>
      <c r="K853" s="3711"/>
      <c r="L853" s="3712"/>
      <c r="M853" s="3710"/>
      <c r="N853" s="3710"/>
      <c r="O853" s="3710"/>
      <c r="P853" s="3752"/>
      <c r="Q853" s="3710"/>
      <c r="R853" s="3710"/>
      <c r="S853" s="3710"/>
      <c r="T853" s="3710"/>
      <c r="U853" s="3710"/>
      <c r="V853" s="3710"/>
      <c r="W853" s="3710"/>
      <c r="X853" s="3710"/>
      <c r="Y853" s="3710"/>
      <c r="Z853" s="3710"/>
      <c r="AA853" s="3710"/>
      <c r="AB853" s="3710"/>
      <c r="AC853" s="371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RowHeight="13.5"/>
  <cols>
    <col min="1" max="16384" width="9" style="3361"/>
  </cols>
  <sheetData>
    <row r="1" spans="1:1">
      <c r="A1" s="3361" t="s">
        <v>3224</v>
      </c>
    </row>
    <row r="2" spans="1:1">
      <c r="A2" s="3361">
        <v>33000</v>
      </c>
    </row>
    <row r="40" spans="1:1">
      <c r="A40" s="3361" t="s">
        <v>3225</v>
      </c>
    </row>
    <row r="41" spans="1:1">
      <c r="A41" s="3361">
        <v>37523</v>
      </c>
    </row>
    <row r="86" spans="1:1">
      <c r="A86" s="3361" t="s">
        <v>3226</v>
      </c>
    </row>
    <row r="87" spans="1:1">
      <c r="A87" s="3361">
        <v>36800</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972011</v>
      </c>
      <c r="C2" s="3251"/>
      <c r="D2" s="3252"/>
      <c r="E2" s="3253"/>
      <c r="F2" s="3253"/>
      <c r="G2" s="3247"/>
      <c r="H2" s="1938"/>
      <c r="I2" s="1938"/>
      <c r="J2" s="1938"/>
      <c r="K2" s="1939"/>
      <c r="L2" s="1938"/>
      <c r="M2" s="1938"/>
    </row>
    <row r="3" spans="1:33" ht="18" customHeight="1" thickBot="1">
      <c r="A3" s="820" t="s">
        <v>1715</v>
      </c>
      <c r="B3" s="821">
        <f ca="1">IF(ISERROR(B2*10000/F43),0,ROUND(B2*10000/F43,0))</f>
        <v>26777</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80552</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80451</v>
      </c>
      <c r="D6" s="2348" t="s">
        <v>2441</v>
      </c>
      <c r="E6" s="772" t="s">
        <v>1726</v>
      </c>
      <c r="F6" s="773">
        <f ca="1">INDIRECT("'数据-取费表'!u"&amp;$G$1)</f>
        <v>6.9</v>
      </c>
      <c r="G6" s="1943"/>
      <c r="H6" s="2355" t="s">
        <v>2447</v>
      </c>
      <c r="I6" s="4059" t="s">
        <v>2442</v>
      </c>
      <c r="J6" s="771">
        <f ca="1">ROUND(M6*M8*M7*(1-M9)/10000,0)</f>
        <v>0</v>
      </c>
      <c r="K6" s="337" t="s">
        <v>1725</v>
      </c>
      <c r="L6" s="772" t="s">
        <v>1726</v>
      </c>
      <c r="M6" s="773">
        <f ca="1">INDIRECT("'数据-取费表'!z"&amp;$G$1)</f>
        <v>0</v>
      </c>
    </row>
    <row r="7" spans="1:33" ht="18" customHeight="1">
      <c r="A7" s="2351"/>
      <c r="B7" s="4060"/>
      <c r="C7" s="776"/>
      <c r="D7" s="777"/>
      <c r="E7" s="772" t="s">
        <v>1727</v>
      </c>
      <c r="F7" s="3360">
        <f ca="1">IF(INDIRECT("'数据-取费表'!ah"&amp;$G$1)="",INDIRECT("'数据-取费表'!k"&amp;$G$1),INDIRECT("'数据-取费表'!ah"&amp;$G$1))</f>
        <v>363000</v>
      </c>
      <c r="G7" s="1943"/>
      <c r="H7" s="2340"/>
      <c r="I7" s="4060"/>
      <c r="J7" s="776"/>
      <c r="K7" s="777"/>
      <c r="L7" s="772" t="s">
        <v>1727</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1729</v>
      </c>
      <c r="F9" s="782">
        <f ca="1">INDIRECT("'数据-取费表'!w"&amp;$G$1)</f>
        <v>0.12</v>
      </c>
      <c r="G9" s="1943"/>
      <c r="H9" s="2356"/>
      <c r="I9" s="4061"/>
      <c r="J9" s="776"/>
      <c r="K9" s="777"/>
      <c r="L9" s="783" t="s">
        <v>1729</v>
      </c>
      <c r="M9" s="784">
        <f ca="1">INDIRECT("'数据-取费表'!ab"&amp;$G$1)</f>
        <v>0</v>
      </c>
    </row>
    <row r="10" spans="1:33" ht="18" customHeight="1">
      <c r="A10" s="1743" t="s">
        <v>2445</v>
      </c>
      <c r="B10" s="2345" t="s">
        <v>2438</v>
      </c>
      <c r="C10" s="787">
        <f ca="1">ROUND(IF(F10="押一",C6/12*F11,IF(F10="押二",C6/12*2*F11,IF(F10="押三",C6/12*3*F11,C11*F11))),0)</f>
        <v>101</v>
      </c>
      <c r="D10" s="2352" t="s">
        <v>2933</v>
      </c>
      <c r="E10" s="2349" t="s">
        <v>2443</v>
      </c>
      <c r="F10" s="2463" t="s">
        <v>3166</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288281</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181500</v>
      </c>
      <c r="D14" s="1891" t="s">
        <v>1733</v>
      </c>
      <c r="E14" s="1892"/>
      <c r="F14" s="793"/>
      <c r="G14" s="1943"/>
      <c r="H14" s="1576" t="s">
        <v>1818</v>
      </c>
      <c r="I14" s="2109" t="s">
        <v>2803</v>
      </c>
      <c r="J14" s="52">
        <f ca="1">C29</f>
        <v>288281</v>
      </c>
      <c r="K14" s="25"/>
      <c r="L14" s="789"/>
      <c r="M14" s="790"/>
    </row>
    <row r="15" spans="1:33" s="1945" customFormat="1" ht="18" customHeight="1" thickBot="1">
      <c r="A15" s="1575" t="s">
        <v>1873</v>
      </c>
      <c r="B15" s="772" t="s">
        <v>639</v>
      </c>
      <c r="C15" s="52">
        <f ca="1">ROUND(C14*F15,0)</f>
        <v>5445</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31427</v>
      </c>
      <c r="K16" s="1734" t="s">
        <v>1738</v>
      </c>
      <c r="L16" s="2337"/>
      <c r="M16" s="2342"/>
    </row>
    <row r="17" spans="1:33" s="1945" customFormat="1" ht="18" customHeight="1">
      <c r="A17" s="1575" t="s">
        <v>1875</v>
      </c>
      <c r="B17" s="772" t="s">
        <v>645</v>
      </c>
      <c r="C17" s="52">
        <f ca="1">ROUND(F17*(F43+INDIRECT("'数据-取费表'!S"&amp;$G$1))/10000,0)</f>
        <v>7260</v>
      </c>
      <c r="D17" s="772" t="s">
        <v>1739</v>
      </c>
      <c r="E17" s="772" t="s">
        <v>1740</v>
      </c>
      <c r="F17" s="55">
        <f>'数据-取费表'!B35</f>
        <v>200</v>
      </c>
      <c r="G17" s="3248"/>
      <c r="H17" s="1576" t="s">
        <v>1818</v>
      </c>
      <c r="I17" s="772" t="s">
        <v>648</v>
      </c>
      <c r="J17" s="3008">
        <f ca="1">ROUND(IF(AND(项目基本情况!B11="自然人",项目基本情况!B10="北京市"),J6*M17/(1+'数据-取费表'!C42),J18+J19+J20),0)</f>
        <v>24220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196928</v>
      </c>
      <c r="D19" s="257" t="s">
        <v>1745</v>
      </c>
      <c r="E19" s="1894"/>
      <c r="F19" s="55"/>
      <c r="G19" s="1943"/>
      <c r="H19" s="1575" t="s">
        <v>1873</v>
      </c>
      <c r="I19" s="772" t="s">
        <v>1746</v>
      </c>
      <c r="J19" s="52">
        <f ca="1">IF(K19="按租金收入计税",ROUND(J6*M19/(1+'数据-取费表'!C42),1),ROUND(C29*F33*0.7,1))</f>
        <v>24215.599999999999</v>
      </c>
      <c r="K19" s="798" t="s">
        <v>657</v>
      </c>
      <c r="L19" s="772" t="s">
        <v>1735</v>
      </c>
      <c r="M19" s="797">
        <f>IF(K19="按租金收入计税",'数据-取费表'!B51,'数据-取费表'!B50)</f>
        <v>1.2E-2</v>
      </c>
    </row>
    <row r="20" spans="1:33" s="1945" customFormat="1" ht="18" customHeight="1">
      <c r="A20" s="1576" t="s">
        <v>1877</v>
      </c>
      <c r="B20" s="772" t="s">
        <v>658</v>
      </c>
      <c r="C20" s="52">
        <f ca="1">ROUND(C19*F20,0)</f>
        <v>3939</v>
      </c>
      <c r="D20" s="799" t="s">
        <v>1747</v>
      </c>
      <c r="E20" s="772" t="s">
        <v>1735</v>
      </c>
      <c r="F20" s="797">
        <f>'数据-取费表'!B37</f>
        <v>0.02</v>
      </c>
      <c r="G20" s="3248"/>
      <c r="H20" s="1578" t="s">
        <v>1868</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7207</v>
      </c>
      <c r="K22" s="2335" t="s">
        <v>1757</v>
      </c>
      <c r="L22" s="772" t="s">
        <v>1735</v>
      </c>
      <c r="M22" s="804">
        <f ca="1">INDIRECT("'数据-取费表'!Ak"&amp;$G$1)</f>
        <v>2.5000000000000001E-2</v>
      </c>
    </row>
    <row r="23" spans="1:33" s="1945" customFormat="1" ht="18" customHeight="1">
      <c r="A23" s="1575" t="s">
        <v>1819</v>
      </c>
      <c r="B23" s="772" t="s">
        <v>2514</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3.0000000000000001E-3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0.03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-31427</v>
      </c>
      <c r="K25" s="2399" t="s">
        <v>1765</v>
      </c>
      <c r="L25" s="2400"/>
      <c r="M25" s="2401"/>
    </row>
    <row r="26" spans="1:33" ht="18" customHeight="1">
      <c r="A26" s="1575" t="s">
        <v>1819</v>
      </c>
      <c r="B26" s="772" t="s">
        <v>2419</v>
      </c>
      <c r="C26" s="52">
        <f ca="1">ROUND((C19+C20)*F26,0)</f>
        <v>50217</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0.05</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288281</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23905</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13417</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4214.1000000000004</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9194.4</v>
      </c>
      <c r="D33" s="798" t="s">
        <v>3236</v>
      </c>
      <c r="E33" s="772" t="s">
        <v>1784</v>
      </c>
      <c r="F33" s="797">
        <f>IF(D33="按租金收入计税",'数据-取费表'!B51,'数据-取费表'!B50)</f>
        <v>0.12</v>
      </c>
      <c r="G33" s="1943"/>
      <c r="H33" s="1958"/>
      <c r="I33" s="1958"/>
      <c r="J33" s="1958"/>
      <c r="K33" s="1959"/>
      <c r="L33" s="1958"/>
      <c r="M33" s="1958"/>
    </row>
    <row r="34" spans="1:18" ht="18" customHeight="1">
      <c r="A34" s="1578" t="s">
        <v>1821</v>
      </c>
      <c r="B34" s="337" t="s">
        <v>1786</v>
      </c>
      <c r="C34" s="53">
        <f>ROUND(F34*F35/10000,1)</f>
        <v>8.6</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v>57209.51</v>
      </c>
      <c r="G35" s="1943"/>
      <c r="H35" s="1946"/>
      <c r="I35" s="824" t="s">
        <v>1802</v>
      </c>
      <c r="J35" s="825">
        <f ca="1">ROUND(C13*J36,0)</f>
        <v>0</v>
      </c>
      <c r="K35" s="1959"/>
      <c r="L35" s="1958"/>
      <c r="M35" s="1958"/>
    </row>
    <row r="36" spans="1:18" ht="18" customHeight="1">
      <c r="A36" s="1576" t="s">
        <v>1877</v>
      </c>
      <c r="B36" s="772" t="s">
        <v>1790</v>
      </c>
      <c r="C36" s="52">
        <f ca="1">ROUND(C29*F36,1)</f>
        <v>7207</v>
      </c>
      <c r="D36" s="1889" t="s">
        <v>1791</v>
      </c>
      <c r="E36" s="772" t="s">
        <v>1784</v>
      </c>
      <c r="F36" s="804">
        <f ca="1">INDIRECT("'数据-取费表'!Ak"&amp;$G$1)</f>
        <v>2.5000000000000001E-2</v>
      </c>
      <c r="G36" s="1943"/>
      <c r="H36" s="1958"/>
      <c r="I36" s="826" t="s">
        <v>1803</v>
      </c>
      <c r="J36" s="827">
        <f ca="1">INDIRECT("'数据-取费表'!j"&amp;$G$1)</f>
        <v>0</v>
      </c>
      <c r="K36" s="1962"/>
      <c r="L36" s="1958"/>
      <c r="M36" s="1958"/>
    </row>
    <row r="37" spans="1:18" ht="18" customHeight="1">
      <c r="A37" s="1576" t="s">
        <v>1878</v>
      </c>
      <c r="B37" s="772" t="s">
        <v>671</v>
      </c>
      <c r="C37" s="52">
        <f ca="1">ROUND(C13*F37,1)</f>
        <v>864.8</v>
      </c>
      <c r="D37" s="1889" t="s">
        <v>1792</v>
      </c>
      <c r="E37" s="772" t="s">
        <v>1784</v>
      </c>
      <c r="F37" s="805">
        <f ca="1">INDIRECT("'数据-取费表'!Al"&amp;$G$1)</f>
        <v>3.0000000000000001E-3</v>
      </c>
      <c r="G37" s="1943"/>
      <c r="H37" s="1958"/>
      <c r="I37" s="828" t="s">
        <v>1804</v>
      </c>
      <c r="J37" s="829"/>
      <c r="K37" s="1962"/>
      <c r="L37" s="1958"/>
      <c r="M37" s="1958"/>
    </row>
    <row r="38" spans="1:18" ht="18" customHeight="1" thickBot="1">
      <c r="A38" s="2402" t="s">
        <v>1879</v>
      </c>
      <c r="B38" s="2397" t="s">
        <v>658</v>
      </c>
      <c r="C38" s="2395">
        <f ca="1">ROUND(C5*F38,1)</f>
        <v>2416.6</v>
      </c>
      <c r="D38" s="2396" t="s">
        <v>1793</v>
      </c>
      <c r="E38" s="2397" t="s">
        <v>1784</v>
      </c>
      <c r="F38" s="2393">
        <f ca="1">INDIRECT("'数据-取费表'!Am"&amp;$G$1)</f>
        <v>0.03</v>
      </c>
      <c r="G38" s="1943"/>
      <c r="H38" s="1958"/>
      <c r="I38" s="830" t="s">
        <v>1805</v>
      </c>
      <c r="J38" s="831"/>
      <c r="K38" s="1963"/>
      <c r="L38" s="1958"/>
      <c r="M38" s="1958"/>
    </row>
    <row r="39" spans="1:18" ht="24.6" customHeight="1" thickTop="1">
      <c r="A39" s="1742" t="s">
        <v>1882</v>
      </c>
      <c r="B39" s="2721" t="s">
        <v>2799</v>
      </c>
      <c r="C39" s="780">
        <f ca="1">C5-C30</f>
        <v>56647</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972011</v>
      </c>
      <c r="D40" s="801" t="s">
        <v>1795</v>
      </c>
      <c r="E40" s="772" t="s">
        <v>2401</v>
      </c>
      <c r="F40" s="782">
        <f ca="1">INDIRECT("'数据-取费表'!I"&amp;$G$1)</f>
        <v>0.05</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0.29699999999999999</v>
      </c>
      <c r="K42" s="1962"/>
      <c r="L42" s="1898"/>
      <c r="M42" s="1898"/>
    </row>
    <row r="43" spans="1:18" ht="18" customHeight="1" thickBot="1">
      <c r="A43" s="810" t="s">
        <v>1775</v>
      </c>
      <c r="B43" s="811" t="s">
        <v>1798</v>
      </c>
      <c r="C43" s="812">
        <f ca="1">ROUND(C40*10000/F43,0)</f>
        <v>26777</v>
      </c>
      <c r="D43" s="813" t="s">
        <v>1799</v>
      </c>
      <c r="E43" s="814" t="s">
        <v>1800</v>
      </c>
      <c r="F43" s="815">
        <f ca="1">INDIRECT("'数据-取费表'!k"&amp;$G$1)</f>
        <v>363000</v>
      </c>
      <c r="G43" s="1943"/>
      <c r="H43" s="1898"/>
      <c r="I43" s="834" t="s">
        <v>1810</v>
      </c>
      <c r="J43" s="835">
        <f ca="1">1-J42</f>
        <v>0.70300000000000007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-1110674</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972011</v>
      </c>
      <c r="R48" s="2252" t="s">
        <v>2362</v>
      </c>
    </row>
    <row r="49" spans="1:18" s="1940" customFormat="1" ht="18" customHeight="1" thickBot="1">
      <c r="A49" s="774"/>
      <c r="B49" s="775"/>
      <c r="C49" s="776"/>
      <c r="D49" s="777"/>
      <c r="E49" s="772" t="s">
        <v>1727</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288281</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3398820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37" t="s">
        <v>2926</v>
      </c>
      <c r="L53" s="4138"/>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972011</v>
      </c>
      <c r="R54" s="2256" t="s">
        <v>2374</v>
      </c>
    </row>
    <row r="55" spans="1:18" s="1940" customFormat="1" ht="18" customHeight="1" thickTop="1" thickBot="1">
      <c r="A55" s="785">
        <v>2</v>
      </c>
      <c r="B55" s="786" t="s">
        <v>636</v>
      </c>
      <c r="C55" s="787">
        <f ca="1">C13</f>
        <v>288281</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288281</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8081</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972011</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2479" t="str">
        <f>D33</f>
        <v>按租金收入计税</v>
      </c>
      <c r="E60" s="772" t="s">
        <v>1735</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7207</v>
      </c>
      <c r="D63" s="2479" t="s">
        <v>1791</v>
      </c>
      <c r="E63" s="772" t="s">
        <v>1735</v>
      </c>
      <c r="F63" s="804">
        <f t="shared" ca="1" si="0"/>
        <v>2.5000000000000001E-2</v>
      </c>
      <c r="I63" s="2822" t="s">
        <v>2352</v>
      </c>
      <c r="J63" s="2823">
        <v>70</v>
      </c>
      <c r="K63" s="2823">
        <v>50</v>
      </c>
      <c r="L63" s="2823">
        <v>80</v>
      </c>
      <c r="M63" s="2825">
        <v>0.02</v>
      </c>
      <c r="O63" s="2251" t="s">
        <v>2373</v>
      </c>
      <c r="P63" s="2252" t="s">
        <v>2390</v>
      </c>
      <c r="Q63" s="2253">
        <f ca="1">Q57+Q58</f>
        <v>972011</v>
      </c>
      <c r="R63" s="2256" t="s">
        <v>2374</v>
      </c>
    </row>
    <row r="64" spans="1:18" s="1940" customFormat="1" ht="16.5" thickBot="1">
      <c r="A64" s="1576" t="s">
        <v>1878</v>
      </c>
      <c r="B64" s="772" t="s">
        <v>671</v>
      </c>
      <c r="C64" s="52">
        <f ca="1">ROUND(C55*F64,1)</f>
        <v>864.8</v>
      </c>
      <c r="D64" s="2479" t="s">
        <v>672</v>
      </c>
      <c r="E64" s="772" t="s">
        <v>1735</v>
      </c>
      <c r="F64" s="805">
        <f t="shared" ca="1" si="0"/>
        <v>3.0000000000000001E-3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-8081</v>
      </c>
      <c r="D66" s="2478" t="s">
        <v>692</v>
      </c>
      <c r="E66" s="2477"/>
      <c r="F66" s="807"/>
      <c r="K66" s="1966"/>
      <c r="O66" s="2251" t="s">
        <v>2361</v>
      </c>
      <c r="P66" s="2252" t="s">
        <v>2391</v>
      </c>
      <c r="Q66" s="2253">
        <f ca="1">C40+J29</f>
        <v>972011</v>
      </c>
      <c r="R66" s="2252" t="s">
        <v>2362</v>
      </c>
    </row>
    <row r="67" spans="1:18" s="1940" customFormat="1" ht="20.25" thickBot="1">
      <c r="A67" s="769" t="s">
        <v>1768</v>
      </c>
      <c r="B67" s="2110" t="s">
        <v>2286</v>
      </c>
      <c r="C67" s="771">
        <f ca="1">ROUND(C66*(1-((1+F69)/(1+F67))^F68)/(F67-F69),0)</f>
        <v>-138663</v>
      </c>
      <c r="D67" s="801" t="s">
        <v>696</v>
      </c>
      <c r="E67" s="772" t="s">
        <v>697</v>
      </c>
      <c r="F67" s="782">
        <f ca="1">F40</f>
        <v>0.05</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3398820</v>
      </c>
      <c r="R68" s="2259" t="s">
        <v>2398</v>
      </c>
    </row>
    <row r="69" spans="1:18" ht="20.25" thickBot="1">
      <c r="A69" s="778"/>
      <c r="B69" s="779"/>
      <c r="C69" s="780"/>
      <c r="D69" s="803"/>
      <c r="E69" s="772" t="s">
        <v>702</v>
      </c>
      <c r="F69" s="2224"/>
      <c r="O69" s="2254" t="s">
        <v>2366</v>
      </c>
      <c r="P69" s="2260" t="s">
        <v>2380</v>
      </c>
      <c r="Q69" s="2253">
        <f ca="1">ROUND(Q70-Q71*Q72,0)</f>
        <v>56647</v>
      </c>
      <c r="R69" s="2256"/>
    </row>
    <row r="70" spans="1:18" ht="15.75" thickBot="1">
      <c r="A70" s="810" t="s">
        <v>1775</v>
      </c>
      <c r="B70" s="811" t="s">
        <v>1798</v>
      </c>
      <c r="C70" s="812">
        <f ca="1">ROUND(C67*10000/F70,0)</f>
        <v>-3820</v>
      </c>
      <c r="D70" s="813" t="s">
        <v>1799</v>
      </c>
      <c r="E70" s="814" t="s">
        <v>1800</v>
      </c>
      <c r="F70" s="815">
        <f ca="1">F43</f>
        <v>363000</v>
      </c>
      <c r="O70" s="2254" t="s">
        <v>2381</v>
      </c>
      <c r="P70" s="2260" t="s">
        <v>2382</v>
      </c>
      <c r="Q70" s="2253">
        <f ca="1">C39</f>
        <v>56647</v>
      </c>
      <c r="R70" s="2252" t="s">
        <v>2362</v>
      </c>
    </row>
    <row r="71" spans="1:18" ht="15.75" thickBot="1">
      <c r="O71" s="2254" t="s">
        <v>2383</v>
      </c>
      <c r="P71" s="2260" t="s">
        <v>2384</v>
      </c>
      <c r="Q71" s="2253">
        <f ca="1">C13</f>
        <v>288281</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972011</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F104" sqref="F104"/>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6.9</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77" t="s">
        <v>514</v>
      </c>
      <c r="D4" s="3978"/>
      <c r="E4" s="4011" t="s">
        <v>515</v>
      </c>
      <c r="F4" s="4012"/>
      <c r="G4" s="3977" t="s">
        <v>516</v>
      </c>
      <c r="H4" s="3978"/>
      <c r="I4" s="3977" t="s">
        <v>517</v>
      </c>
      <c r="J4" s="3978"/>
      <c r="K4" s="506"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2" t="s">
        <v>516</v>
      </c>
      <c r="AC4" s="3974" t="s">
        <v>517</v>
      </c>
    </row>
    <row r="5" spans="1:29" ht="15">
      <c r="A5" s="507"/>
      <c r="B5" s="508"/>
      <c r="C5" s="3993" t="s">
        <v>2892</v>
      </c>
      <c r="D5" s="3994"/>
      <c r="E5" s="4013" t="str">
        <f>商业租金案例截图及地图!H1</f>
        <v>复兴里</v>
      </c>
      <c r="F5" s="4014"/>
      <c r="G5" s="3993" t="str">
        <f>商业租金案例截图及地图!H16</f>
        <v>格瑞雅居</v>
      </c>
      <c r="H5" s="3994"/>
      <c r="I5" s="4139" t="s">
        <v>3137</v>
      </c>
      <c r="J5" s="3994"/>
      <c r="K5" s="506"/>
      <c r="L5" s="2013"/>
      <c r="M5" s="2014"/>
      <c r="N5" s="2014"/>
      <c r="O5" s="2014"/>
      <c r="P5" s="3981"/>
      <c r="Q5" s="3982"/>
      <c r="R5" s="3987"/>
      <c r="S5" s="3988"/>
      <c r="T5" s="3987"/>
      <c r="U5" s="3988"/>
      <c r="V5" s="3972"/>
      <c r="W5" s="3972"/>
      <c r="X5" s="1500"/>
      <c r="Y5" s="3987"/>
      <c r="Z5" s="3988"/>
      <c r="AA5" s="3975"/>
      <c r="AB5" s="3972"/>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2"/>
      <c r="AC6" s="3976"/>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4002" t="s">
        <v>522</v>
      </c>
      <c r="Q7" s="4004"/>
      <c r="R7" s="1501" t="s">
        <v>8</v>
      </c>
      <c r="S7" s="1502">
        <f t="shared" ref="S7:S15" si="0">F7</f>
        <v>100</v>
      </c>
      <c r="T7" s="1501" t="s">
        <v>8</v>
      </c>
      <c r="U7" s="1502">
        <f t="shared" ref="U7:U15" si="1">H7</f>
        <v>100</v>
      </c>
      <c r="V7" s="1501" t="s">
        <v>8</v>
      </c>
      <c r="W7" s="1502">
        <f t="shared" ref="W7:W15" si="2">J7</f>
        <v>100</v>
      </c>
      <c r="X7" s="1503"/>
      <c r="Y7" s="4002" t="s">
        <v>522</v>
      </c>
      <c r="Z7" s="4003"/>
      <c r="AA7" s="1504">
        <f>D7/F7</f>
        <v>1</v>
      </c>
      <c r="AB7" s="1504">
        <f>D7/H7</f>
        <v>1</v>
      </c>
      <c r="AC7" s="1504">
        <f>D7/J7</f>
        <v>1</v>
      </c>
    </row>
    <row r="8" spans="1:29" s="1201" customFormat="1" ht="15.75" thickBot="1">
      <c r="A8" s="2628"/>
      <c r="B8" s="2635"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5"/>
      <c r="M8" s="2016"/>
      <c r="N8" s="2016"/>
      <c r="O8" s="2016"/>
      <c r="P8" s="4002" t="s">
        <v>525</v>
      </c>
      <c r="Q8" s="4003"/>
      <c r="R8" s="1501" t="s">
        <v>8</v>
      </c>
      <c r="S8" s="1502">
        <f t="shared" si="0"/>
        <v>100</v>
      </c>
      <c r="T8" s="1501" t="s">
        <v>8</v>
      </c>
      <c r="U8" s="1502">
        <f t="shared" si="1"/>
        <v>100</v>
      </c>
      <c r="V8" s="1501" t="s">
        <v>8</v>
      </c>
      <c r="W8" s="1502">
        <f t="shared" si="2"/>
        <v>100</v>
      </c>
      <c r="X8" s="1503"/>
      <c r="Y8" s="4002" t="s">
        <v>525</v>
      </c>
      <c r="Z8" s="4003"/>
      <c r="AA8" s="1504">
        <f t="shared" ref="AA8:AA46" si="3">D8/F8</f>
        <v>1</v>
      </c>
      <c r="AB8" s="1504">
        <f t="shared" ref="AB8:AB46" si="4">D8/H8</f>
        <v>1</v>
      </c>
      <c r="AC8" s="1504">
        <f t="shared" ref="AC8:AC46" si="5">D8/J8</f>
        <v>1</v>
      </c>
    </row>
    <row r="9" spans="1:29" s="1201" customFormat="1" ht="15">
      <c r="A9" s="2629"/>
      <c r="B9" s="2636" t="s">
        <v>2734</v>
      </c>
      <c r="C9" s="3325"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3129</v>
      </c>
      <c r="D10" s="251">
        <v>100</v>
      </c>
      <c r="E10" s="848" t="s">
        <v>3130</v>
      </c>
      <c r="F10" s="251">
        <f>SUMIF(65:65,E10,66:66)-SUMIF(65:65,C10,66:66)+100</f>
        <v>99</v>
      </c>
      <c r="G10" s="849" t="s">
        <v>3130</v>
      </c>
      <c r="H10" s="251">
        <f>SUMIF(65:65,G10,66:66)-SUMIF(65:65,C10,66:66)+100</f>
        <v>99</v>
      </c>
      <c r="I10" s="848" t="s">
        <v>3129</v>
      </c>
      <c r="J10" s="251">
        <f>SUMIF(65:65,I10,66:66)-SUMIF(65:65,C10,66:66)+100</f>
        <v>100</v>
      </c>
      <c r="K10" s="576">
        <v>1</v>
      </c>
      <c r="L10" s="2018"/>
      <c r="M10" s="2057"/>
      <c r="N10" s="2057"/>
      <c r="O10" s="2019"/>
      <c r="P10" s="3971"/>
      <c r="Q10" s="1132" t="str">
        <f t="shared" si="6"/>
        <v>土地使用年限（年）</v>
      </c>
      <c r="R10" s="1501" t="s">
        <v>8</v>
      </c>
      <c r="S10" s="1502">
        <f t="shared" si="0"/>
        <v>99</v>
      </c>
      <c r="T10" s="1501" t="s">
        <v>8</v>
      </c>
      <c r="U10" s="1502">
        <f t="shared" si="1"/>
        <v>99</v>
      </c>
      <c r="V10" s="1501" t="s">
        <v>8</v>
      </c>
      <c r="W10" s="1502">
        <f t="shared" si="2"/>
        <v>100</v>
      </c>
      <c r="X10" s="1503"/>
      <c r="Y10" s="3917"/>
      <c r="Z10" s="1131" t="str">
        <f t="shared" si="7"/>
        <v>土地使用年限（年）</v>
      </c>
      <c r="AA10" s="1504">
        <f t="shared" si="3"/>
        <v>1.0101010101010102</v>
      </c>
      <c r="AB10" s="1504">
        <f t="shared" si="4"/>
        <v>1.0101010101010102</v>
      </c>
      <c r="AC10" s="1504">
        <f t="shared" si="5"/>
        <v>1</v>
      </c>
    </row>
    <row r="11" spans="1:29" ht="15">
      <c r="A11" s="2631"/>
      <c r="B11" s="2635" t="s">
        <v>2736</v>
      </c>
      <c r="C11" s="525">
        <f>'数据-汇总表'!I7</f>
        <v>6.35</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71"/>
      <c r="Q11" s="1132" t="str">
        <f t="shared" si="6"/>
        <v>容积率</v>
      </c>
      <c r="R11" s="1501" t="s">
        <v>8</v>
      </c>
      <c r="S11" s="1502">
        <f t="shared" si="0"/>
        <v>100</v>
      </c>
      <c r="T11" s="1501" t="s">
        <v>8</v>
      </c>
      <c r="U11" s="1502">
        <f t="shared" si="1"/>
        <v>100</v>
      </c>
      <c r="V11" s="1501" t="s">
        <v>8</v>
      </c>
      <c r="W11" s="1502">
        <f t="shared" si="2"/>
        <v>100</v>
      </c>
      <c r="X11" s="1503"/>
      <c r="Y11" s="3917"/>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05" t="s">
        <v>532</v>
      </c>
      <c r="Q15" s="1505" t="str">
        <f t="shared" si="6"/>
        <v>商业繁华度</v>
      </c>
      <c r="R15" s="1506" t="s">
        <v>8</v>
      </c>
      <c r="S15" s="1507">
        <f t="shared" si="0"/>
        <v>100</v>
      </c>
      <c r="T15" s="1506" t="s">
        <v>8</v>
      </c>
      <c r="U15" s="1507">
        <f t="shared" si="1"/>
        <v>100</v>
      </c>
      <c r="V15" s="1506" t="s">
        <v>8</v>
      </c>
      <c r="W15" s="1507">
        <f t="shared" si="2"/>
        <v>100</v>
      </c>
      <c r="X15" s="1500"/>
      <c r="Y15" s="4005" t="s">
        <v>532</v>
      </c>
      <c r="Z15" s="1508" t="str">
        <f t="shared" si="7"/>
        <v>商业繁华度</v>
      </c>
      <c r="AA15" s="1509">
        <f t="shared" si="3"/>
        <v>1</v>
      </c>
      <c r="AB15" s="1509">
        <f t="shared" si="4"/>
        <v>1</v>
      </c>
      <c r="AC15" s="1509">
        <f t="shared" si="5"/>
        <v>1</v>
      </c>
    </row>
    <row r="16" spans="1:29" ht="15">
      <c r="A16" s="524"/>
      <c r="B16" s="856"/>
      <c r="C16" s="568" t="s">
        <v>3076</v>
      </c>
      <c r="D16" s="547"/>
      <c r="E16" s="568" t="s">
        <v>3076</v>
      </c>
      <c r="F16" s="549"/>
      <c r="G16" s="568" t="s">
        <v>3076</v>
      </c>
      <c r="H16" s="551"/>
      <c r="I16" s="568" t="s">
        <v>3076</v>
      </c>
      <c r="J16" s="547"/>
      <c r="K16" s="886"/>
      <c r="L16" s="2022"/>
      <c r="M16" s="2014"/>
      <c r="N16" s="2014"/>
      <c r="O16" s="2021"/>
      <c r="P16" s="4006"/>
      <c r="Q16" s="1505"/>
      <c r="R16" s="1506"/>
      <c r="S16" s="1507"/>
      <c r="T16" s="1506"/>
      <c r="U16" s="1507"/>
      <c r="V16" s="1506"/>
      <c r="W16" s="1507"/>
      <c r="X16" s="1500"/>
      <c r="Y16" s="4006"/>
      <c r="Z16" s="1508"/>
      <c r="AA16" s="1509">
        <v>1</v>
      </c>
      <c r="AB16" s="1509">
        <v>1</v>
      </c>
      <c r="AC16" s="1509">
        <v>1</v>
      </c>
    </row>
    <row r="17" spans="1:29" ht="30" customHeight="1">
      <c r="A17" s="524"/>
      <c r="B17" s="858" t="s">
        <v>294</v>
      </c>
      <c r="C17" s="3379" t="str">
        <f>估价对象房地状况!C6</f>
        <v>周边有通322路、342路、589路、667路、804路、808路、通19路、通41路、通62路等多条公交线路通过，距地铁6号线（北运河西站）约1公里，综合评价交通便捷度较好</v>
      </c>
      <c r="D17" s="3374">
        <v>100</v>
      </c>
      <c r="E17" s="3376"/>
      <c r="F17" s="3380">
        <f>SUMIF(78:78,E18,79:79)-SUMIF(78:78,C18,79:79)+100</f>
        <v>105</v>
      </c>
      <c r="G17" s="3375"/>
      <c r="H17" s="3377">
        <f>SUMIF(78:78,G18,79:79)-SUMIF(78:78,C18,79:79)+100</f>
        <v>105</v>
      </c>
      <c r="I17" s="3376"/>
      <c r="J17" s="3377">
        <f>SUMIF(78:78,I18,79:79)-SUMIF(78:78,C18,79:79)+100</f>
        <v>105</v>
      </c>
      <c r="K17" s="3378">
        <v>5</v>
      </c>
      <c r="L17" s="2022"/>
      <c r="M17" s="2014"/>
      <c r="N17" s="2014"/>
      <c r="O17" s="2021"/>
      <c r="P17" s="4006"/>
      <c r="Q17" s="1505" t="str">
        <f>B17</f>
        <v>交通便捷度</v>
      </c>
      <c r="R17" s="1506" t="s">
        <v>8</v>
      </c>
      <c r="S17" s="1507">
        <f>F17</f>
        <v>105</v>
      </c>
      <c r="T17" s="1506" t="s">
        <v>8</v>
      </c>
      <c r="U17" s="1507">
        <f>H17</f>
        <v>105</v>
      </c>
      <c r="V17" s="1506" t="s">
        <v>8</v>
      </c>
      <c r="W17" s="1507">
        <f>J17</f>
        <v>105</v>
      </c>
      <c r="X17" s="1500"/>
      <c r="Y17" s="4006"/>
      <c r="Z17" s="1508" t="str">
        <f>Q17</f>
        <v>交通便捷度</v>
      </c>
      <c r="AA17" s="1509">
        <f t="shared" si="3"/>
        <v>0.95238095238095233</v>
      </c>
      <c r="AB17" s="1509">
        <f t="shared" si="4"/>
        <v>0.95238095238095233</v>
      </c>
      <c r="AC17" s="1509">
        <f t="shared" si="5"/>
        <v>0.95238095238095233</v>
      </c>
    </row>
    <row r="18" spans="1:29" ht="15">
      <c r="A18" s="524"/>
      <c r="B18" s="587"/>
      <c r="C18" s="860" t="s">
        <v>3075</v>
      </c>
      <c r="D18" s="551"/>
      <c r="E18" s="560" t="s">
        <v>3076</v>
      </c>
      <c r="F18" s="555"/>
      <c r="G18" s="561" t="s">
        <v>3076</v>
      </c>
      <c r="H18" s="547"/>
      <c r="I18" s="560" t="s">
        <v>3076</v>
      </c>
      <c r="J18" s="547"/>
      <c r="K18" s="886"/>
      <c r="L18" s="2022"/>
      <c r="M18" s="2014"/>
      <c r="N18" s="2014"/>
      <c r="O18" s="2021"/>
      <c r="P18" s="4006"/>
      <c r="Q18" s="1505"/>
      <c r="R18" s="1506"/>
      <c r="S18" s="1507"/>
      <c r="T18" s="1506"/>
      <c r="U18" s="1507"/>
      <c r="V18" s="1506"/>
      <c r="W18" s="1507"/>
      <c r="X18" s="1500"/>
      <c r="Y18" s="400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87"/>
      <c r="C20" s="568" t="s">
        <v>3076</v>
      </c>
      <c r="D20" s="547"/>
      <c r="E20" s="548" t="s">
        <v>3076</v>
      </c>
      <c r="F20" s="549"/>
      <c r="G20" s="550" t="s">
        <v>3076</v>
      </c>
      <c r="H20" s="547"/>
      <c r="I20" s="548" t="s">
        <v>3076</v>
      </c>
      <c r="J20" s="547"/>
      <c r="K20" s="886"/>
      <c r="L20" s="2022"/>
      <c r="M20" s="2014"/>
      <c r="N20" s="2014"/>
      <c r="O20" s="2021"/>
      <c r="P20" s="4006"/>
      <c r="Q20" s="1505"/>
      <c r="R20" s="1506"/>
      <c r="S20" s="1507"/>
      <c r="T20" s="1506"/>
      <c r="U20" s="1507"/>
      <c r="V20" s="1506"/>
      <c r="W20" s="1507"/>
      <c r="X20" s="1500"/>
      <c r="Y20" s="400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909"/>
      <c r="C22" s="860" t="s">
        <v>3083</v>
      </c>
      <c r="D22" s="547"/>
      <c r="E22" s="568" t="s">
        <v>3083</v>
      </c>
      <c r="F22" s="549"/>
      <c r="G22" s="568" t="s">
        <v>3083</v>
      </c>
      <c r="H22" s="547"/>
      <c r="I22" s="568" t="s">
        <v>3083</v>
      </c>
      <c r="J22" s="547"/>
      <c r="K22" s="2444"/>
      <c r="L22" s="2022"/>
      <c r="M22" s="2014"/>
      <c r="N22" s="2014"/>
      <c r="O22" s="2021"/>
      <c r="P22" s="4006"/>
      <c r="Q22" s="2427"/>
      <c r="R22" s="1506"/>
      <c r="S22" s="1507"/>
      <c r="T22" s="1506"/>
      <c r="U22" s="1507"/>
      <c r="V22" s="1506"/>
      <c r="W22" s="1507"/>
      <c r="X22" s="2429"/>
      <c r="Y22" s="400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4006"/>
      <c r="Q23" s="1505" t="str">
        <f>B23</f>
        <v>自然及人文环境</v>
      </c>
      <c r="R23" s="1506" t="s">
        <v>8</v>
      </c>
      <c r="S23" s="1507">
        <f>F23</f>
        <v>96</v>
      </c>
      <c r="T23" s="1506" t="s">
        <v>8</v>
      </c>
      <c r="U23" s="1507">
        <f>H23</f>
        <v>96</v>
      </c>
      <c r="V23" s="1506" t="s">
        <v>8</v>
      </c>
      <c r="W23" s="1507">
        <f>J23</f>
        <v>98</v>
      </c>
      <c r="X23" s="1500"/>
      <c r="Y23" s="4006"/>
      <c r="Z23" s="1508" t="str">
        <f>Q23</f>
        <v>自然及人文环境</v>
      </c>
      <c r="AA23" s="1509">
        <f t="shared" si="3"/>
        <v>1.0416666666666667</v>
      </c>
      <c r="AB23" s="1509">
        <f t="shared" si="4"/>
        <v>1.0416666666666667</v>
      </c>
      <c r="AC23" s="1509">
        <f t="shared" si="5"/>
        <v>1.0204081632653061</v>
      </c>
    </row>
    <row r="24" spans="1:29" ht="15">
      <c r="A24" s="524"/>
      <c r="B24" s="587"/>
      <c r="C24" s="568" t="s">
        <v>3082</v>
      </c>
      <c r="D24" s="547"/>
      <c r="E24" s="548" t="s">
        <v>3075</v>
      </c>
      <c r="F24" s="549"/>
      <c r="G24" s="550" t="s">
        <v>3075</v>
      </c>
      <c r="H24" s="547"/>
      <c r="I24" s="548" t="s">
        <v>3076</v>
      </c>
      <c r="J24" s="547"/>
      <c r="K24" s="886"/>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24"/>
      <c r="B25" s="519" t="s">
        <v>539</v>
      </c>
      <c r="C25" s="575" t="s">
        <v>3088</v>
      </c>
      <c r="D25" s="532">
        <v>100</v>
      </c>
      <c r="E25" s="575" t="s">
        <v>3235</v>
      </c>
      <c r="F25" s="567">
        <f>SUMIF(86:86,E25,87:87)-SUMIF(86:86,C25,87:87)+100</f>
        <v>99</v>
      </c>
      <c r="G25" s="575" t="s">
        <v>3088</v>
      </c>
      <c r="H25" s="532">
        <f>SUMIF(86:86,G25,87:87)-SUMIF(86:86,C25,87:87)+100</f>
        <v>100</v>
      </c>
      <c r="I25" s="575" t="s">
        <v>3086</v>
      </c>
      <c r="J25" s="532">
        <f>SUMIF(86:86,I25,87:87)-SUMIF(86:86,C25,87:87)+100</f>
        <v>101</v>
      </c>
      <c r="K25" s="576">
        <v>1</v>
      </c>
      <c r="L25" s="2022"/>
      <c r="M25" s="2014"/>
      <c r="N25" s="2014"/>
      <c r="O25" s="2021"/>
      <c r="P25" s="4006"/>
      <c r="Q25" s="1505" t="str">
        <f t="shared" ref="Q25:Q46" si="11">B25</f>
        <v>临街状况</v>
      </c>
      <c r="R25" s="1506" t="s">
        <v>8</v>
      </c>
      <c r="S25" s="1507">
        <f>F25</f>
        <v>99</v>
      </c>
      <c r="T25" s="1506" t="s">
        <v>8</v>
      </c>
      <c r="U25" s="1507">
        <f>H25</f>
        <v>100</v>
      </c>
      <c r="V25" s="1506" t="s">
        <v>8</v>
      </c>
      <c r="W25" s="1507">
        <f>J25</f>
        <v>101</v>
      </c>
      <c r="X25" s="1500"/>
      <c r="Y25" s="4006"/>
      <c r="Z25" s="1508" t="str">
        <f>Q25</f>
        <v>临街状况</v>
      </c>
      <c r="AA25" s="1509">
        <f t="shared" si="3"/>
        <v>1.0101010101010102</v>
      </c>
      <c r="AB25" s="1509">
        <f t="shared" si="4"/>
        <v>1</v>
      </c>
      <c r="AC25" s="1509">
        <f t="shared" si="5"/>
        <v>0.99009900990099009</v>
      </c>
    </row>
    <row r="26" spans="1:29" ht="15">
      <c r="A26" s="524"/>
      <c r="B26" s="864" t="s">
        <v>750</v>
      </c>
      <c r="C26" s="3337" t="s">
        <v>3092</v>
      </c>
      <c r="D26" s="532">
        <v>100</v>
      </c>
      <c r="E26" s="3337" t="s">
        <v>3092</v>
      </c>
      <c r="F26" s="567">
        <f>SUMIF(88:88,E26,89:89)-SUMIF(88:88,C26,89:89)+100</f>
        <v>100</v>
      </c>
      <c r="G26" s="3337" t="s">
        <v>3092</v>
      </c>
      <c r="H26" s="532">
        <f>SUMIF(88:88,G26,89:89)-SUMIF(88:88,C26,89:89)+100</f>
        <v>100</v>
      </c>
      <c r="I26" s="3337" t="s">
        <v>3092</v>
      </c>
      <c r="J26" s="532">
        <f>SUMIF(88:88,I26,89:89)-SUMIF(88:88,C26,89:89)+100</f>
        <v>100</v>
      </c>
      <c r="K26" s="573"/>
      <c r="L26" s="2022"/>
      <c r="M26" s="2014"/>
      <c r="N26" s="2014"/>
      <c r="O26" s="2021"/>
      <c r="P26" s="4006"/>
      <c r="Q26" s="1505" t="str">
        <f t="shared" si="11"/>
        <v>平面位置/可视性</v>
      </c>
      <c r="R26" s="1506" t="s">
        <v>8</v>
      </c>
      <c r="S26" s="1507">
        <f>F26</f>
        <v>100</v>
      </c>
      <c r="T26" s="1506" t="s">
        <v>8</v>
      </c>
      <c r="U26" s="1507">
        <f>H26</f>
        <v>100</v>
      </c>
      <c r="V26" s="1506" t="s">
        <v>8</v>
      </c>
      <c r="W26" s="1507">
        <f>J26</f>
        <v>100</v>
      </c>
      <c r="X26" s="1500"/>
      <c r="Y26" s="4006"/>
      <c r="Z26" s="1508" t="str">
        <f>Q26</f>
        <v>平面位置/可视性</v>
      </c>
      <c r="AA26" s="1509">
        <f t="shared" si="3"/>
        <v>1</v>
      </c>
      <c r="AB26" s="1509">
        <f t="shared" si="4"/>
        <v>1</v>
      </c>
      <c r="AC26" s="1509">
        <f t="shared" si="5"/>
        <v>1</v>
      </c>
    </row>
    <row r="27" spans="1:29" s="1201" customFormat="1" ht="15.75" thickBot="1">
      <c r="A27" s="528"/>
      <c r="B27" s="858" t="s">
        <v>751</v>
      </c>
      <c r="C27" s="3338" t="s">
        <v>3093</v>
      </c>
      <c r="D27" s="862">
        <v>100</v>
      </c>
      <c r="E27" s="888" t="s">
        <v>3075</v>
      </c>
      <c r="F27" s="863">
        <f>SUMIF(90:90,E27,91:91)-SUMIF(90:90,C27,91:91)+100</f>
        <v>96</v>
      </c>
      <c r="G27" s="888" t="s">
        <v>3075</v>
      </c>
      <c r="H27" s="862">
        <f>SUMIF(90:90,G27,91:91)-SUMIF(90:90,C27,91:91)+100</f>
        <v>96</v>
      </c>
      <c r="I27" s="888" t="s">
        <v>3100</v>
      </c>
      <c r="J27" s="862">
        <f>SUMIF(90:90,I27,91:91)-SUMIF(90:90,C27,91:91)+100</f>
        <v>98</v>
      </c>
      <c r="K27" s="576">
        <v>2</v>
      </c>
      <c r="L27" s="2015"/>
      <c r="M27" s="2016"/>
      <c r="N27" s="2016"/>
      <c r="O27" s="2017"/>
      <c r="P27" s="4006"/>
      <c r="Q27" s="1132" t="str">
        <f t="shared" si="11"/>
        <v>人流量</v>
      </c>
      <c r="R27" s="1501" t="s">
        <v>8</v>
      </c>
      <c r="S27" s="1502">
        <f>F27</f>
        <v>96</v>
      </c>
      <c r="T27" s="1501" t="s">
        <v>8</v>
      </c>
      <c r="U27" s="1502">
        <f>H27</f>
        <v>96</v>
      </c>
      <c r="V27" s="1501" t="s">
        <v>8</v>
      </c>
      <c r="W27" s="1502">
        <f>J27</f>
        <v>98</v>
      </c>
      <c r="X27" s="1503"/>
      <c r="Y27" s="4006"/>
      <c r="Z27" s="1131" t="str">
        <f>Q27</f>
        <v>人流量</v>
      </c>
      <c r="AA27" s="1509">
        <f>D27/F27</f>
        <v>1.0416666666666667</v>
      </c>
      <c r="AB27" s="1509">
        <f>D27/H27</f>
        <v>1.0416666666666667</v>
      </c>
      <c r="AC27" s="1509">
        <f>D27/J27</f>
        <v>1.0204081632653061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400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0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06"/>
      <c r="Q29" s="1505">
        <f t="shared" si="11"/>
        <v>111</v>
      </c>
      <c r="R29" s="1506" t="s">
        <v>8</v>
      </c>
      <c r="S29" s="1507">
        <f t="shared" si="12"/>
        <v>100</v>
      </c>
      <c r="T29" s="1506" t="s">
        <v>8</v>
      </c>
      <c r="U29" s="1507">
        <f t="shared" si="13"/>
        <v>100</v>
      </c>
      <c r="V29" s="1506" t="s">
        <v>8</v>
      </c>
      <c r="W29" s="1507">
        <f t="shared" si="14"/>
        <v>100</v>
      </c>
      <c r="X29" s="1500"/>
      <c r="Y29" s="400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06"/>
      <c r="Q30" s="1505">
        <f t="shared" si="11"/>
        <v>111</v>
      </c>
      <c r="R30" s="1506" t="s">
        <v>8</v>
      </c>
      <c r="S30" s="1507">
        <f t="shared" si="12"/>
        <v>100</v>
      </c>
      <c r="T30" s="1506" t="s">
        <v>8</v>
      </c>
      <c r="U30" s="1507">
        <f t="shared" si="13"/>
        <v>100</v>
      </c>
      <c r="V30" s="1506" t="s">
        <v>8</v>
      </c>
      <c r="W30" s="1507">
        <f t="shared" si="14"/>
        <v>100</v>
      </c>
      <c r="X30" s="1500"/>
      <c r="Y30" s="400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06"/>
      <c r="Q31" s="1505">
        <f t="shared" si="11"/>
        <v>111</v>
      </c>
      <c r="R31" s="1506" t="s">
        <v>8</v>
      </c>
      <c r="S31" s="1507">
        <f t="shared" si="12"/>
        <v>100</v>
      </c>
      <c r="T31" s="1506" t="s">
        <v>8</v>
      </c>
      <c r="U31" s="1507">
        <f t="shared" si="13"/>
        <v>100</v>
      </c>
      <c r="V31" s="1506" t="s">
        <v>8</v>
      </c>
      <c r="W31" s="1507">
        <f t="shared" si="14"/>
        <v>100</v>
      </c>
      <c r="X31" s="1500"/>
      <c r="Y31" s="4006"/>
      <c r="Z31" s="1508">
        <f t="shared" si="15"/>
        <v>111</v>
      </c>
      <c r="AA31" s="1509">
        <f t="shared" si="3"/>
        <v>1</v>
      </c>
      <c r="AB31" s="1509">
        <f t="shared" si="4"/>
        <v>1</v>
      </c>
      <c r="AC31" s="1509">
        <f t="shared" si="5"/>
        <v>1</v>
      </c>
    </row>
    <row r="32" spans="1:29" ht="27">
      <c r="A32" s="2622" t="s">
        <v>2733</v>
      </c>
      <c r="B32" s="169" t="s">
        <v>754</v>
      </c>
      <c r="C32" s="865" t="s">
        <v>3237</v>
      </c>
      <c r="D32" s="589">
        <v>100</v>
      </c>
      <c r="E32" s="865" t="s">
        <v>3110</v>
      </c>
      <c r="F32" s="567">
        <f>SUMIF(100:100,E32,101:101)-SUMIF(100:100,C32,101:101)+100</f>
        <v>96</v>
      </c>
      <c r="G32" s="865" t="s">
        <v>3110</v>
      </c>
      <c r="H32" s="532">
        <f>SUMIF(100:100,G32,101:101)-SUMIF(100:100,C32,101:101)+100</f>
        <v>96</v>
      </c>
      <c r="I32" s="865" t="s">
        <v>3106</v>
      </c>
      <c r="J32" s="589">
        <f>SUMIF(100:100,I32,101:101)-SUMIF(100:100,C32,101:101)+100</f>
        <v>102</v>
      </c>
      <c r="K32" s="576">
        <v>2</v>
      </c>
      <c r="L32" s="2022"/>
      <c r="M32" s="2014"/>
      <c r="N32" s="2014"/>
      <c r="O32" s="2021"/>
      <c r="P32" s="4007" t="s">
        <v>542</v>
      </c>
      <c r="Q32" s="1505" t="str">
        <f t="shared" si="11"/>
        <v>商业类型</v>
      </c>
      <c r="R32" s="1506" t="s">
        <v>8</v>
      </c>
      <c r="S32" s="1507">
        <f t="shared" si="12"/>
        <v>96</v>
      </c>
      <c r="T32" s="1506" t="s">
        <v>8</v>
      </c>
      <c r="U32" s="1507">
        <f t="shared" si="13"/>
        <v>96</v>
      </c>
      <c r="V32" s="1506" t="s">
        <v>8</v>
      </c>
      <c r="W32" s="1507">
        <f t="shared" si="14"/>
        <v>102</v>
      </c>
      <c r="X32" s="1500"/>
      <c r="Y32" s="4008" t="s">
        <v>542</v>
      </c>
      <c r="Z32" s="1508" t="str">
        <f t="shared" si="15"/>
        <v>商业类型</v>
      </c>
      <c r="AA32" s="1509">
        <f t="shared" si="3"/>
        <v>1.0416666666666667</v>
      </c>
      <c r="AB32" s="1509">
        <f t="shared" si="4"/>
        <v>1.0416666666666667</v>
      </c>
      <c r="AC32" s="1509">
        <f t="shared" si="5"/>
        <v>0.98039215686274506</v>
      </c>
    </row>
    <row r="33" spans="1:29" s="1291" customFormat="1" ht="15">
      <c r="A33" s="595"/>
      <c r="B33" s="519" t="s">
        <v>718</v>
      </c>
      <c r="C33" s="3785">
        <f>剩余法商业!C9</f>
        <v>363000</v>
      </c>
      <c r="D33" s="3786">
        <v>100</v>
      </c>
      <c r="E33" s="3787">
        <v>3500</v>
      </c>
      <c r="F33" s="3788">
        <f>LOOKUP(E33,103:103,104:104)-LOOKUP(C33,103:103,104:104)+100</f>
        <v>106</v>
      </c>
      <c r="G33" s="3789">
        <v>60</v>
      </c>
      <c r="H33" s="3786">
        <f>LOOKUP(G33,103:103,104:104)-LOOKUP(C33,103:103,104:104)+100</f>
        <v>106</v>
      </c>
      <c r="I33" s="3789">
        <v>90</v>
      </c>
      <c r="J33" s="3786">
        <f>LOOKUP(I33,103:103,104:104)-LOOKUP(C33,103:103,104:104)+100</f>
        <v>106</v>
      </c>
      <c r="K33" s="573"/>
      <c r="L33" s="2020"/>
      <c r="M33" s="2050"/>
      <c r="N33" s="2050"/>
      <c r="O33" s="2023"/>
      <c r="P33" s="4008"/>
      <c r="Q33" s="1534" t="str">
        <f t="shared" si="11"/>
        <v>项目建筑规模</v>
      </c>
      <c r="R33" s="1510" t="s">
        <v>8</v>
      </c>
      <c r="S33" s="1511">
        <f t="shared" si="12"/>
        <v>106</v>
      </c>
      <c r="T33" s="1510" t="s">
        <v>8</v>
      </c>
      <c r="U33" s="1511">
        <f t="shared" si="13"/>
        <v>106</v>
      </c>
      <c r="V33" s="1510" t="s">
        <v>8</v>
      </c>
      <c r="W33" s="1511">
        <f t="shared" si="14"/>
        <v>106</v>
      </c>
      <c r="X33" s="1512"/>
      <c r="Y33" s="4008"/>
      <c r="Z33" s="1513" t="str">
        <f t="shared" si="15"/>
        <v>项目建筑规模</v>
      </c>
      <c r="AA33" s="1509">
        <f t="shared" si="3"/>
        <v>0.94339622641509435</v>
      </c>
      <c r="AB33" s="1509">
        <f t="shared" si="4"/>
        <v>0.94339622641509435</v>
      </c>
      <c r="AC33" s="1509">
        <f t="shared" si="5"/>
        <v>0.94339622641509435</v>
      </c>
    </row>
    <row r="34" spans="1:29" ht="15">
      <c r="A34" s="586"/>
      <c r="B34" s="519" t="s">
        <v>719</v>
      </c>
      <c r="C34" s="868" t="s">
        <v>3081</v>
      </c>
      <c r="D34" s="532">
        <v>100</v>
      </c>
      <c r="E34" s="3342" t="s">
        <v>3131</v>
      </c>
      <c r="F34" s="567">
        <f>SUMIF(105:105,E34,106:106)-SUMIF(105:105,C34,106:106)+100</f>
        <v>100</v>
      </c>
      <c r="G34" s="3343" t="s">
        <v>3133</v>
      </c>
      <c r="H34" s="532">
        <f>SUMIF(105:105,G34,106:106)-SUMIF(105:105,C34,106:106)+100</f>
        <v>100</v>
      </c>
      <c r="I34" s="3343" t="s">
        <v>3112</v>
      </c>
      <c r="J34" s="532">
        <f>SUMIF(105:105,I34,106:106)-SUMIF(105:105,C34,106:106)+100</f>
        <v>100</v>
      </c>
      <c r="K34" s="576"/>
      <c r="L34" s="2022"/>
      <c r="M34" s="2014"/>
      <c r="N34" s="2014"/>
      <c r="O34" s="2021"/>
      <c r="P34" s="4008"/>
      <c r="Q34" s="1505" t="str">
        <f t="shared" si="11"/>
        <v>建筑结构</v>
      </c>
      <c r="R34" s="1506" t="s">
        <v>8</v>
      </c>
      <c r="S34" s="1507">
        <f t="shared" si="12"/>
        <v>100</v>
      </c>
      <c r="T34" s="1506" t="s">
        <v>8</v>
      </c>
      <c r="U34" s="1507">
        <f t="shared" si="13"/>
        <v>100</v>
      </c>
      <c r="V34" s="1506" t="s">
        <v>8</v>
      </c>
      <c r="W34" s="1507">
        <f t="shared" si="14"/>
        <v>100</v>
      </c>
      <c r="X34" s="1500"/>
      <c r="Y34" s="4008"/>
      <c r="Z34" s="1508" t="str">
        <f t="shared" si="15"/>
        <v>建筑结构</v>
      </c>
      <c r="AA34" s="1509">
        <f t="shared" si="3"/>
        <v>1</v>
      </c>
      <c r="AB34" s="1509">
        <f t="shared" si="4"/>
        <v>1</v>
      </c>
      <c r="AC34" s="1509">
        <f t="shared" si="5"/>
        <v>1</v>
      </c>
    </row>
    <row r="35" spans="1:29" s="3359" customFormat="1" ht="15">
      <c r="A35" s="3344"/>
      <c r="B35" s="3345" t="s">
        <v>755</v>
      </c>
      <c r="C35" s="3346" t="s">
        <v>3114</v>
      </c>
      <c r="D35" s="3347">
        <v>100</v>
      </c>
      <c r="E35" s="3346" t="s">
        <v>3114</v>
      </c>
      <c r="F35" s="3348">
        <f>SUMIF(107:107,E35,108:108)-SUMIF(107:107,C35,108:108)+100</f>
        <v>100</v>
      </c>
      <c r="G35" s="3346" t="s">
        <v>3114</v>
      </c>
      <c r="H35" s="3347">
        <f>SUMIF(107:107,G35,108:108)-SUMIF(107:107,C35,108:108)+100</f>
        <v>100</v>
      </c>
      <c r="I35" s="3346" t="s">
        <v>3114</v>
      </c>
      <c r="J35" s="3347">
        <f>SUMIF(107:107,I35,108:108)-SUMIF(107:107,C35,108:108)+100</f>
        <v>100</v>
      </c>
      <c r="K35" s="3349"/>
      <c r="L35" s="3350"/>
      <c r="M35" s="3351"/>
      <c r="N35" s="3351"/>
      <c r="O35" s="3352"/>
      <c r="P35" s="4008"/>
      <c r="Q35" s="3353" t="str">
        <f t="shared" si="11"/>
        <v>公共部分装修</v>
      </c>
      <c r="R35" s="3354" t="s">
        <v>8</v>
      </c>
      <c r="S35" s="3355">
        <f t="shared" si="12"/>
        <v>100</v>
      </c>
      <c r="T35" s="3354" t="s">
        <v>8</v>
      </c>
      <c r="U35" s="3355">
        <f t="shared" si="13"/>
        <v>100</v>
      </c>
      <c r="V35" s="3354" t="s">
        <v>8</v>
      </c>
      <c r="W35" s="3355">
        <f t="shared" si="14"/>
        <v>100</v>
      </c>
      <c r="X35" s="3356"/>
      <c r="Y35" s="4008"/>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08"/>
      <c r="Q36" s="1505" t="str">
        <f t="shared" si="11"/>
        <v>成新度</v>
      </c>
      <c r="R36" s="1506" t="s">
        <v>8</v>
      </c>
      <c r="S36" s="1507">
        <f t="shared" si="12"/>
        <v>98</v>
      </c>
      <c r="T36" s="1506" t="s">
        <v>8</v>
      </c>
      <c r="U36" s="1507">
        <f t="shared" si="13"/>
        <v>98</v>
      </c>
      <c r="V36" s="1506" t="s">
        <v>8</v>
      </c>
      <c r="W36" s="1507">
        <f t="shared" si="14"/>
        <v>99</v>
      </c>
      <c r="X36" s="1500"/>
      <c r="Y36" s="400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4008"/>
      <c r="Q37" s="1132" t="str">
        <f t="shared" si="11"/>
        <v>市政基础设施</v>
      </c>
      <c r="R37" s="1501" t="s">
        <v>8</v>
      </c>
      <c r="S37" s="1502">
        <f t="shared" si="12"/>
        <v>100</v>
      </c>
      <c r="T37" s="1501" t="s">
        <v>8</v>
      </c>
      <c r="U37" s="1502">
        <f t="shared" si="13"/>
        <v>100</v>
      </c>
      <c r="V37" s="1501" t="s">
        <v>8</v>
      </c>
      <c r="W37" s="1502">
        <f t="shared" si="14"/>
        <v>100</v>
      </c>
      <c r="X37" s="1503"/>
      <c r="Y37" s="400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08" t="s">
        <v>758</v>
      </c>
      <c r="Q38" s="1505" t="str">
        <f t="shared" si="11"/>
        <v>业态</v>
      </c>
      <c r="R38" s="1506" t="s">
        <v>8</v>
      </c>
      <c r="S38" s="1507">
        <f t="shared" si="12"/>
        <v>100</v>
      </c>
      <c r="T38" s="1506" t="s">
        <v>8</v>
      </c>
      <c r="U38" s="1507">
        <f t="shared" si="13"/>
        <v>100</v>
      </c>
      <c r="V38" s="1506" t="s">
        <v>8</v>
      </c>
      <c r="W38" s="1507">
        <f t="shared" si="14"/>
        <v>100</v>
      </c>
      <c r="X38" s="1500"/>
      <c r="Y38" s="4008" t="s">
        <v>758</v>
      </c>
      <c r="Z38" s="1508" t="str">
        <f t="shared" si="15"/>
        <v>业态</v>
      </c>
      <c r="AA38" s="1509">
        <f t="shared" si="3"/>
        <v>1</v>
      </c>
      <c r="AB38" s="1509">
        <f t="shared" si="4"/>
        <v>1</v>
      </c>
      <c r="AC38" s="1509">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2"/>
      <c r="M39" s="2014"/>
      <c r="N39" s="2014"/>
      <c r="O39" s="2021"/>
      <c r="P39" s="4008"/>
      <c r="Q39" s="1505" t="str">
        <f t="shared" si="11"/>
        <v>层高</v>
      </c>
      <c r="R39" s="1506" t="s">
        <v>8</v>
      </c>
      <c r="S39" s="1507">
        <f t="shared" si="12"/>
        <v>100</v>
      </c>
      <c r="T39" s="1506" t="s">
        <v>8</v>
      </c>
      <c r="U39" s="1507">
        <f t="shared" si="13"/>
        <v>100</v>
      </c>
      <c r="V39" s="1506" t="s">
        <v>8</v>
      </c>
      <c r="W39" s="1507">
        <f t="shared" si="14"/>
        <v>100</v>
      </c>
      <c r="X39" s="1500"/>
      <c r="Y39" s="400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08"/>
      <c r="Q40" s="1505" t="str">
        <f t="shared" si="11"/>
        <v>单套建筑面积</v>
      </c>
      <c r="R40" s="1506" t="s">
        <v>8</v>
      </c>
      <c r="S40" s="1507">
        <f t="shared" si="12"/>
        <v>100</v>
      </c>
      <c r="T40" s="1506" t="s">
        <v>8</v>
      </c>
      <c r="U40" s="1507">
        <f t="shared" si="13"/>
        <v>100</v>
      </c>
      <c r="V40" s="1506" t="s">
        <v>8</v>
      </c>
      <c r="W40" s="1507">
        <f t="shared" si="14"/>
        <v>100</v>
      </c>
      <c r="X40" s="1500"/>
      <c r="Y40" s="4008"/>
      <c r="Z40" s="1508" t="str">
        <f t="shared" si="15"/>
        <v>单套建筑面积</v>
      </c>
      <c r="AA40" s="1509">
        <f t="shared" si="3"/>
        <v>1</v>
      </c>
      <c r="AB40" s="1509">
        <f t="shared" si="4"/>
        <v>1</v>
      </c>
      <c r="AC40" s="1509">
        <f t="shared" si="5"/>
        <v>1</v>
      </c>
    </row>
    <row r="41" spans="1:29" s="1291" customFormat="1" ht="15">
      <c r="A41" s="595"/>
      <c r="B41" s="891" t="s">
        <v>761</v>
      </c>
      <c r="C41" s="575" t="s">
        <v>3076</v>
      </c>
      <c r="D41" s="532">
        <v>100</v>
      </c>
      <c r="E41" s="575" t="s">
        <v>3076</v>
      </c>
      <c r="F41" s="567">
        <f>SUMIF(120:120,E41,121:121)-SUMIF(120:120,C41,121:121)+100</f>
        <v>100</v>
      </c>
      <c r="G41" s="575" t="s">
        <v>3076</v>
      </c>
      <c r="H41" s="532">
        <f>SUMIF(120:120,G41,121:121)-SUMIF(120:120,C41,121:121)+100</f>
        <v>100</v>
      </c>
      <c r="I41" s="575" t="s">
        <v>3076</v>
      </c>
      <c r="J41" s="532">
        <f>SUMIF(120:120,I41,121:121)-SUMIF(120:120,C41,121:121)+100</f>
        <v>100</v>
      </c>
      <c r="K41" s="576"/>
      <c r="L41" s="2020"/>
      <c r="M41" s="2050"/>
      <c r="N41" s="2050"/>
      <c r="O41" s="2023"/>
      <c r="P41" s="4008"/>
      <c r="Q41" s="1534" t="str">
        <f t="shared" si="11"/>
        <v>进深比</v>
      </c>
      <c r="R41" s="1510" t="s">
        <v>8</v>
      </c>
      <c r="S41" s="1511">
        <f t="shared" si="12"/>
        <v>100</v>
      </c>
      <c r="T41" s="1510" t="s">
        <v>8</v>
      </c>
      <c r="U41" s="1511">
        <f t="shared" si="13"/>
        <v>100</v>
      </c>
      <c r="V41" s="1510" t="s">
        <v>8</v>
      </c>
      <c r="W41" s="1511">
        <f t="shared" si="14"/>
        <v>100</v>
      </c>
      <c r="X41" s="1512"/>
      <c r="Y41" s="4008"/>
      <c r="Z41" s="1513" t="str">
        <f t="shared" si="15"/>
        <v>进深比</v>
      </c>
      <c r="AA41" s="1509">
        <f t="shared" si="3"/>
        <v>1</v>
      </c>
      <c r="AB41" s="1509">
        <f t="shared" si="4"/>
        <v>1</v>
      </c>
      <c r="AC41" s="1509">
        <f t="shared" si="5"/>
        <v>1</v>
      </c>
    </row>
    <row r="42" spans="1:29" ht="15.75" thickBot="1">
      <c r="A42" s="586"/>
      <c r="B42" s="519" t="s">
        <v>762</v>
      </c>
      <c r="C42" s="591" t="s">
        <v>3119</v>
      </c>
      <c r="D42" s="532">
        <v>100</v>
      </c>
      <c r="E42" s="591" t="s">
        <v>3119</v>
      </c>
      <c r="F42" s="567">
        <f>SUMIF(122:122,E42,123:123)-SUMIF(122:122,C42,123:123)+100</f>
        <v>100</v>
      </c>
      <c r="G42" s="591" t="s">
        <v>3119</v>
      </c>
      <c r="H42" s="532">
        <f>SUMIF(122:122,G42,123:123)-SUMIF(122:122,C42,123:123)+100</f>
        <v>100</v>
      </c>
      <c r="I42" s="591" t="s">
        <v>3119</v>
      </c>
      <c r="J42" s="532">
        <f>SUMIF(122:122,I42,123:123)-SUMIF(122:122,C42,123:123)+100</f>
        <v>100</v>
      </c>
      <c r="K42" s="576">
        <v>3</v>
      </c>
      <c r="L42" s="2022"/>
      <c r="M42" s="2014"/>
      <c r="N42" s="2014"/>
      <c r="O42" s="2021"/>
      <c r="P42" s="4008"/>
      <c r="Q42" s="1505" t="str">
        <f t="shared" si="11"/>
        <v>内部装修</v>
      </c>
      <c r="R42" s="1506" t="s">
        <v>8</v>
      </c>
      <c r="S42" s="1507">
        <f t="shared" si="12"/>
        <v>100</v>
      </c>
      <c r="T42" s="1506" t="s">
        <v>8</v>
      </c>
      <c r="U42" s="1507">
        <f t="shared" si="13"/>
        <v>100</v>
      </c>
      <c r="V42" s="1506" t="s">
        <v>8</v>
      </c>
      <c r="W42" s="1507">
        <f t="shared" si="14"/>
        <v>100</v>
      </c>
      <c r="X42" s="1500"/>
      <c r="Y42" s="4008"/>
      <c r="Z42" s="1508" t="str">
        <f t="shared" si="15"/>
        <v>内部装修</v>
      </c>
      <c r="AA42" s="1509">
        <f t="shared" si="3"/>
        <v>1</v>
      </c>
      <c r="AB42" s="1509">
        <f t="shared" si="4"/>
        <v>1</v>
      </c>
      <c r="AC42" s="1509">
        <f t="shared" si="5"/>
        <v>1</v>
      </c>
    </row>
    <row r="43" spans="1:29" ht="27.75" hidden="1" thickBot="1">
      <c r="A43" s="586"/>
      <c r="B43" s="519" t="s">
        <v>727</v>
      </c>
      <c r="C43" s="591" t="s">
        <v>3076</v>
      </c>
      <c r="D43" s="532">
        <v>100</v>
      </c>
      <c r="E43" s="591" t="s">
        <v>3076</v>
      </c>
      <c r="F43" s="567">
        <f>SUMIF(124:124,E43,125:125)-SUMIF(124:124,C43,125:125)+100</f>
        <v>100</v>
      </c>
      <c r="G43" s="591" t="s">
        <v>3076</v>
      </c>
      <c r="H43" s="532">
        <f>SUMIF(124:124,G43,125:125)-SUMIF(124:124,C43,125:125)+100</f>
        <v>100</v>
      </c>
      <c r="I43" s="591" t="s">
        <v>3076</v>
      </c>
      <c r="J43" s="532">
        <f>SUMIF(124:124,I43,125:125)-SUMIF(124:124,C43,125:125)+100</f>
        <v>100</v>
      </c>
      <c r="K43" s="576">
        <v>1</v>
      </c>
      <c r="L43" s="2022"/>
      <c r="M43" s="2014"/>
      <c r="N43" s="2014"/>
      <c r="O43" s="2021"/>
      <c r="P43" s="4008"/>
      <c r="Q43" s="1505" t="str">
        <f t="shared" si="11"/>
        <v>内部装修维护情况</v>
      </c>
      <c r="R43" s="1506" t="s">
        <v>8</v>
      </c>
      <c r="S43" s="1507">
        <f t="shared" si="12"/>
        <v>100</v>
      </c>
      <c r="T43" s="1506" t="s">
        <v>8</v>
      </c>
      <c r="U43" s="1507">
        <f t="shared" si="13"/>
        <v>100</v>
      </c>
      <c r="V43" s="1506" t="s">
        <v>8</v>
      </c>
      <c r="W43" s="1507">
        <f t="shared" si="14"/>
        <v>100</v>
      </c>
      <c r="X43" s="1500"/>
      <c r="Y43" s="400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08"/>
      <c r="Q44" s="1132">
        <f t="shared" si="11"/>
        <v>111</v>
      </c>
      <c r="R44" s="1501" t="s">
        <v>8</v>
      </c>
      <c r="S44" s="1502">
        <f t="shared" si="12"/>
        <v>100</v>
      </c>
      <c r="T44" s="1501" t="s">
        <v>8</v>
      </c>
      <c r="U44" s="1502">
        <f t="shared" si="13"/>
        <v>100</v>
      </c>
      <c r="V44" s="1501" t="s">
        <v>8</v>
      </c>
      <c r="W44" s="1502">
        <f t="shared" si="14"/>
        <v>100</v>
      </c>
      <c r="X44" s="1503"/>
      <c r="Y44" s="400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08"/>
      <c r="Q45" s="1505">
        <f t="shared" si="11"/>
        <v>111</v>
      </c>
      <c r="R45" s="1506" t="s">
        <v>8</v>
      </c>
      <c r="S45" s="1507">
        <f t="shared" si="12"/>
        <v>100</v>
      </c>
      <c r="T45" s="1506" t="s">
        <v>8</v>
      </c>
      <c r="U45" s="1507">
        <f t="shared" si="13"/>
        <v>100</v>
      </c>
      <c r="V45" s="1506" t="s">
        <v>8</v>
      </c>
      <c r="W45" s="1507">
        <f t="shared" si="14"/>
        <v>100</v>
      </c>
      <c r="X45" s="1500"/>
      <c r="Y45" s="400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088"/>
      <c r="Q46" s="1505">
        <f t="shared" si="11"/>
        <v>111</v>
      </c>
      <c r="R46" s="1506" t="s">
        <v>8</v>
      </c>
      <c r="S46" s="1507">
        <f t="shared" si="12"/>
        <v>100</v>
      </c>
      <c r="T46" s="1506" t="s">
        <v>8</v>
      </c>
      <c r="U46" s="1507">
        <f t="shared" si="13"/>
        <v>100</v>
      </c>
      <c r="V46" s="1506" t="s">
        <v>8</v>
      </c>
      <c r="W46" s="1507">
        <f t="shared" si="14"/>
        <v>100</v>
      </c>
      <c r="X46" s="1500"/>
      <c r="Y46" s="4088"/>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6.8</v>
      </c>
      <c r="H47" s="2473"/>
      <c r="I47" s="2470">
        <v>7.1</v>
      </c>
      <c r="J47" s="2473"/>
      <c r="K47" s="1539"/>
      <c r="L47" s="2024"/>
      <c r="M47" s="2025"/>
      <c r="N47" s="2014"/>
      <c r="O47" s="2025"/>
      <c r="P47" s="3971" t="str">
        <f>A47</f>
        <v>成交单价（元/平方米）</v>
      </c>
      <c r="Q47" s="3971"/>
      <c r="R47" s="4087">
        <f>E47</f>
        <v>6.76</v>
      </c>
      <c r="S47" s="4087"/>
      <c r="T47" s="4087">
        <f>G47</f>
        <v>6.8</v>
      </c>
      <c r="U47" s="4087"/>
      <c r="V47" s="4087">
        <f>I47</f>
        <v>7.1</v>
      </c>
      <c r="W47" s="4087"/>
      <c r="X47" s="1495"/>
      <c r="Y47" s="1514"/>
      <c r="Z47" s="1495"/>
      <c r="AA47" s="1495"/>
      <c r="AB47" s="1495"/>
      <c r="AC47" s="1495"/>
    </row>
    <row r="48" spans="1:29" ht="26.25" thickBot="1">
      <c r="A48" s="607" t="s">
        <v>2738</v>
      </c>
      <c r="B48" s="875"/>
      <c r="C48" s="2474">
        <f>R49</f>
        <v>6.9</v>
      </c>
      <c r="D48" s="3003" t="s">
        <v>2963</v>
      </c>
      <c r="E48" s="2475">
        <f>R48</f>
        <v>7.1</v>
      </c>
      <c r="F48" s="3004"/>
      <c r="G48" s="2474">
        <f>T48</f>
        <v>7.1</v>
      </c>
      <c r="H48" s="3004"/>
      <c r="I48" s="2475">
        <f>V48</f>
        <v>6.5</v>
      </c>
      <c r="J48" s="3004"/>
      <c r="K48" s="3012">
        <f>F48+H48+J48</f>
        <v>0</v>
      </c>
      <c r="L48" s="2024"/>
      <c r="M48" s="2025"/>
      <c r="N48" s="2014"/>
      <c r="O48" s="2025"/>
      <c r="P48" s="3971" t="str">
        <f>A48</f>
        <v>比较价格（元/平方米）</v>
      </c>
      <c r="Q48" s="3971"/>
      <c r="R48" s="4087">
        <f>IF(F1="售价",ROUND(PRODUCT(R47,AA7:AA46),0),ROUND(PRODUCT(R47,AA7:AA46),1))</f>
        <v>7.1</v>
      </c>
      <c r="S48" s="4087"/>
      <c r="T48" s="4087">
        <f>IF(F1="售价",ROUND(PRODUCT(T47,AB7:AB46),0),ROUND(PRODUCT(T47,AB7:AB46),1))</f>
        <v>7.1</v>
      </c>
      <c r="U48" s="4087"/>
      <c r="V48" s="4087">
        <f>IF(F1="售价",ROUND(PRODUCT(V47,AC7:AC46),0),ROUND(PRODUCT(V47,AC7:AC46),1))</f>
        <v>6.5</v>
      </c>
      <c r="W48" s="4087"/>
      <c r="X48" s="1495"/>
      <c r="Y48" s="1495"/>
      <c r="Z48" s="1495"/>
      <c r="AA48" s="1495"/>
      <c r="AB48" s="1495"/>
      <c r="AC48" s="1495"/>
    </row>
    <row r="49" spans="1:29" ht="15.75" thickBot="1">
      <c r="A49" s="611" t="s">
        <v>2898</v>
      </c>
      <c r="B49" s="612"/>
      <c r="C49" s="2476">
        <f>R49</f>
        <v>6.9</v>
      </c>
      <c r="D49" s="2476"/>
      <c r="E49" s="2476"/>
      <c r="F49" s="2476"/>
      <c r="G49" s="2476"/>
      <c r="H49" s="2476"/>
      <c r="I49" s="2476"/>
      <c r="J49" s="2476"/>
      <c r="K49" s="1540"/>
      <c r="L49" s="2024"/>
      <c r="M49" s="2025"/>
      <c r="N49" s="2014"/>
      <c r="O49" s="2025"/>
      <c r="P49" s="3968" t="str">
        <f>A49</f>
        <v>估价对象XX用房的比较价格（楼面单价，元/平方米）</v>
      </c>
      <c r="Q49" s="3969"/>
      <c r="R49" s="4086">
        <f>IF(F1="售价",ROUND(IF(D48="简单平均",AVERAGE(R48:V48),R48*F48+T48*H48+V48*J48),0),ROUND(IF(D48="简单平均",AVERAGE(R48:V48),R48*F48+T48*H48+V48*J48),1))</f>
        <v>6.9</v>
      </c>
      <c r="S49" s="4086"/>
      <c r="T49" s="4086"/>
      <c r="U49" s="4086"/>
      <c r="V49" s="4086"/>
      <c r="W49" s="4086"/>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5.0295857988165604E-2</v>
      </c>
      <c r="F52" s="617" t="str">
        <f>IF(OR(E52&gt;=0.3,E52&lt;=-0.3),"超过30%","")</f>
        <v/>
      </c>
      <c r="G52" s="616">
        <f>IF(G47&lt;G48,G48/G47-1,G47/G48-1)</f>
        <v>4.4117647058823595E-2</v>
      </c>
      <c r="H52" s="617" t="str">
        <f>IF(OR(G52&gt;=0.3,G52&lt;=-0.3),"超过30%","")</f>
        <v/>
      </c>
      <c r="I52" s="616">
        <f>IF(I47&lt;I48,I48/I47-1,I47/I48-1)</f>
        <v>9.2307692307692202E-2</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v>
      </c>
      <c r="F53" s="617" t="str">
        <f>IF(OR(E53&gt;=0.2,E53&lt;=-0.2),"超过20%","")</f>
        <v/>
      </c>
      <c r="G53" s="616">
        <f>IF(G48&lt;I48,I48/G48-1,G48/I48-1)</f>
        <v>9.2307692307692202E-2</v>
      </c>
      <c r="H53" s="617" t="str">
        <f>IF(OR(G53&gt;=0.2,G53&lt;=-0.2),"超过20%","")</f>
        <v/>
      </c>
      <c r="I53" s="616">
        <f>IF(I48&lt;E48,E48/I48-1,I48/E48-1)</f>
        <v>9.2307692307692202E-2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5.9171597633136397E-3</v>
      </c>
      <c r="F54" s="617" t="str">
        <f>IF(OR(E54&gt;=0.3,E54&lt;=-0.3),"超过30%","")</f>
        <v/>
      </c>
      <c r="G54" s="616">
        <f>IF(G47&lt;I47,I47/G47-1,G47/I47-1)</f>
        <v>4.4117647058823595E-2</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95</v>
      </c>
      <c r="E79" s="669">
        <f>D79-$K17</f>
        <v>90</v>
      </c>
      <c r="F79" s="669">
        <f>E79-$K17</f>
        <v>85</v>
      </c>
      <c r="G79" s="669">
        <f>F79-$K17</f>
        <v>80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3084</v>
      </c>
      <c r="D86" s="3335" t="s">
        <v>3085</v>
      </c>
      <c r="E86" s="3335" t="s">
        <v>3087</v>
      </c>
      <c r="F86" s="3335" t="s">
        <v>3089</v>
      </c>
      <c r="G86" s="3335"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3092</v>
      </c>
      <c r="D88" s="3335" t="s">
        <v>3096</v>
      </c>
      <c r="E88" s="3335" t="s">
        <v>3097</v>
      </c>
      <c r="F88" s="3339" t="s">
        <v>3098</v>
      </c>
      <c r="G88" s="3335"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3094</v>
      </c>
      <c r="D90" s="3335" t="s">
        <v>3101</v>
      </c>
      <c r="E90" s="3335" t="s">
        <v>3097</v>
      </c>
      <c r="F90" s="3335" t="s">
        <v>3102</v>
      </c>
      <c r="G90" s="3335"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3138</v>
      </c>
      <c r="D100" s="3340" t="s">
        <v>3107</v>
      </c>
      <c r="E100" s="3340" t="s">
        <v>3108</v>
      </c>
      <c r="F100" s="3340" t="s">
        <v>3109</v>
      </c>
      <c r="G100" s="3340" t="s">
        <v>3111</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43.5" thickTop="1">
      <c r="A102" s="659"/>
      <c r="B102" s="663" t="s">
        <v>740</v>
      </c>
      <c r="C102" s="698" t="str">
        <f>C103&amp;"(含)"&amp;"-"&amp;D103</f>
        <v>0(含)-10000</v>
      </c>
      <c r="D102" s="698" t="str">
        <f t="shared" ref="D102:L102" si="23">D103&amp;"(含)"&amp;"-"&amp;E103</f>
        <v>10000(含)-20000</v>
      </c>
      <c r="E102" s="698" t="str">
        <f t="shared" si="23"/>
        <v>20000(含)-50000</v>
      </c>
      <c r="F102" s="698" t="str">
        <f t="shared" si="23"/>
        <v>50000(含)-</v>
      </c>
      <c r="G102" s="698" t="str">
        <f t="shared" si="23"/>
        <v>(含)-</v>
      </c>
      <c r="H102" s="698" t="str">
        <f t="shared" si="23"/>
        <v>(含)-</v>
      </c>
      <c r="I102" s="698" t="str">
        <f t="shared" si="23"/>
        <v>(含)-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20000</v>
      </c>
      <c r="F103" s="720">
        <v>50000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3112</v>
      </c>
      <c r="D105" s="3335" t="s">
        <v>3113</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3115</v>
      </c>
      <c r="D107" s="3335" t="s">
        <v>3117</v>
      </c>
      <c r="E107" s="3335" t="s">
        <v>3118</v>
      </c>
      <c r="F107" s="3341" t="s">
        <v>3120</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3121</v>
      </c>
      <c r="D112" s="3335" t="s">
        <v>3122</v>
      </c>
      <c r="E112" s="3335" t="s">
        <v>3123</v>
      </c>
      <c r="F112" s="3335" t="s">
        <v>3124</v>
      </c>
      <c r="G112" s="3335" t="s">
        <v>3125</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3126</v>
      </c>
      <c r="D116" s="3335" t="s">
        <v>3128</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3115</v>
      </c>
      <c r="D122" s="3335" t="s">
        <v>3117</v>
      </c>
      <c r="E122" s="3335" t="s">
        <v>3118</v>
      </c>
      <c r="F122" s="3341" t="s">
        <v>3120</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topLeftCell="A34" workbookViewId="0">
      <selection activeCell="R23" sqref="R23"/>
    </sheetView>
  </sheetViews>
  <sheetFormatPr defaultRowHeight="13.5"/>
  <sheetData>
    <row r="1" spans="8:10">
      <c r="H1" s="3235" t="s">
        <v>3176</v>
      </c>
      <c r="J1">
        <v>6.76</v>
      </c>
    </row>
    <row r="16" spans="8:10">
      <c r="H16" s="3235" t="s">
        <v>3132</v>
      </c>
      <c r="I16">
        <v>8</v>
      </c>
    </row>
    <row r="32" spans="8:8">
      <c r="H32" s="3235" t="s">
        <v>3150</v>
      </c>
    </row>
    <row r="33" spans="9:9">
      <c r="I33">
        <v>7.1</v>
      </c>
    </row>
    <row r="51" spans="2:17">
      <c r="B51">
        <v>6.5</v>
      </c>
      <c r="I51">
        <v>6</v>
      </c>
      <c r="Q51">
        <v>9.17</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8" zoomScale="80" zoomScaleNormal="60" zoomScaleSheetLayoutView="80" workbookViewId="0">
      <selection activeCell="F35" sqref="F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864715</v>
      </c>
      <c r="C2" s="3251"/>
      <c r="D2" s="3252"/>
      <c r="E2" s="3253"/>
      <c r="F2" s="3253"/>
      <c r="G2" s="3247"/>
      <c r="H2" s="1938"/>
      <c r="I2" s="1938"/>
      <c r="J2" s="1938"/>
      <c r="K2" s="1939"/>
      <c r="L2" s="1938"/>
      <c r="M2" s="1938"/>
    </row>
    <row r="3" spans="1:33" ht="18" customHeight="1" thickBot="1">
      <c r="A3" s="820" t="s">
        <v>1715</v>
      </c>
      <c r="B3" s="821">
        <f ca="1">IF(ISERROR(B2*10000/F43),0,ROUND(B2*10000/F43,0))</f>
        <v>23821</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49150</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49089</v>
      </c>
      <c r="D6" s="2348" t="s">
        <v>2441</v>
      </c>
      <c r="E6" s="772" t="s">
        <v>629</v>
      </c>
      <c r="F6" s="773">
        <f ca="1">INDIRECT("'数据-取费表'!u"&amp;$G$1)</f>
        <v>3.9</v>
      </c>
      <c r="G6" s="1943"/>
      <c r="H6" s="2355" t="s">
        <v>1812</v>
      </c>
      <c r="I6" s="4059" t="s">
        <v>2442</v>
      </c>
      <c r="J6" s="771">
        <f ca="1">ROUND(M6*M8*M7*(1-M9)/10000,0)</f>
        <v>0</v>
      </c>
      <c r="K6" s="337" t="s">
        <v>1725</v>
      </c>
      <c r="L6" s="772" t="s">
        <v>629</v>
      </c>
      <c r="M6" s="773">
        <f ca="1">INDIRECT("'数据-取费表'!z"&amp;$G$1)</f>
        <v>0</v>
      </c>
    </row>
    <row r="7" spans="1:33" ht="18" customHeight="1">
      <c r="A7" s="2351"/>
      <c r="B7" s="4060"/>
      <c r="C7" s="776"/>
      <c r="D7" s="777"/>
      <c r="E7" s="772" t="s">
        <v>630</v>
      </c>
      <c r="F7" s="3360">
        <f ca="1">IF(INDIRECT("'数据-取费表'!ah"&amp;$G$1)="",INDIRECT("'数据-取费表'!k"&amp;$G$1),INDIRECT("'数据-取费表'!ah"&amp;$G$1))</f>
        <v>363000</v>
      </c>
      <c r="G7" s="1943"/>
      <c r="H7" s="2340"/>
      <c r="I7" s="4060"/>
      <c r="J7" s="776"/>
      <c r="K7" s="777"/>
      <c r="L7" s="772" t="s">
        <v>630</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632</v>
      </c>
      <c r="F9" s="782">
        <f ca="1">INDIRECT("'数据-取费表'!w"&amp;$G$1)</f>
        <v>0.05</v>
      </c>
      <c r="G9" s="1943"/>
      <c r="H9" s="2356"/>
      <c r="I9" s="4061"/>
      <c r="J9" s="776"/>
      <c r="K9" s="777"/>
      <c r="L9" s="783" t="s">
        <v>632</v>
      </c>
      <c r="M9" s="784">
        <f ca="1">INDIRECT("'数据-取费表'!ab"&amp;$G$1)</f>
        <v>0</v>
      </c>
    </row>
    <row r="10" spans="1:33" ht="18" customHeight="1">
      <c r="A10" s="1743" t="s">
        <v>1813</v>
      </c>
      <c r="B10" s="2345" t="s">
        <v>2438</v>
      </c>
      <c r="C10" s="787">
        <f ca="1">ROUND(IF(F10="押一",C6/12*F11,IF(F10="押二",C6/12*2*F11,IF(F10="押三",C6/12*3*F11,C11*F11))),0)</f>
        <v>61</v>
      </c>
      <c r="D10" s="2352" t="s">
        <v>2933</v>
      </c>
      <c r="E10" s="2349" t="s">
        <v>2443</v>
      </c>
      <c r="F10" s="2463" t="s">
        <v>3166</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277077</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181500</v>
      </c>
      <c r="D14" s="3327" t="s">
        <v>1733</v>
      </c>
      <c r="E14" s="3328"/>
      <c r="F14" s="793"/>
      <c r="G14" s="1943"/>
      <c r="H14" s="1576" t="s">
        <v>1812</v>
      </c>
      <c r="I14" s="2109" t="s">
        <v>2802</v>
      </c>
      <c r="J14" s="52">
        <f ca="1">C29</f>
        <v>277077</v>
      </c>
      <c r="K14" s="25"/>
      <c r="L14" s="789"/>
      <c r="M14" s="790"/>
    </row>
    <row r="15" spans="1:33" s="1945" customFormat="1" ht="18" customHeight="1" thickBot="1">
      <c r="A15" s="1575" t="s">
        <v>1820</v>
      </c>
      <c r="B15" s="772" t="s">
        <v>639</v>
      </c>
      <c r="C15" s="52">
        <f ca="1">ROUND(C14*F15,0)</f>
        <v>5445</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26604</v>
      </c>
      <c r="K16" s="1734" t="s">
        <v>644</v>
      </c>
      <c r="L16" s="3329"/>
      <c r="M16" s="2342"/>
    </row>
    <row r="17" spans="1:33" s="1945" customFormat="1" ht="18" customHeight="1">
      <c r="A17" s="1575" t="s">
        <v>1875</v>
      </c>
      <c r="B17" s="772" t="s">
        <v>645</v>
      </c>
      <c r="C17" s="52">
        <f ca="1">ROUND(F17*(F43+INDIRECT("'数据-取费表'!S"&amp;$G$1))/10000,0)</f>
        <v>7260</v>
      </c>
      <c r="D17" s="772" t="s">
        <v>646</v>
      </c>
      <c r="E17" s="772" t="s">
        <v>647</v>
      </c>
      <c r="F17" s="55">
        <f>'数据-取费表'!B35</f>
        <v>200</v>
      </c>
      <c r="G17" s="3248"/>
      <c r="H17" s="1576" t="s">
        <v>1812</v>
      </c>
      <c r="I17" s="772" t="s">
        <v>648</v>
      </c>
      <c r="J17" s="3008">
        <f ca="1">ROUND(IF(AND(项目基本情况!B11="自然人",项目基本情况!B10="北京市"),J6*M17/(1+'数据-取费表'!C42),J18+J19+J20),0)</f>
        <v>23279</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196928</v>
      </c>
      <c r="D19" s="257" t="s">
        <v>655</v>
      </c>
      <c r="E19" s="3331"/>
      <c r="F19" s="55"/>
      <c r="G19" s="1943"/>
      <c r="H19" s="1575" t="s">
        <v>1820</v>
      </c>
      <c r="I19" s="772" t="s">
        <v>1746</v>
      </c>
      <c r="J19" s="52">
        <f ca="1">IF(K19="按租金收入计税",ROUND(J6*M19/(1+'数据-取费表'!C42),1),ROUND(C29*F33*0.7,1))</f>
        <v>23274.5</v>
      </c>
      <c r="K19" s="798" t="s">
        <v>657</v>
      </c>
      <c r="L19" s="772" t="s">
        <v>641</v>
      </c>
      <c r="M19" s="797">
        <f>IF(K19="按租金收入计税",'数据-取费表'!B51,'数据-取费表'!B50)</f>
        <v>1.2E-2</v>
      </c>
    </row>
    <row r="20" spans="1:33" s="1945" customFormat="1" ht="18" customHeight="1">
      <c r="A20" s="1576" t="s">
        <v>1877</v>
      </c>
      <c r="B20" s="772" t="s">
        <v>658</v>
      </c>
      <c r="C20" s="52">
        <f ca="1">ROUND(C19*F20,0)</f>
        <v>3939</v>
      </c>
      <c r="D20" s="799" t="s">
        <v>659</v>
      </c>
      <c r="E20" s="772" t="s">
        <v>641</v>
      </c>
      <c r="F20" s="3386">
        <f>剩余法办公!F23</f>
        <v>0.02</v>
      </c>
      <c r="G20" s="3248"/>
      <c r="H20" s="1578" t="s">
        <v>1821</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6">
        <f>剩余法办公!F24</f>
        <v>0.02</v>
      </c>
      <c r="G21" s="3248"/>
      <c r="H21" s="2357"/>
      <c r="I21" s="781"/>
      <c r="J21" s="68"/>
      <c r="K21" s="803"/>
      <c r="L21" s="772" t="s">
        <v>666</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3325</v>
      </c>
      <c r="K22" s="3326" t="s">
        <v>1757</v>
      </c>
      <c r="L22" s="772" t="s">
        <v>641</v>
      </c>
      <c r="M22" s="804">
        <f ca="1">INDIRECT("'数据-取费表'!Ak"&amp;$G$1)</f>
        <v>1.2E-2</v>
      </c>
    </row>
    <row r="23" spans="1:33" s="1945" customFormat="1" ht="18" customHeight="1">
      <c r="A23" s="1575" t="s">
        <v>1819</v>
      </c>
      <c r="B23" s="772" t="s">
        <v>2418</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-26604</v>
      </c>
      <c r="K25" s="2399" t="s">
        <v>1765</v>
      </c>
      <c r="L25" s="2400"/>
      <c r="M25" s="2401"/>
    </row>
    <row r="26" spans="1:33" ht="18" customHeight="1">
      <c r="A26" s="1575" t="s">
        <v>1819</v>
      </c>
      <c r="B26" s="772" t="s">
        <v>2419</v>
      </c>
      <c r="C26" s="52">
        <f ca="1">ROUND((C19+C20)*F26,0)</f>
        <v>40173</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277077</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12284</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8190</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2571.3000000000002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5610.2</v>
      </c>
      <c r="D33" s="798" t="s">
        <v>3236</v>
      </c>
      <c r="E33" s="772" t="s">
        <v>641</v>
      </c>
      <c r="F33" s="797">
        <f>IF(D33="按租金收入计税",'数据-取费表'!B51,'数据-取费表'!B50)</f>
        <v>0.12</v>
      </c>
      <c r="G33" s="1943"/>
      <c r="H33" s="1958"/>
      <c r="I33" s="1958"/>
      <c r="J33" s="1958"/>
      <c r="K33" s="1959"/>
      <c r="L33" s="1958"/>
      <c r="M33" s="1958"/>
    </row>
    <row r="34" spans="1:18" ht="18" customHeight="1">
      <c r="A34" s="1578" t="s">
        <v>1821</v>
      </c>
      <c r="B34" s="337" t="s">
        <v>1748</v>
      </c>
      <c r="C34" s="53">
        <f>ROUND(F34*F35/10000,1)</f>
        <v>8.6</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57209.51</v>
      </c>
      <c r="G35" s="1943"/>
      <c r="H35" s="1946"/>
      <c r="I35" s="824" t="s">
        <v>1802</v>
      </c>
      <c r="J35" s="825">
        <f ca="1">ROUND(C13*J36,0)</f>
        <v>0</v>
      </c>
      <c r="K35" s="1959"/>
      <c r="L35" s="1958"/>
      <c r="M35" s="1958"/>
    </row>
    <row r="36" spans="1:18" ht="18" customHeight="1">
      <c r="A36" s="1576" t="s">
        <v>1877</v>
      </c>
      <c r="B36" s="772" t="s">
        <v>668</v>
      </c>
      <c r="C36" s="52">
        <f ca="1">ROUND(C29*F36,1)</f>
        <v>3324.9</v>
      </c>
      <c r="D36" s="3326" t="s">
        <v>1791</v>
      </c>
      <c r="E36" s="772" t="s">
        <v>641</v>
      </c>
      <c r="F36" s="804">
        <f ca="1">INDIRECT("'数据-取费表'!Ak"&amp;$G$1)</f>
        <v>1.2E-2</v>
      </c>
      <c r="G36" s="1943"/>
      <c r="H36" s="1958"/>
      <c r="I36" s="826" t="s">
        <v>1803</v>
      </c>
      <c r="J36" s="827">
        <f ca="1">INDIRECT("'数据-取费表'!j"&amp;$G$1)</f>
        <v>0</v>
      </c>
      <c r="K36" s="1962"/>
      <c r="L36" s="1958"/>
      <c r="M36" s="1958"/>
    </row>
    <row r="37" spans="1:18" ht="18" customHeight="1">
      <c r="A37" s="1576" t="s">
        <v>1878</v>
      </c>
      <c r="B37" s="772" t="s">
        <v>671</v>
      </c>
      <c r="C37" s="52">
        <f ca="1">ROUND(C13*F37,1)</f>
        <v>277.10000000000002</v>
      </c>
      <c r="D37" s="3326"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491.5</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36866</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864715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0.32</v>
      </c>
      <c r="K42" s="1962"/>
      <c r="L42" s="1898"/>
      <c r="M42" s="1898"/>
    </row>
    <row r="43" spans="1:18" ht="18" customHeight="1" thickBot="1">
      <c r="A43" s="810" t="s">
        <v>1775</v>
      </c>
      <c r="B43" s="811" t="s">
        <v>1798</v>
      </c>
      <c r="C43" s="812">
        <f ca="1">ROUND(C40*10000/F43,0)</f>
        <v>23821</v>
      </c>
      <c r="D43" s="813" t="s">
        <v>1799</v>
      </c>
      <c r="E43" s="814" t="s">
        <v>1800</v>
      </c>
      <c r="F43" s="815">
        <f ca="1">INDIRECT("'数据-取费表'!k"&amp;$G$1)</f>
        <v>363000</v>
      </c>
      <c r="G43" s="1943"/>
      <c r="H43" s="1898"/>
      <c r="I43" s="834" t="s">
        <v>1810</v>
      </c>
      <c r="J43" s="835">
        <f ca="1">1-J42</f>
        <v>0.67999999999999994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-949413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864715</v>
      </c>
      <c r="R48" s="2252" t="s">
        <v>2362</v>
      </c>
    </row>
    <row r="49" spans="1:18" s="1940" customFormat="1" ht="18" customHeight="1" thickBot="1">
      <c r="A49" s="774"/>
      <c r="B49" s="775"/>
      <c r="C49" s="776"/>
      <c r="D49" s="777"/>
      <c r="E49" s="772" t="s">
        <v>630</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277077</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2211960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37" t="s">
        <v>2926</v>
      </c>
      <c r="L53" s="4138"/>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864715</v>
      </c>
      <c r="R54" s="2256" t="s">
        <v>2374</v>
      </c>
    </row>
    <row r="55" spans="1:18" s="1940" customFormat="1" ht="18" customHeight="1" thickTop="1" thickBot="1">
      <c r="A55" s="785">
        <v>2</v>
      </c>
      <c r="B55" s="786" t="s">
        <v>636</v>
      </c>
      <c r="C55" s="787">
        <f ca="1">C13</f>
        <v>277077</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277077</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3611</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864715</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3326" t="str">
        <f>D33</f>
        <v>按租金收入计税</v>
      </c>
      <c r="E60" s="772" t="s">
        <v>641</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3324.9</v>
      </c>
      <c r="D63" s="3326" t="s">
        <v>1791</v>
      </c>
      <c r="E63" s="772" t="s">
        <v>641</v>
      </c>
      <c r="F63" s="804">
        <f t="shared" ca="1" si="0"/>
        <v>1.2E-2</v>
      </c>
      <c r="I63" s="2822" t="s">
        <v>2352</v>
      </c>
      <c r="J63" s="2823">
        <v>70</v>
      </c>
      <c r="K63" s="2823">
        <v>50</v>
      </c>
      <c r="L63" s="2823">
        <v>80</v>
      </c>
      <c r="M63" s="2825">
        <v>0.02</v>
      </c>
      <c r="O63" s="2251" t="s">
        <v>2373</v>
      </c>
      <c r="P63" s="2252" t="s">
        <v>2390</v>
      </c>
      <c r="Q63" s="2253">
        <f ca="1">Q57+Q58</f>
        <v>864715</v>
      </c>
      <c r="R63" s="2256" t="s">
        <v>2374</v>
      </c>
    </row>
    <row r="64" spans="1:18" s="1940" customFormat="1" ht="16.5" thickBot="1">
      <c r="A64" s="1576" t="s">
        <v>1878</v>
      </c>
      <c r="B64" s="772" t="s">
        <v>671</v>
      </c>
      <c r="C64" s="52">
        <f ca="1">ROUND(C55*F64,1)</f>
        <v>277.10000000000002</v>
      </c>
      <c r="D64" s="3326"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-3611</v>
      </c>
      <c r="D66" s="3327" t="s">
        <v>692</v>
      </c>
      <c r="E66" s="3330"/>
      <c r="F66" s="807"/>
      <c r="K66" s="1966"/>
      <c r="O66" s="2251" t="s">
        <v>2361</v>
      </c>
      <c r="P66" s="2252" t="s">
        <v>2387</v>
      </c>
      <c r="Q66" s="2253">
        <f ca="1">C40+J29</f>
        <v>864715</v>
      </c>
      <c r="R66" s="2252" t="s">
        <v>2362</v>
      </c>
    </row>
    <row r="67" spans="1:18" s="1940" customFormat="1" ht="20.25" thickBot="1">
      <c r="A67" s="769" t="s">
        <v>1768</v>
      </c>
      <c r="B67" s="2110" t="s">
        <v>2286</v>
      </c>
      <c r="C67" s="771">
        <f ca="1">ROUND(C66*(1-((1+F69)/(1+F67))^F68)/(F67-F69),0)</f>
        <v>-84698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2211960</v>
      </c>
      <c r="R68" s="2259" t="s">
        <v>2398</v>
      </c>
    </row>
    <row r="69" spans="1:18" ht="20.25" thickBot="1">
      <c r="A69" s="778"/>
      <c r="B69" s="779"/>
      <c r="C69" s="780"/>
      <c r="D69" s="803"/>
      <c r="E69" s="772" t="s">
        <v>702</v>
      </c>
      <c r="F69" s="2224"/>
      <c r="O69" s="2254" t="s">
        <v>2366</v>
      </c>
      <c r="P69" s="2260" t="s">
        <v>2380</v>
      </c>
      <c r="Q69" s="2253">
        <f ca="1">ROUND(Q70-Q71*Q72,0)</f>
        <v>36866</v>
      </c>
      <c r="R69" s="2256"/>
    </row>
    <row r="70" spans="1:18" ht="15.75" thickBot="1">
      <c r="A70" s="810" t="s">
        <v>1775</v>
      </c>
      <c r="B70" s="811" t="s">
        <v>1798</v>
      </c>
      <c r="C70" s="812">
        <f ca="1">ROUND(C67*10000/F70,0)</f>
        <v>-2333</v>
      </c>
      <c r="D70" s="813" t="s">
        <v>1799</v>
      </c>
      <c r="E70" s="814" t="s">
        <v>1800</v>
      </c>
      <c r="F70" s="815">
        <f ca="1">F43</f>
        <v>363000</v>
      </c>
      <c r="O70" s="2254" t="s">
        <v>2381</v>
      </c>
      <c r="P70" s="2260" t="s">
        <v>2382</v>
      </c>
      <c r="Q70" s="2253">
        <f ca="1">C39</f>
        <v>36866</v>
      </c>
      <c r="R70" s="2252" t="s">
        <v>2362</v>
      </c>
    </row>
    <row r="71" spans="1:18" ht="15.75" thickBot="1">
      <c r="O71" s="2254" t="s">
        <v>2383</v>
      </c>
      <c r="P71" s="2260" t="s">
        <v>2384</v>
      </c>
      <c r="Q71" s="2253">
        <f ca="1">C13</f>
        <v>277077</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864715</v>
      </c>
      <c r="R76" s="2256" t="s">
        <v>2374</v>
      </c>
    </row>
  </sheetData>
  <sheetProtection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3" zoomScale="70" zoomScaleNormal="60" zoomScaleSheetLayoutView="70" workbookViewId="0">
      <selection activeCell="G105" sqref="G10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3.9</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77" t="s">
        <v>514</v>
      </c>
      <c r="D4" s="3978"/>
      <c r="E4" s="4011" t="s">
        <v>515</v>
      </c>
      <c r="F4" s="4012"/>
      <c r="G4" s="3977" t="s">
        <v>516</v>
      </c>
      <c r="H4" s="3978"/>
      <c r="I4" s="3977" t="s">
        <v>517</v>
      </c>
      <c r="J4" s="3978"/>
      <c r="K4" s="506" t="s">
        <v>518</v>
      </c>
      <c r="L4" s="2013"/>
      <c r="M4" s="2014"/>
      <c r="N4" s="2014"/>
      <c r="O4" s="2014"/>
      <c r="P4" s="4141" t="s">
        <v>519</v>
      </c>
      <c r="Q4" s="3980"/>
      <c r="R4" s="3985" t="s">
        <v>515</v>
      </c>
      <c r="S4" s="3986"/>
      <c r="T4" s="3985" t="s">
        <v>516</v>
      </c>
      <c r="U4" s="3986"/>
      <c r="V4" s="3972" t="s">
        <v>517</v>
      </c>
      <c r="W4" s="3972"/>
      <c r="X4" s="1500"/>
      <c r="Y4" s="3985" t="s">
        <v>519</v>
      </c>
      <c r="Z4" s="3986"/>
      <c r="AA4" s="3974" t="s">
        <v>515</v>
      </c>
      <c r="AB4" s="3974" t="s">
        <v>516</v>
      </c>
      <c r="AC4" s="3974" t="s">
        <v>517</v>
      </c>
    </row>
    <row r="5" spans="1:29" ht="15">
      <c r="A5" s="507"/>
      <c r="B5" s="508"/>
      <c r="C5" s="3993" t="s">
        <v>2892</v>
      </c>
      <c r="D5" s="3994"/>
      <c r="E5" s="4013" t="str">
        <f>办公租金案例截图及地图!A1</f>
        <v>绿地中央广场</v>
      </c>
      <c r="F5" s="4014"/>
      <c r="G5" s="4139" t="s">
        <v>3167</v>
      </c>
      <c r="H5" s="3994"/>
      <c r="I5" s="4139" t="s">
        <v>3168</v>
      </c>
      <c r="J5" s="3994"/>
      <c r="K5" s="506"/>
      <c r="L5" s="2013"/>
      <c r="M5" s="2014"/>
      <c r="N5" s="2014"/>
      <c r="O5" s="2014"/>
      <c r="P5" s="4142"/>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414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4004" t="s">
        <v>522</v>
      </c>
      <c r="Q7" s="4004"/>
      <c r="R7" s="1501" t="s">
        <v>8</v>
      </c>
      <c r="S7" s="1502">
        <f t="shared" ref="S7:S15" si="0">F7</f>
        <v>100</v>
      </c>
      <c r="T7" s="1501" t="s">
        <v>8</v>
      </c>
      <c r="U7" s="1502">
        <f t="shared" ref="U7:U15" si="1">H7</f>
        <v>100</v>
      </c>
      <c r="V7" s="1501" t="s">
        <v>8</v>
      </c>
      <c r="W7" s="1502">
        <f t="shared" ref="W7:W15" si="2">J7</f>
        <v>100</v>
      </c>
      <c r="X7" s="1503"/>
      <c r="Y7" s="4002" t="s">
        <v>522</v>
      </c>
      <c r="Z7" s="4003"/>
      <c r="AA7" s="1504">
        <f>D7/F7</f>
        <v>1</v>
      </c>
      <c r="AB7" s="1504">
        <f>D7/H7</f>
        <v>1</v>
      </c>
      <c r="AC7" s="1504">
        <f>D7/J7</f>
        <v>1</v>
      </c>
    </row>
    <row r="8" spans="1:29" s="1201" customFormat="1" ht="15.75" thickBot="1">
      <c r="A8" s="2628"/>
      <c r="B8" s="2635"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5"/>
      <c r="M8" s="2016"/>
      <c r="N8" s="2016"/>
      <c r="O8" s="2016"/>
      <c r="P8" s="4004" t="s">
        <v>525</v>
      </c>
      <c r="Q8" s="4003"/>
      <c r="R8" s="1501" t="s">
        <v>8</v>
      </c>
      <c r="S8" s="1502">
        <f t="shared" si="0"/>
        <v>100</v>
      </c>
      <c r="T8" s="1501" t="s">
        <v>8</v>
      </c>
      <c r="U8" s="1502">
        <f t="shared" si="1"/>
        <v>100</v>
      </c>
      <c r="V8" s="1501" t="s">
        <v>8</v>
      </c>
      <c r="W8" s="1502">
        <f t="shared" si="2"/>
        <v>100</v>
      </c>
      <c r="X8" s="1503"/>
      <c r="Y8" s="4002" t="s">
        <v>525</v>
      </c>
      <c r="Z8" s="4003"/>
      <c r="AA8" s="1504">
        <f t="shared" ref="AA8:AA47" si="3">D8/F8</f>
        <v>1</v>
      </c>
      <c r="AB8" s="1504">
        <f t="shared" ref="AB8:AB47" si="4">D8/H8</f>
        <v>1</v>
      </c>
      <c r="AC8" s="1504">
        <f t="shared" ref="AC8:AC47" si="5">D8/J8</f>
        <v>1</v>
      </c>
    </row>
    <row r="9" spans="1:29" s="1201" customFormat="1" ht="15">
      <c r="A9" s="2629"/>
      <c r="B9" s="2636" t="s">
        <v>2734</v>
      </c>
      <c r="C9" s="3325" t="s">
        <v>3134</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t="s">
        <v>3135</v>
      </c>
      <c r="D10" s="251">
        <v>100</v>
      </c>
      <c r="E10" s="848" t="s">
        <v>3135</v>
      </c>
      <c r="F10" s="251">
        <f>SUMIF(66:66,E10,67:67)-SUMIF(66:66,C10,67:67)+100</f>
        <v>100</v>
      </c>
      <c r="G10" s="849" t="s">
        <v>3135</v>
      </c>
      <c r="H10" s="251">
        <f>SUMIF(66:66,G10,67:67)-SUMIF(66:66,C10,67:67)+100</f>
        <v>100</v>
      </c>
      <c r="I10" s="848" t="s">
        <v>3135</v>
      </c>
      <c r="J10" s="251">
        <f>SUMIF(66:66,I10,67:67)-SUMIF(66:66,C10,67:67)+100</f>
        <v>100</v>
      </c>
      <c r="K10" s="576"/>
      <c r="L10" s="2018"/>
      <c r="M10" s="2057"/>
      <c r="N10" s="2057"/>
      <c r="O10" s="2057"/>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71"/>
      <c r="Q11" s="1132" t="str">
        <f t="shared" si="6"/>
        <v>容积率</v>
      </c>
      <c r="R11" s="1501" t="s">
        <v>8</v>
      </c>
      <c r="S11" s="1502">
        <f t="shared" si="0"/>
        <v>100</v>
      </c>
      <c r="T11" s="1501" t="s">
        <v>8</v>
      </c>
      <c r="U11" s="1502">
        <f t="shared" si="1"/>
        <v>100</v>
      </c>
      <c r="V11" s="1501" t="s">
        <v>8</v>
      </c>
      <c r="W11" s="1502">
        <f t="shared" si="2"/>
        <v>100</v>
      </c>
      <c r="X11" s="1503"/>
      <c r="Y11" s="3917"/>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98</v>
      </c>
      <c r="K15" s="885">
        <v>2</v>
      </c>
      <c r="L15" s="2022"/>
      <c r="M15" s="2014"/>
      <c r="N15" s="2014"/>
      <c r="O15" s="2014"/>
      <c r="P15" s="4005" t="s">
        <v>532</v>
      </c>
      <c r="Q15" s="1505" t="str">
        <f t="shared" si="6"/>
        <v>办公集聚程度</v>
      </c>
      <c r="R15" s="1506" t="s">
        <v>8</v>
      </c>
      <c r="S15" s="1507">
        <f t="shared" si="0"/>
        <v>100</v>
      </c>
      <c r="T15" s="1506" t="s">
        <v>8</v>
      </c>
      <c r="U15" s="1507">
        <f t="shared" si="1"/>
        <v>100</v>
      </c>
      <c r="V15" s="1506" t="s">
        <v>8</v>
      </c>
      <c r="W15" s="1507">
        <f t="shared" si="2"/>
        <v>98</v>
      </c>
      <c r="X15" s="1500"/>
      <c r="Y15" s="4005" t="s">
        <v>532</v>
      </c>
      <c r="Z15" s="1508" t="str">
        <f t="shared" si="7"/>
        <v>办公集聚程度</v>
      </c>
      <c r="AA15" s="1509">
        <f t="shared" si="3"/>
        <v>1</v>
      </c>
      <c r="AB15" s="1509">
        <f t="shared" si="4"/>
        <v>1</v>
      </c>
      <c r="AC15" s="1509">
        <f t="shared" si="5"/>
        <v>1.0204081632653061</v>
      </c>
    </row>
    <row r="16" spans="1:29" ht="15">
      <c r="A16" s="524"/>
      <c r="B16" s="545"/>
      <c r="C16" s="546" t="s">
        <v>3076</v>
      </c>
      <c r="D16" s="547"/>
      <c r="E16" s="568" t="s">
        <v>3076</v>
      </c>
      <c r="F16" s="547"/>
      <c r="G16" s="546" t="s">
        <v>3076</v>
      </c>
      <c r="H16" s="551"/>
      <c r="I16" s="568" t="s">
        <v>3075</v>
      </c>
      <c r="J16" s="547"/>
      <c r="K16" s="886"/>
      <c r="L16" s="2022"/>
      <c r="M16" s="2014"/>
      <c r="N16" s="2014"/>
      <c r="O16" s="2014"/>
      <c r="P16" s="4006"/>
      <c r="Q16" s="1505"/>
      <c r="R16" s="1506"/>
      <c r="S16" s="1507"/>
      <c r="T16" s="1506"/>
      <c r="U16" s="1507"/>
      <c r="V16" s="1506"/>
      <c r="W16" s="1507"/>
      <c r="X16" s="1500"/>
      <c r="Y16" s="4006"/>
      <c r="Z16" s="1508"/>
      <c r="AA16" s="1509">
        <v>1</v>
      </c>
      <c r="AB16" s="1509">
        <v>1</v>
      </c>
      <c r="AC16" s="1509">
        <v>1</v>
      </c>
    </row>
    <row r="17" spans="1:29" ht="87" customHeight="1">
      <c r="A17" s="524"/>
      <c r="B17" s="552" t="s">
        <v>294</v>
      </c>
      <c r="C17" s="3373" t="str">
        <f>估价对象房地状况!C6</f>
        <v>周边有通322路、342路、589路、667路、804路、808路、通19路、通41路、通62路等多条公交线路通过，距地铁6号线（北运河西站）约1公里，综合评价交通便捷度较好</v>
      </c>
      <c r="D17" s="3374">
        <v>100</v>
      </c>
      <c r="E17" s="3375"/>
      <c r="F17" s="3374">
        <f>SUMIF(79:79,E18,80:80)-SUMIF(79:79,C18,80:80)+100</f>
        <v>102</v>
      </c>
      <c r="G17" s="3376"/>
      <c r="H17" s="3377">
        <f>SUMIF(79:79,G18,80:80)-SUMIF(79:79,C18,80:80)+100</f>
        <v>102</v>
      </c>
      <c r="I17" s="3376"/>
      <c r="J17" s="3377">
        <f>SUMIF(79:79,I18,80:80)-SUMIF(79:79,C18,80:80)+100</f>
        <v>104</v>
      </c>
      <c r="K17" s="3378">
        <v>2</v>
      </c>
      <c r="L17" s="2022"/>
      <c r="M17" s="2014"/>
      <c r="N17" s="2014"/>
      <c r="O17" s="2014"/>
      <c r="P17" s="4006"/>
      <c r="Q17" s="1505" t="str">
        <f>B17</f>
        <v>交通便捷度</v>
      </c>
      <c r="R17" s="1506" t="s">
        <v>8</v>
      </c>
      <c r="S17" s="1507">
        <f>F17</f>
        <v>102</v>
      </c>
      <c r="T17" s="1506" t="s">
        <v>8</v>
      </c>
      <c r="U17" s="1507">
        <f>H17</f>
        <v>102</v>
      </c>
      <c r="V17" s="1506" t="s">
        <v>8</v>
      </c>
      <c r="W17" s="1507">
        <f>J17</f>
        <v>104</v>
      </c>
      <c r="X17" s="1500"/>
      <c r="Y17" s="4006"/>
      <c r="Z17" s="1508" t="str">
        <f>Q17</f>
        <v>交通便捷度</v>
      </c>
      <c r="AA17" s="1509">
        <f t="shared" si="3"/>
        <v>0.98039215686274506</v>
      </c>
      <c r="AB17" s="1509">
        <f t="shared" si="4"/>
        <v>0.98039215686274506</v>
      </c>
      <c r="AC17" s="1509">
        <f t="shared" si="5"/>
        <v>0.96153846153846156</v>
      </c>
    </row>
    <row r="18" spans="1:29" ht="15">
      <c r="A18" s="524"/>
      <c r="B18" s="558"/>
      <c r="C18" s="559" t="s">
        <v>3075</v>
      </c>
      <c r="D18" s="551"/>
      <c r="E18" s="561" t="s">
        <v>3076</v>
      </c>
      <c r="F18" s="551"/>
      <c r="G18" s="560" t="s">
        <v>3076</v>
      </c>
      <c r="H18" s="547"/>
      <c r="I18" s="560" t="s">
        <v>3082</v>
      </c>
      <c r="J18" s="547"/>
      <c r="K18" s="886"/>
      <c r="L18" s="2022"/>
      <c r="M18" s="2014"/>
      <c r="N18" s="2014"/>
      <c r="O18" s="2014"/>
      <c r="P18" s="4006"/>
      <c r="Q18" s="1505"/>
      <c r="R18" s="1506"/>
      <c r="S18" s="1507"/>
      <c r="T18" s="1506"/>
      <c r="U18" s="1507"/>
      <c r="V18" s="1506"/>
      <c r="W18" s="1507"/>
      <c r="X18" s="1500"/>
      <c r="Y18" s="400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58"/>
      <c r="C20" s="546" t="s">
        <v>3076</v>
      </c>
      <c r="D20" s="547"/>
      <c r="E20" s="550" t="s">
        <v>3076</v>
      </c>
      <c r="F20" s="547"/>
      <c r="G20" s="548" t="s">
        <v>3076</v>
      </c>
      <c r="H20" s="547"/>
      <c r="I20" s="548" t="s">
        <v>3076</v>
      </c>
      <c r="J20" s="547"/>
      <c r="K20" s="886"/>
      <c r="L20" s="2022"/>
      <c r="M20" s="2014"/>
      <c r="N20" s="2014"/>
      <c r="O20" s="2014"/>
      <c r="P20" s="4006"/>
      <c r="Q20" s="1505"/>
      <c r="R20" s="1506"/>
      <c r="S20" s="1507"/>
      <c r="T20" s="1506"/>
      <c r="U20" s="1507"/>
      <c r="V20" s="1506"/>
      <c r="W20" s="1507"/>
      <c r="X20" s="1500"/>
      <c r="Y20" s="400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570"/>
      <c r="C22" s="559" t="s">
        <v>3083</v>
      </c>
      <c r="D22" s="547"/>
      <c r="E22" s="568" t="s">
        <v>3083</v>
      </c>
      <c r="F22" s="547"/>
      <c r="G22" s="546" t="s">
        <v>3083</v>
      </c>
      <c r="H22" s="547"/>
      <c r="I22" s="546" t="s">
        <v>3083</v>
      </c>
      <c r="J22" s="547"/>
      <c r="K22" s="2444"/>
      <c r="L22" s="2022"/>
      <c r="M22" s="2014"/>
      <c r="N22" s="2014"/>
      <c r="O22" s="2014"/>
      <c r="P22" s="4006"/>
      <c r="Q22" s="2427"/>
      <c r="R22" s="1506"/>
      <c r="S22" s="1507"/>
      <c r="T22" s="1506"/>
      <c r="U22" s="1507"/>
      <c r="V22" s="1506"/>
      <c r="W22" s="1507"/>
      <c r="X22" s="2429"/>
      <c r="Y22" s="400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97</v>
      </c>
      <c r="G23" s="554"/>
      <c r="H23" s="551">
        <f>SUMIF(85:85,G24,86:86)-SUMIF(85:85,C24,86:86)+100</f>
        <v>97</v>
      </c>
      <c r="I23" s="554"/>
      <c r="J23" s="551">
        <f>SUMIF(85:85,I24,86:86)-SUMIF(85:85,C24,86:86)+100</f>
        <v>97</v>
      </c>
      <c r="K23" s="885">
        <v>3</v>
      </c>
      <c r="L23" s="2022"/>
      <c r="M23" s="2014"/>
      <c r="N23" s="2014"/>
      <c r="O23" s="2014"/>
      <c r="P23" s="4006"/>
      <c r="Q23" s="1505" t="str">
        <f>B23</f>
        <v>环境质量</v>
      </c>
      <c r="R23" s="1506" t="s">
        <v>8</v>
      </c>
      <c r="S23" s="1507">
        <f>F23</f>
        <v>97</v>
      </c>
      <c r="T23" s="1506" t="s">
        <v>8</v>
      </c>
      <c r="U23" s="1507">
        <f>H23</f>
        <v>97</v>
      </c>
      <c r="V23" s="1506" t="s">
        <v>8</v>
      </c>
      <c r="W23" s="1507">
        <f>J23</f>
        <v>97</v>
      </c>
      <c r="X23" s="1500"/>
      <c r="Y23" s="4006"/>
      <c r="Z23" s="1508" t="str">
        <f>Q23</f>
        <v>环境质量</v>
      </c>
      <c r="AA23" s="1509">
        <f t="shared" si="3"/>
        <v>1.0309278350515463</v>
      </c>
      <c r="AB23" s="1509">
        <f t="shared" si="4"/>
        <v>1.0309278350515463</v>
      </c>
      <c r="AC23" s="1509">
        <f t="shared" si="5"/>
        <v>1.0309278350515463</v>
      </c>
    </row>
    <row r="24" spans="1:29" ht="15">
      <c r="A24" s="524"/>
      <c r="B24" s="570"/>
      <c r="C24" s="546" t="s">
        <v>3082</v>
      </c>
      <c r="D24" s="547"/>
      <c r="E24" s="550" t="s">
        <v>3076</v>
      </c>
      <c r="F24" s="547"/>
      <c r="G24" s="548" t="s">
        <v>3076</v>
      </c>
      <c r="H24" s="547"/>
      <c r="I24" s="548" t="s">
        <v>3076</v>
      </c>
      <c r="J24" s="547"/>
      <c r="K24" s="886"/>
      <c r="L24" s="2022"/>
      <c r="M24" s="2014"/>
      <c r="N24" s="2014"/>
      <c r="O24" s="2014"/>
      <c r="P24" s="4006"/>
      <c r="Q24" s="1505"/>
      <c r="R24" s="1506"/>
      <c r="S24" s="1507"/>
      <c r="T24" s="1506"/>
      <c r="U24" s="1507"/>
      <c r="V24" s="1506"/>
      <c r="W24" s="1507"/>
      <c r="X24" s="1500"/>
      <c r="Y24" s="4006"/>
      <c r="Z24" s="1508"/>
      <c r="AA24" s="1509">
        <v>1</v>
      </c>
      <c r="AB24" s="1509">
        <v>1</v>
      </c>
      <c r="AC24" s="1509">
        <v>1</v>
      </c>
    </row>
    <row r="25" spans="1:29" ht="27">
      <c r="A25" s="507"/>
      <c r="B25" s="552" t="s">
        <v>540</v>
      </c>
      <c r="C25" s="899"/>
      <c r="D25" s="532">
        <v>100</v>
      </c>
      <c r="E25" s="531"/>
      <c r="F25" s="532">
        <f>SUMIF(87:87,E26,88:88)-SUMIF(87:87,C26,88:88)+100</f>
        <v>102</v>
      </c>
      <c r="G25" s="899"/>
      <c r="H25" s="532">
        <f>SUMIF(87:87,G26,88:88)-SUMIF(87:87,C26,88:88)+100</f>
        <v>102</v>
      </c>
      <c r="I25" s="531"/>
      <c r="J25" s="532">
        <f>SUMIF(87:87,I26,88:88)-SUMIF(87:87,C26,88:88)+100</f>
        <v>102</v>
      </c>
      <c r="K25" s="885">
        <v>2</v>
      </c>
      <c r="L25" s="2022"/>
      <c r="M25" s="2014"/>
      <c r="N25" s="2014"/>
      <c r="O25" s="2014"/>
      <c r="P25" s="4006"/>
      <c r="Q25" s="1505" t="str">
        <f>B25</f>
        <v>毗邻道路的类型与等级</v>
      </c>
      <c r="R25" s="1506" t="s">
        <v>8</v>
      </c>
      <c r="S25" s="1507">
        <f>F25</f>
        <v>102</v>
      </c>
      <c r="T25" s="1506" t="s">
        <v>8</v>
      </c>
      <c r="U25" s="1507">
        <f>H25</f>
        <v>102</v>
      </c>
      <c r="V25" s="1506" t="s">
        <v>8</v>
      </c>
      <c r="W25" s="1507">
        <f>J25</f>
        <v>102</v>
      </c>
      <c r="X25" s="1500"/>
      <c r="Y25" s="4006"/>
      <c r="Z25" s="1508" t="str">
        <f>Q25</f>
        <v>毗邻道路的类型与等级</v>
      </c>
      <c r="AA25" s="1509">
        <f t="shared" si="3"/>
        <v>0.98039215686274506</v>
      </c>
      <c r="AB25" s="1509">
        <f t="shared" si="4"/>
        <v>0.98039215686274506</v>
      </c>
      <c r="AC25" s="1509">
        <f t="shared" si="5"/>
        <v>0.98039215686274506</v>
      </c>
    </row>
    <row r="26" spans="1:29" ht="15">
      <c r="A26" s="507"/>
      <c r="B26" s="558"/>
      <c r="C26" s="572" t="s">
        <v>3088</v>
      </c>
      <c r="D26" s="532"/>
      <c r="E26" s="575" t="s">
        <v>3086</v>
      </c>
      <c r="F26" s="532"/>
      <c r="G26" s="572" t="s">
        <v>3086</v>
      </c>
      <c r="H26" s="532"/>
      <c r="I26" s="575" t="s">
        <v>3086</v>
      </c>
      <c r="J26" s="532"/>
      <c r="K26" s="886"/>
      <c r="L26" s="2022"/>
      <c r="M26" s="2014"/>
      <c r="N26" s="2014"/>
      <c r="O26" s="2014"/>
      <c r="P26" s="4006"/>
      <c r="Q26" s="1505"/>
      <c r="R26" s="1506"/>
      <c r="S26" s="1507"/>
      <c r="T26" s="1506"/>
      <c r="U26" s="1507"/>
      <c r="V26" s="1506"/>
      <c r="W26" s="1507"/>
      <c r="X26" s="1500"/>
      <c r="Y26" s="400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06"/>
      <c r="Q27" s="1505" t="str">
        <f t="shared" ref="Q27:Q47" si="11">B27</f>
        <v>楼层</v>
      </c>
      <c r="R27" s="1506" t="s">
        <v>8</v>
      </c>
      <c r="S27" s="1507">
        <f>F27</f>
        <v>100</v>
      </c>
      <c r="T27" s="1506" t="s">
        <v>8</v>
      </c>
      <c r="U27" s="1507">
        <f>H27</f>
        <v>100</v>
      </c>
      <c r="V27" s="1506" t="s">
        <v>8</v>
      </c>
      <c r="W27" s="1507">
        <f>J27</f>
        <v>100</v>
      </c>
      <c r="X27" s="1500"/>
      <c r="Y27" s="400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06"/>
      <c r="Q28" s="1132" t="str">
        <f t="shared" si="11"/>
        <v>朝向</v>
      </c>
      <c r="R28" s="1501" t="s">
        <v>8</v>
      </c>
      <c r="S28" s="1502">
        <f>F28</f>
        <v>100</v>
      </c>
      <c r="T28" s="1501" t="s">
        <v>8</v>
      </c>
      <c r="U28" s="1502">
        <f>H28</f>
        <v>100</v>
      </c>
      <c r="V28" s="1501" t="s">
        <v>8</v>
      </c>
      <c r="W28" s="1502">
        <f>J28</f>
        <v>100</v>
      </c>
      <c r="X28" s="1503"/>
      <c r="Y28" s="400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06"/>
      <c r="Q29" s="1505">
        <f t="shared" si="11"/>
        <v>111</v>
      </c>
      <c r="R29" s="1506" t="s">
        <v>8</v>
      </c>
      <c r="S29" s="1507">
        <f t="shared" ref="S29:S47" si="12">F29</f>
        <v>100</v>
      </c>
      <c r="T29" s="1506" t="s">
        <v>8</v>
      </c>
      <c r="U29" s="1507">
        <f t="shared" ref="U29:U47" si="13">H29</f>
        <v>100</v>
      </c>
      <c r="V29" s="1506" t="s">
        <v>8</v>
      </c>
      <c r="W29" s="1507">
        <f t="shared" ref="W29:W47" si="14">J29</f>
        <v>100</v>
      </c>
      <c r="X29" s="1500"/>
      <c r="Y29" s="400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06"/>
      <c r="Q30" s="1505">
        <f t="shared" si="11"/>
        <v>111</v>
      </c>
      <c r="R30" s="1506" t="s">
        <v>8</v>
      </c>
      <c r="S30" s="1507">
        <f t="shared" si="12"/>
        <v>100</v>
      </c>
      <c r="T30" s="1506" t="s">
        <v>8</v>
      </c>
      <c r="U30" s="1507">
        <f t="shared" si="13"/>
        <v>100</v>
      </c>
      <c r="V30" s="1506" t="s">
        <v>8</v>
      </c>
      <c r="W30" s="1507">
        <f t="shared" si="14"/>
        <v>100</v>
      </c>
      <c r="X30" s="1500"/>
      <c r="Y30" s="400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06"/>
      <c r="Q31" s="1505">
        <f t="shared" si="11"/>
        <v>111</v>
      </c>
      <c r="R31" s="1506" t="s">
        <v>8</v>
      </c>
      <c r="S31" s="1507">
        <f t="shared" si="12"/>
        <v>100</v>
      </c>
      <c r="T31" s="1506" t="s">
        <v>8</v>
      </c>
      <c r="U31" s="1507">
        <f t="shared" si="13"/>
        <v>100</v>
      </c>
      <c r="V31" s="1506" t="s">
        <v>8</v>
      </c>
      <c r="W31" s="1507">
        <f t="shared" si="14"/>
        <v>100</v>
      </c>
      <c r="X31" s="1500"/>
      <c r="Y31" s="400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06"/>
      <c r="Q32" s="1505">
        <f t="shared" si="11"/>
        <v>111</v>
      </c>
      <c r="R32" s="1506" t="s">
        <v>8</v>
      </c>
      <c r="S32" s="1507">
        <f t="shared" si="12"/>
        <v>100</v>
      </c>
      <c r="T32" s="1506" t="s">
        <v>8</v>
      </c>
      <c r="U32" s="1507">
        <f t="shared" si="13"/>
        <v>100</v>
      </c>
      <c r="V32" s="1506" t="s">
        <v>8</v>
      </c>
      <c r="W32" s="1507">
        <f t="shared" si="14"/>
        <v>100</v>
      </c>
      <c r="X32" s="1500"/>
      <c r="Y32" s="4006"/>
      <c r="Z32" s="1508">
        <f t="shared" si="15"/>
        <v>111</v>
      </c>
      <c r="AA32" s="1509">
        <f t="shared" si="3"/>
        <v>1</v>
      </c>
      <c r="AB32" s="1509">
        <f t="shared" si="4"/>
        <v>1</v>
      </c>
      <c r="AC32" s="1509">
        <f t="shared" si="5"/>
        <v>1</v>
      </c>
    </row>
    <row r="33" spans="1:29" ht="15">
      <c r="A33" s="2622" t="s">
        <v>2733</v>
      </c>
      <c r="B33" s="169" t="s">
        <v>772</v>
      </c>
      <c r="C33" s="903" t="s">
        <v>3145</v>
      </c>
      <c r="D33" s="589">
        <v>100</v>
      </c>
      <c r="E33" s="903" t="s">
        <v>3145</v>
      </c>
      <c r="F33" s="567">
        <f>SUMIF(101:101,E33,102:102)-SUMIF(101:101,C33,102:102)+100</f>
        <v>100</v>
      </c>
      <c r="G33" s="903" t="s">
        <v>3145</v>
      </c>
      <c r="H33" s="532">
        <f>SUMIF(101:101,G33,102:102)-SUMIF(101:101,C33,102:102)+100</f>
        <v>100</v>
      </c>
      <c r="I33" s="903" t="s">
        <v>3145</v>
      </c>
      <c r="J33" s="589">
        <f>SUMIF(101:101,I33,102:102)-SUMIF(101:101,C33,102:102)+100</f>
        <v>100</v>
      </c>
      <c r="K33" s="576">
        <v>2</v>
      </c>
      <c r="L33" s="2022"/>
      <c r="M33" s="2014"/>
      <c r="N33" s="2014"/>
      <c r="O33" s="2014"/>
      <c r="P33" s="4007" t="s">
        <v>542</v>
      </c>
      <c r="Q33" s="1505" t="str">
        <f t="shared" si="11"/>
        <v>建筑类型</v>
      </c>
      <c r="R33" s="1506" t="s">
        <v>8</v>
      </c>
      <c r="S33" s="1507">
        <f t="shared" si="12"/>
        <v>100</v>
      </c>
      <c r="T33" s="1506" t="s">
        <v>8</v>
      </c>
      <c r="U33" s="1507">
        <f t="shared" si="13"/>
        <v>100</v>
      </c>
      <c r="V33" s="1506" t="s">
        <v>8</v>
      </c>
      <c r="W33" s="1507">
        <f t="shared" si="14"/>
        <v>100</v>
      </c>
      <c r="X33" s="1500"/>
      <c r="Y33" s="4008"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363000</v>
      </c>
      <c r="D34" s="251">
        <v>100</v>
      </c>
      <c r="E34" s="526">
        <v>243.6</v>
      </c>
      <c r="F34" s="850">
        <f>LOOKUP(E34,104:104,105:105)-LOOKUP(C34,104:104,105:105)+100</f>
        <v>104</v>
      </c>
      <c r="G34" s="525">
        <v>164</v>
      </c>
      <c r="H34" s="251">
        <f>LOOKUP(G34,104:104,105:105)-LOOKUP(C34,104:104,105:105)+100</f>
        <v>104</v>
      </c>
      <c r="I34" s="525">
        <v>800</v>
      </c>
      <c r="J34" s="251">
        <f>LOOKUP(I34,104:104,105:105)-LOOKUP(C34,104:104,105:105)+100</f>
        <v>104</v>
      </c>
      <c r="K34" s="573"/>
      <c r="L34" s="2020"/>
      <c r="M34" s="2050"/>
      <c r="N34" s="2050"/>
      <c r="O34" s="2050"/>
      <c r="P34" s="4008"/>
      <c r="Q34" s="1534" t="str">
        <f t="shared" si="11"/>
        <v>项目建筑规模</v>
      </c>
      <c r="R34" s="1510" t="s">
        <v>8</v>
      </c>
      <c r="S34" s="1511">
        <f t="shared" si="12"/>
        <v>104</v>
      </c>
      <c r="T34" s="1510" t="s">
        <v>8</v>
      </c>
      <c r="U34" s="1511">
        <f t="shared" si="13"/>
        <v>104</v>
      </c>
      <c r="V34" s="1510" t="s">
        <v>8</v>
      </c>
      <c r="W34" s="1511">
        <f t="shared" si="14"/>
        <v>104</v>
      </c>
      <c r="X34" s="1512"/>
      <c r="Y34" s="4008"/>
      <c r="Z34" s="1513" t="str">
        <f t="shared" si="15"/>
        <v>项目建筑规模</v>
      </c>
      <c r="AA34" s="1509">
        <f t="shared" si="3"/>
        <v>0.96153846153846156</v>
      </c>
      <c r="AB34" s="1509">
        <f t="shared" si="4"/>
        <v>0.96153846153846156</v>
      </c>
      <c r="AC34" s="1509">
        <f t="shared" si="5"/>
        <v>0.96153846153846156</v>
      </c>
    </row>
    <row r="35" spans="1:29" ht="15">
      <c r="A35" s="586"/>
      <c r="B35" s="519" t="s">
        <v>719</v>
      </c>
      <c r="C35" s="566" t="s">
        <v>3081</v>
      </c>
      <c r="D35" s="532">
        <v>100</v>
      </c>
      <c r="E35" s="566" t="s">
        <v>3081</v>
      </c>
      <c r="F35" s="567">
        <f>SUMIF(106:106,E35,107:107)-SUMIF(106:106,C35,107:107)+100</f>
        <v>100</v>
      </c>
      <c r="G35" s="566" t="s">
        <v>3081</v>
      </c>
      <c r="H35" s="532">
        <f>SUMIF(106:106,G35,107:107)-SUMIF(106:106,C35,107:107)+100</f>
        <v>100</v>
      </c>
      <c r="I35" s="566" t="s">
        <v>3081</v>
      </c>
      <c r="J35" s="532">
        <f>SUMIF(106:106,I35,107:107)-SUMIF(106:106,C35,107:107)+100</f>
        <v>100</v>
      </c>
      <c r="K35" s="576">
        <v>2</v>
      </c>
      <c r="L35" s="2022"/>
      <c r="M35" s="2014"/>
      <c r="N35" s="2014"/>
      <c r="O35" s="2014"/>
      <c r="P35" s="4008"/>
      <c r="Q35" s="1505" t="str">
        <f t="shared" si="11"/>
        <v>建筑结构</v>
      </c>
      <c r="R35" s="1506" t="s">
        <v>8</v>
      </c>
      <c r="S35" s="1507">
        <f t="shared" si="12"/>
        <v>100</v>
      </c>
      <c r="T35" s="1506" t="s">
        <v>8</v>
      </c>
      <c r="U35" s="1507">
        <f t="shared" si="13"/>
        <v>100</v>
      </c>
      <c r="V35" s="1506" t="s">
        <v>8</v>
      </c>
      <c r="W35" s="1507">
        <f t="shared" si="14"/>
        <v>100</v>
      </c>
      <c r="X35" s="1500"/>
      <c r="Y35" s="400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08"/>
      <c r="Q36" s="1505" t="str">
        <f t="shared" si="11"/>
        <v>公共部分装修</v>
      </c>
      <c r="R36" s="1506" t="s">
        <v>8</v>
      </c>
      <c r="S36" s="1507">
        <f t="shared" si="12"/>
        <v>100</v>
      </c>
      <c r="T36" s="1506" t="s">
        <v>8</v>
      </c>
      <c r="U36" s="1507">
        <f t="shared" si="13"/>
        <v>100</v>
      </c>
      <c r="V36" s="1506" t="s">
        <v>8</v>
      </c>
      <c r="W36" s="1507">
        <f t="shared" si="14"/>
        <v>100</v>
      </c>
      <c r="X36" s="1500"/>
      <c r="Y36" s="400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08"/>
      <c r="Q37" s="1505" t="str">
        <f t="shared" si="11"/>
        <v>成新度</v>
      </c>
      <c r="R37" s="1506" t="s">
        <v>8</v>
      </c>
      <c r="S37" s="1507">
        <f t="shared" si="12"/>
        <v>97</v>
      </c>
      <c r="T37" s="1506" t="s">
        <v>8</v>
      </c>
      <c r="U37" s="1507">
        <f t="shared" si="13"/>
        <v>97</v>
      </c>
      <c r="V37" s="1506" t="s">
        <v>8</v>
      </c>
      <c r="W37" s="1507">
        <f t="shared" si="14"/>
        <v>97</v>
      </c>
      <c r="X37" s="1500"/>
      <c r="Y37" s="4008"/>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08"/>
      <c r="Q38" s="1132" t="str">
        <f t="shared" si="11"/>
        <v>写字楼等级</v>
      </c>
      <c r="R38" s="1501" t="s">
        <v>8</v>
      </c>
      <c r="S38" s="1502">
        <f t="shared" si="12"/>
        <v>100</v>
      </c>
      <c r="T38" s="1501" t="s">
        <v>8</v>
      </c>
      <c r="U38" s="1502">
        <f t="shared" si="13"/>
        <v>100</v>
      </c>
      <c r="V38" s="1501" t="s">
        <v>8</v>
      </c>
      <c r="W38" s="1502">
        <f t="shared" si="14"/>
        <v>100</v>
      </c>
      <c r="X38" s="1503"/>
      <c r="Y38" s="4008"/>
      <c r="Z38" s="1131" t="str">
        <f t="shared" si="15"/>
        <v>写字楼等级</v>
      </c>
      <c r="AA38" s="1504">
        <f t="shared" si="3"/>
        <v>1</v>
      </c>
      <c r="AB38" s="1504">
        <f t="shared" si="4"/>
        <v>1</v>
      </c>
      <c r="AC38" s="1504">
        <f t="shared" si="5"/>
        <v>1</v>
      </c>
    </row>
    <row r="39" spans="1:29" ht="15">
      <c r="A39" s="586"/>
      <c r="B39" s="519" t="s">
        <v>774</v>
      </c>
      <c r="C39" s="566" t="s">
        <v>3148</v>
      </c>
      <c r="D39" s="532">
        <v>100</v>
      </c>
      <c r="E39" s="566" t="s">
        <v>3148</v>
      </c>
      <c r="F39" s="567">
        <f>SUMIF(115:115,E39,116:116)-SUMIF(115:115,C39,116:116)+100</f>
        <v>100</v>
      </c>
      <c r="G39" s="566" t="s">
        <v>3148</v>
      </c>
      <c r="H39" s="532">
        <f>SUMIF(115:115,G39,116:116)-SUMIF(115:115,C39,116:116)+100</f>
        <v>100</v>
      </c>
      <c r="I39" s="566" t="s">
        <v>3148</v>
      </c>
      <c r="J39" s="532">
        <f>SUMIF(115:115,I39,116:116)-SUMIF(115:115,C39,116:116)+100</f>
        <v>100</v>
      </c>
      <c r="K39" s="576">
        <v>2</v>
      </c>
      <c r="L39" s="2022"/>
      <c r="M39" s="2014"/>
      <c r="N39" s="2014"/>
      <c r="O39" s="2014"/>
      <c r="P39" s="4008" t="s">
        <v>542</v>
      </c>
      <c r="Q39" s="1505" t="str">
        <f t="shared" si="11"/>
        <v>物业管理</v>
      </c>
      <c r="R39" s="1506" t="s">
        <v>8</v>
      </c>
      <c r="S39" s="1507">
        <f t="shared" si="12"/>
        <v>100</v>
      </c>
      <c r="T39" s="1506" t="s">
        <v>8</v>
      </c>
      <c r="U39" s="1507">
        <f t="shared" si="13"/>
        <v>100</v>
      </c>
      <c r="V39" s="1506" t="s">
        <v>8</v>
      </c>
      <c r="W39" s="1507">
        <f t="shared" si="14"/>
        <v>100</v>
      </c>
      <c r="X39" s="1500"/>
      <c r="Y39" s="400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08"/>
      <c r="Q40" s="1505" t="str">
        <f t="shared" si="11"/>
        <v>市政基础设施</v>
      </c>
      <c r="R40" s="1506" t="s">
        <v>8</v>
      </c>
      <c r="S40" s="1507">
        <f t="shared" si="12"/>
        <v>100</v>
      </c>
      <c r="T40" s="1506" t="s">
        <v>8</v>
      </c>
      <c r="U40" s="1507">
        <f t="shared" si="13"/>
        <v>100</v>
      </c>
      <c r="V40" s="1506" t="s">
        <v>8</v>
      </c>
      <c r="W40" s="1507">
        <f t="shared" si="14"/>
        <v>100</v>
      </c>
      <c r="X40" s="1500"/>
      <c r="Y40" s="400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08"/>
      <c r="Q41" s="1505" t="str">
        <f t="shared" si="11"/>
        <v>层高</v>
      </c>
      <c r="R41" s="1506" t="s">
        <v>8</v>
      </c>
      <c r="S41" s="1507">
        <f t="shared" si="12"/>
        <v>100</v>
      </c>
      <c r="T41" s="1506" t="s">
        <v>8</v>
      </c>
      <c r="U41" s="1507">
        <f t="shared" si="13"/>
        <v>100</v>
      </c>
      <c r="V41" s="1506" t="s">
        <v>8</v>
      </c>
      <c r="W41" s="1507">
        <f t="shared" si="14"/>
        <v>100</v>
      </c>
      <c r="X41" s="1500"/>
      <c r="Y41" s="400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08"/>
      <c r="Q42" s="1534" t="str">
        <f t="shared" si="11"/>
        <v>单套建筑面积</v>
      </c>
      <c r="R42" s="1510" t="s">
        <v>8</v>
      </c>
      <c r="S42" s="1511">
        <f t="shared" si="12"/>
        <v>100</v>
      </c>
      <c r="T42" s="1510" t="s">
        <v>8</v>
      </c>
      <c r="U42" s="1511">
        <f t="shared" si="13"/>
        <v>100</v>
      </c>
      <c r="V42" s="1510" t="s">
        <v>8</v>
      </c>
      <c r="W42" s="1511">
        <f t="shared" si="14"/>
        <v>100</v>
      </c>
      <c r="X42" s="1512"/>
      <c r="Y42" s="4008"/>
      <c r="Z42" s="1513" t="str">
        <f t="shared" si="15"/>
        <v>单套建筑面积</v>
      </c>
      <c r="AA42" s="1509">
        <f t="shared" si="3"/>
        <v>1</v>
      </c>
      <c r="AB42" s="1509">
        <f t="shared" si="4"/>
        <v>1</v>
      </c>
      <c r="AC42" s="1509">
        <f t="shared" si="5"/>
        <v>1</v>
      </c>
    </row>
    <row r="43" spans="1:29" ht="15.75" thickBot="1">
      <c r="A43" s="586"/>
      <c r="B43" s="519" t="s">
        <v>762</v>
      </c>
      <c r="C43" s="566" t="s">
        <v>3116</v>
      </c>
      <c r="D43" s="532">
        <v>100</v>
      </c>
      <c r="E43" s="566" t="s">
        <v>3114</v>
      </c>
      <c r="F43" s="567">
        <f>SUMIF(123:123,E43,124:124)-SUMIF(123:123,C43,124:124)+100</f>
        <v>102</v>
      </c>
      <c r="G43" s="566" t="s">
        <v>3114</v>
      </c>
      <c r="H43" s="532">
        <f>SUMIF(123:123,G43,124:124)-SUMIF(123:123,C43,124:124)+100</f>
        <v>102</v>
      </c>
      <c r="I43" s="566" t="s">
        <v>3175</v>
      </c>
      <c r="J43" s="532">
        <f>SUMIF(123:123,I43,124:124)-SUMIF(123:123,C43,124:124)+100</f>
        <v>98</v>
      </c>
      <c r="K43" s="576">
        <v>2</v>
      </c>
      <c r="L43" s="2022"/>
      <c r="M43" s="2014"/>
      <c r="N43" s="2014"/>
      <c r="O43" s="2014"/>
      <c r="P43" s="4008"/>
      <c r="Q43" s="1505" t="str">
        <f t="shared" si="11"/>
        <v>内部装修</v>
      </c>
      <c r="R43" s="1506" t="s">
        <v>8</v>
      </c>
      <c r="S43" s="1507">
        <f t="shared" si="12"/>
        <v>102</v>
      </c>
      <c r="T43" s="1506" t="s">
        <v>8</v>
      </c>
      <c r="U43" s="1507">
        <f t="shared" si="13"/>
        <v>102</v>
      </c>
      <c r="V43" s="1506" t="s">
        <v>8</v>
      </c>
      <c r="W43" s="1507">
        <f t="shared" si="14"/>
        <v>98</v>
      </c>
      <c r="X43" s="1500"/>
      <c r="Y43" s="4008"/>
      <c r="Z43" s="1508" t="str">
        <f t="shared" si="15"/>
        <v>内部装修</v>
      </c>
      <c r="AA43" s="1509">
        <f t="shared" si="3"/>
        <v>0.98039215686274506</v>
      </c>
      <c r="AB43" s="1509">
        <f t="shared" si="4"/>
        <v>0.98039215686274506</v>
      </c>
      <c r="AC43" s="1509">
        <f t="shared" si="5"/>
        <v>1.0204081632653061</v>
      </c>
    </row>
    <row r="44" spans="1:29" ht="27" hidden="1">
      <c r="A44" s="586"/>
      <c r="B44" s="519" t="s">
        <v>727</v>
      </c>
      <c r="C44" s="566" t="s">
        <v>3082</v>
      </c>
      <c r="D44" s="532">
        <v>100</v>
      </c>
      <c r="E44" s="591" t="s">
        <v>3082</v>
      </c>
      <c r="F44" s="567">
        <f>SUMIF(125:125,E44,126:126)-SUMIF(125:125,C44,126:126)+100</f>
        <v>100</v>
      </c>
      <c r="G44" s="591" t="s">
        <v>3082</v>
      </c>
      <c r="H44" s="532">
        <f>SUMIF(125:125,G44,126:126)-SUMIF(125:125,C44,126:126)+100</f>
        <v>100</v>
      </c>
      <c r="I44" s="591" t="s">
        <v>3082</v>
      </c>
      <c r="J44" s="532">
        <f>SUMIF(125:125,I44,126:126)-SUMIF(125:125,C44,126:126)+100</f>
        <v>100</v>
      </c>
      <c r="K44" s="576"/>
      <c r="L44" s="2022"/>
      <c r="M44" s="2014"/>
      <c r="N44" s="2014"/>
      <c r="O44" s="2014"/>
      <c r="P44" s="4008"/>
      <c r="Q44" s="1505" t="str">
        <f t="shared" si="11"/>
        <v>内部装修维护情况</v>
      </c>
      <c r="R44" s="1506" t="s">
        <v>8</v>
      </c>
      <c r="S44" s="1507">
        <f t="shared" si="12"/>
        <v>100</v>
      </c>
      <c r="T44" s="1506" t="s">
        <v>8</v>
      </c>
      <c r="U44" s="1507">
        <f t="shared" si="13"/>
        <v>100</v>
      </c>
      <c r="V44" s="1506" t="s">
        <v>8</v>
      </c>
      <c r="W44" s="1507">
        <f t="shared" si="14"/>
        <v>100</v>
      </c>
      <c r="X44" s="1500"/>
      <c r="Y44" s="400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08"/>
      <c r="Q45" s="1132">
        <f t="shared" si="11"/>
        <v>111</v>
      </c>
      <c r="R45" s="1501" t="s">
        <v>8</v>
      </c>
      <c r="S45" s="1502">
        <f t="shared" si="12"/>
        <v>100</v>
      </c>
      <c r="T45" s="1501" t="s">
        <v>8</v>
      </c>
      <c r="U45" s="1502">
        <f t="shared" si="13"/>
        <v>100</v>
      </c>
      <c r="V45" s="1501" t="s">
        <v>8</v>
      </c>
      <c r="W45" s="1502">
        <f t="shared" si="14"/>
        <v>100</v>
      </c>
      <c r="X45" s="1503"/>
      <c r="Y45" s="400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08"/>
      <c r="Q46" s="1505">
        <f t="shared" si="11"/>
        <v>111</v>
      </c>
      <c r="R46" s="1506" t="s">
        <v>8</v>
      </c>
      <c r="S46" s="1507">
        <f t="shared" si="12"/>
        <v>100</v>
      </c>
      <c r="T46" s="1506" t="s">
        <v>8</v>
      </c>
      <c r="U46" s="1507">
        <f t="shared" si="13"/>
        <v>100</v>
      </c>
      <c r="V46" s="1506" t="s">
        <v>8</v>
      </c>
      <c r="W46" s="1507">
        <f t="shared" si="14"/>
        <v>100</v>
      </c>
      <c r="X46" s="1500"/>
      <c r="Y46" s="400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088"/>
      <c r="Q47" s="1505">
        <f t="shared" si="11"/>
        <v>111</v>
      </c>
      <c r="R47" s="1506" t="s">
        <v>8</v>
      </c>
      <c r="S47" s="1507">
        <f t="shared" si="12"/>
        <v>100</v>
      </c>
      <c r="T47" s="1506" t="s">
        <v>8</v>
      </c>
      <c r="U47" s="1507">
        <f t="shared" si="13"/>
        <v>100</v>
      </c>
      <c r="V47" s="1506" t="s">
        <v>8</v>
      </c>
      <c r="W47" s="1507">
        <f t="shared" si="14"/>
        <v>100</v>
      </c>
      <c r="X47" s="1500"/>
      <c r="Y47" s="4088"/>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69" t="str">
        <f>A48</f>
        <v>成交单价（元/平方米）</v>
      </c>
      <c r="Q48" s="3971"/>
      <c r="R48" s="4087">
        <f>E48</f>
        <v>3.5</v>
      </c>
      <c r="S48" s="4087"/>
      <c r="T48" s="4087">
        <f>G48</f>
        <v>4</v>
      </c>
      <c r="U48" s="4087"/>
      <c r="V48" s="4087">
        <f>I48</f>
        <v>4.3</v>
      </c>
      <c r="W48" s="4087"/>
      <c r="X48" s="1495"/>
      <c r="Y48" s="1514"/>
      <c r="Z48" s="1495"/>
      <c r="AA48" s="1495"/>
      <c r="AB48" s="1495"/>
      <c r="AC48" s="1495"/>
    </row>
    <row r="49" spans="1:29" ht="15.75" thickBot="1">
      <c r="A49" s="607" t="s">
        <v>2738</v>
      </c>
      <c r="B49" s="875"/>
      <c r="C49" s="3790">
        <f>R50</f>
        <v>3.9</v>
      </c>
      <c r="D49" s="3003" t="s">
        <v>2963</v>
      </c>
      <c r="E49" s="2475">
        <f>R49</f>
        <v>3.4</v>
      </c>
      <c r="F49" s="3004"/>
      <c r="G49" s="2474">
        <f>T49</f>
        <v>3.9</v>
      </c>
      <c r="H49" s="3004"/>
      <c r="I49" s="2475">
        <f>V49</f>
        <v>4.3</v>
      </c>
      <c r="J49" s="3004"/>
      <c r="K49" s="3012">
        <f>F49+H49+J49</f>
        <v>0</v>
      </c>
      <c r="L49" s="2024"/>
      <c r="M49" s="2014"/>
      <c r="N49" s="2014"/>
      <c r="O49" s="2014"/>
      <c r="P49" s="3969" t="str">
        <f>A49</f>
        <v>比较价格（元/平方米）</v>
      </c>
      <c r="Q49" s="3971"/>
      <c r="R49" s="4087">
        <f>IF(F1="售价",ROUND(PRODUCT(R48,AA7:AA47),0),ROUND(PRODUCT(R48,AA7:AA47),1))</f>
        <v>3.4</v>
      </c>
      <c r="S49" s="4087"/>
      <c r="T49" s="4087">
        <f>IF(F1="售价",ROUND(PRODUCT(T48,AB7:AB47),0),ROUND(PRODUCT(T48,AB7:AB47),1))</f>
        <v>3.9</v>
      </c>
      <c r="U49" s="4087"/>
      <c r="V49" s="4087">
        <f>IF(F1="售价",ROUND(PRODUCT(V48,AC7:AC47),0),ROUND(PRODUCT(V48,AC7:AC47),1))</f>
        <v>4.3</v>
      </c>
      <c r="W49" s="4087"/>
      <c r="X49" s="1495"/>
      <c r="Y49" s="1495"/>
      <c r="Z49" s="1495"/>
      <c r="AA49" s="1495"/>
      <c r="AB49" s="1495"/>
      <c r="AC49" s="1495"/>
    </row>
    <row r="50" spans="1:29" ht="15.75" thickBot="1">
      <c r="A50" s="611" t="s">
        <v>2898</v>
      </c>
      <c r="B50" s="612"/>
      <c r="C50" s="2476">
        <f>R50</f>
        <v>3.9</v>
      </c>
      <c r="D50" s="2476"/>
      <c r="E50" s="2476"/>
      <c r="F50" s="2476"/>
      <c r="G50" s="2476"/>
      <c r="H50" s="2476"/>
      <c r="I50" s="2476"/>
      <c r="J50" s="2476"/>
      <c r="K50" s="1540"/>
      <c r="L50" s="2024"/>
      <c r="M50" s="2014"/>
      <c r="N50" s="2014"/>
      <c r="O50" s="2014"/>
      <c r="P50" s="4140" t="str">
        <f>A50</f>
        <v>估价对象XX用房的比较价格（楼面单价，元/平方米）</v>
      </c>
      <c r="Q50" s="3969"/>
      <c r="R50" s="4086">
        <f>IF(F1="售价",ROUND(IF(D49="简单平均",AVERAGE(R49:V49),R49*F49+T49*H49+V49*J49),0),ROUND(IF(D49="简单平均",AVERAGE(R49:V49),R49*F49+T49*H49+V49*J49),1))</f>
        <v>3.9</v>
      </c>
      <c r="S50" s="4086"/>
      <c r="T50" s="4086"/>
      <c r="U50" s="4086"/>
      <c r="V50" s="4086"/>
      <c r="W50" s="4086"/>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2.941176470588247E-2</v>
      </c>
      <c r="F53" s="617" t="str">
        <f>IF(OR(E53&gt;=0.3,E53&lt;=-0.3),"超过30%","")</f>
        <v/>
      </c>
      <c r="G53" s="616">
        <f>IF(G48&lt;G49,G49/G48-1,G48/G49-1)</f>
        <v>2.5641025641025772E-2</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0.14705882352941169</v>
      </c>
      <c r="F54" s="617" t="str">
        <f>IF(OR(E54&gt;=0.2,E54&lt;=-0.2),"超过20%","")</f>
        <v/>
      </c>
      <c r="G54" s="616">
        <f>IF(G49&lt;I49,I49/G49-1,G49/I49-1)</f>
        <v>0.10256410256410264</v>
      </c>
      <c r="H54" s="617" t="str">
        <f>IF(OR(G54&gt;=0.2,G54&lt;=-0.2),"超过20%","")</f>
        <v/>
      </c>
      <c r="I54" s="616">
        <f>IF(I49&lt;E49,E49/I49-1,I49/E49-1)</f>
        <v>0.26470588235294112</v>
      </c>
      <c r="J54" s="617" t="str">
        <f>IF(OR(I54&gt;=0.2,I54&lt;=-0.2),"超过20%","")</f>
        <v>超过20%</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97</v>
      </c>
      <c r="E86" s="669">
        <f>D86-$K23</f>
        <v>94</v>
      </c>
      <c r="F86" s="669">
        <f>E86-$K23</f>
        <v>91</v>
      </c>
      <c r="G86" s="669">
        <f>F86-$K23</f>
        <v>88</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3084</v>
      </c>
      <c r="D87" s="3335" t="s">
        <v>3085</v>
      </c>
      <c r="E87" s="3335" t="s">
        <v>3087</v>
      </c>
      <c r="F87" s="3335" t="s">
        <v>3089</v>
      </c>
      <c r="G87" s="3335"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3146</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200000(含)-300000</v>
      </c>
      <c r="G103" s="698" t="str">
        <f t="shared" si="23"/>
        <v>300000(含)-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300000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3136</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3115</v>
      </c>
      <c r="D108" s="3335" t="s">
        <v>3117</v>
      </c>
      <c r="E108" s="3335" t="s">
        <v>3118</v>
      </c>
      <c r="F108" s="3341" t="s">
        <v>3120</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3149</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3140</v>
      </c>
      <c r="D117" s="3335" t="s">
        <v>3141</v>
      </c>
      <c r="E117" s="3335" t="s">
        <v>3142</v>
      </c>
      <c r="F117" s="3335" t="s">
        <v>3143</v>
      </c>
      <c r="G117" s="3335" t="s">
        <v>3144</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3139</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3115</v>
      </c>
      <c r="D123" s="3335" t="s">
        <v>3117</v>
      </c>
      <c r="E123" s="3335" t="s">
        <v>3118</v>
      </c>
      <c r="F123" s="3341" t="s">
        <v>3120</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3147</v>
      </c>
    </row>
    <row r="38" spans="2:2">
      <c r="B38" s="3235" t="s">
        <v>3150</v>
      </c>
    </row>
    <row r="90" spans="1:1">
      <c r="A90" s="3235" t="s">
        <v>3173</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2" t="s">
        <v>2024</v>
      </c>
      <c r="B1" s="3792"/>
      <c r="C1" s="3792"/>
      <c r="D1" s="3792"/>
      <c r="E1" s="3792"/>
      <c r="F1" s="3792"/>
      <c r="G1" s="3792"/>
      <c r="H1" s="3792"/>
      <c r="I1" s="3792"/>
      <c r="J1" s="3792"/>
      <c r="K1" s="3792"/>
      <c r="L1" s="3792"/>
      <c r="M1" s="3792"/>
      <c r="N1" s="3792"/>
      <c r="O1" s="3792"/>
      <c r="P1" s="3792"/>
      <c r="Q1" s="3792"/>
      <c r="R1" s="3792"/>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3" t="s">
        <v>2015</v>
      </c>
      <c r="B3" s="3793" t="s">
        <v>2709</v>
      </c>
      <c r="C3" s="3794" t="s">
        <v>2016</v>
      </c>
      <c r="D3" s="3793" t="s">
        <v>2713</v>
      </c>
      <c r="E3" s="3796" t="s">
        <v>2017</v>
      </c>
      <c r="F3" s="3796"/>
      <c r="G3" s="3796"/>
      <c r="H3" s="3796" t="s">
        <v>2018</v>
      </c>
      <c r="I3" s="3796"/>
      <c r="J3" s="3796"/>
      <c r="K3" s="3794" t="s">
        <v>2019</v>
      </c>
      <c r="L3" s="3794" t="s">
        <v>2020</v>
      </c>
      <c r="M3" s="3793" t="s">
        <v>2710</v>
      </c>
      <c r="N3" s="3795" t="str">
        <f>"（分摊）"&amp;项目基本情况!B16&amp;"国有建设用地使用权面积/㎡"</f>
        <v>（分摊）储备国有建设用地使用权面积/㎡</v>
      </c>
      <c r="O3" s="3793" t="s">
        <v>2049</v>
      </c>
      <c r="P3" s="3794" t="s">
        <v>2029</v>
      </c>
      <c r="Q3" s="3794" t="s">
        <v>2050</v>
      </c>
      <c r="R3" s="3794" t="s">
        <v>2021</v>
      </c>
    </row>
    <row r="4" spans="1:18" ht="36.75" customHeight="1">
      <c r="A4" s="3793"/>
      <c r="B4" s="3793"/>
      <c r="C4" s="3794"/>
      <c r="D4" s="3793"/>
      <c r="E4" s="2489" t="s">
        <v>2028</v>
      </c>
      <c r="F4" s="2489" t="s">
        <v>2722</v>
      </c>
      <c r="G4" s="2489" t="s">
        <v>2022</v>
      </c>
      <c r="H4" s="2489" t="s">
        <v>2023</v>
      </c>
      <c r="I4" s="2489" t="s">
        <v>2723</v>
      </c>
      <c r="J4" s="2489" t="s">
        <v>2022</v>
      </c>
      <c r="K4" s="3794"/>
      <c r="L4" s="3794"/>
      <c r="M4" s="3793"/>
      <c r="N4" s="3795"/>
      <c r="O4" s="3793"/>
      <c r="P4" s="3794"/>
      <c r="Q4" s="3794"/>
      <c r="R4" s="3794"/>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57209.51</v>
      </c>
      <c r="O5" s="1723">
        <f>项目基本情况!C21</f>
        <v>726000</v>
      </c>
      <c r="P5" s="1723">
        <f ca="1">结果表!E42</f>
        <v>69067</v>
      </c>
      <c r="Q5" s="1723">
        <f ca="1">结果表!D42</f>
        <v>5443</v>
      </c>
      <c r="R5" s="1724">
        <f ca="1">结果表!C42</f>
        <v>395127</v>
      </c>
    </row>
    <row r="6" spans="1:18">
      <c r="A6" s="3797" t="str">
        <f>IF(项目基本情况!B9="市场价格","——","抵押价格")</f>
        <v>抵押价格</v>
      </c>
      <c r="B6" s="3798"/>
      <c r="C6" s="3798"/>
      <c r="D6" s="3798"/>
      <c r="E6" s="3798"/>
      <c r="F6" s="3798"/>
      <c r="G6" s="3798"/>
      <c r="H6" s="3798"/>
      <c r="I6" s="3798"/>
      <c r="J6" s="3798"/>
      <c r="K6" s="3798"/>
      <c r="L6" s="3798"/>
      <c r="M6" s="3798"/>
      <c r="N6" s="3798"/>
      <c r="O6" s="3798"/>
      <c r="P6" s="3798"/>
      <c r="Q6" s="3799"/>
      <c r="R6" s="1725" t="str">
        <f>结果表!O39</f>
        <v>——</v>
      </c>
    </row>
    <row r="7" spans="1:18">
      <c r="A7" s="3797" t="str">
        <f>IF(项目基本情况!B9="市场价格","——",IF(项目基本情况!E8="已注销及未注销","抵押担保权已注销时的抵押价格","——"))</f>
        <v>——</v>
      </c>
      <c r="B7" s="3798"/>
      <c r="C7" s="3798"/>
      <c r="D7" s="3798"/>
      <c r="E7" s="3798"/>
      <c r="F7" s="3798"/>
      <c r="G7" s="3798"/>
      <c r="H7" s="3798"/>
      <c r="I7" s="3798"/>
      <c r="J7" s="3798"/>
      <c r="K7" s="3798"/>
      <c r="L7" s="3798"/>
      <c r="M7" s="3798"/>
      <c r="N7" s="3798"/>
      <c r="O7" s="3798"/>
      <c r="P7" s="3798"/>
      <c r="Q7" s="3799"/>
      <c r="R7" s="1725" t="str">
        <f>结果表!O40</f>
        <v>——</v>
      </c>
    </row>
    <row r="8" spans="1:18">
      <c r="A8" s="3797">
        <f>IF(项目基本情况!B9="市场价格","——",项目基本情况!E9)</f>
        <v>0</v>
      </c>
      <c r="B8" s="3798"/>
      <c r="C8" s="3798"/>
      <c r="D8" s="3798"/>
      <c r="E8" s="3798"/>
      <c r="F8" s="3798"/>
      <c r="G8" s="3798"/>
      <c r="H8" s="3798"/>
      <c r="I8" s="3798"/>
      <c r="J8" s="3798"/>
      <c r="K8" s="3798"/>
      <c r="L8" s="3798"/>
      <c r="M8" s="3798"/>
      <c r="N8" s="3798"/>
      <c r="O8" s="3798"/>
      <c r="P8" s="3798"/>
      <c r="Q8" s="3799"/>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77" t="s">
        <v>514</v>
      </c>
      <c r="D4" s="3978"/>
      <c r="E4" s="4011" t="s">
        <v>515</v>
      </c>
      <c r="F4" s="4012"/>
      <c r="G4" s="3977" t="s">
        <v>516</v>
      </c>
      <c r="H4" s="3978"/>
      <c r="I4" s="3977" t="s">
        <v>517</v>
      </c>
      <c r="J4" s="3978"/>
      <c r="K4" s="506" t="s">
        <v>518</v>
      </c>
      <c r="L4" s="2013"/>
      <c r="M4" s="2014"/>
      <c r="N4" s="2014"/>
      <c r="O4" s="2014"/>
      <c r="P4" s="3979" t="s">
        <v>519</v>
      </c>
      <c r="Q4" s="3980"/>
      <c r="R4" s="3985" t="s">
        <v>515</v>
      </c>
      <c r="S4" s="3986"/>
      <c r="T4" s="3985" t="s">
        <v>516</v>
      </c>
      <c r="U4" s="3986"/>
      <c r="V4" s="3972" t="s">
        <v>517</v>
      </c>
      <c r="W4" s="3972"/>
      <c r="X4" s="1500"/>
      <c r="Y4" s="3985" t="s">
        <v>519</v>
      </c>
      <c r="Z4" s="3986"/>
      <c r="AA4" s="3974" t="s">
        <v>515</v>
      </c>
      <c r="AB4" s="3975" t="s">
        <v>516</v>
      </c>
      <c r="AC4" s="3974" t="s">
        <v>517</v>
      </c>
    </row>
    <row r="5" spans="1:29" ht="15">
      <c r="A5" s="507"/>
      <c r="B5" s="508"/>
      <c r="C5" s="3993" t="s">
        <v>2892</v>
      </c>
      <c r="D5" s="3994"/>
      <c r="E5" s="4013" t="s">
        <v>2893</v>
      </c>
      <c r="F5" s="401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4002" t="s">
        <v>522</v>
      </c>
      <c r="Q7" s="4004"/>
      <c r="R7" s="1501" t="s">
        <v>8</v>
      </c>
      <c r="S7" s="1502">
        <f t="shared" ref="S7:S15" si="0">F7</f>
        <v>0</v>
      </c>
      <c r="T7" s="1501" t="s">
        <v>8</v>
      </c>
      <c r="U7" s="1502">
        <f t="shared" ref="U7:U15" si="1">H7</f>
        <v>0</v>
      </c>
      <c r="V7" s="1501" t="s">
        <v>8</v>
      </c>
      <c r="W7" s="1502">
        <f t="shared" ref="W7:W15"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71" t="s">
        <v>527</v>
      </c>
      <c r="Q9" s="1132" t="str">
        <f t="shared" ref="Q9:Q15" si="6">B9</f>
        <v>用途</v>
      </c>
      <c r="R9" s="1501" t="s">
        <v>8</v>
      </c>
      <c r="S9" s="1502">
        <f t="shared" si="0"/>
        <v>100</v>
      </c>
      <c r="T9" s="1501" t="s">
        <v>8</v>
      </c>
      <c r="U9" s="1502">
        <f t="shared" si="1"/>
        <v>100</v>
      </c>
      <c r="V9" s="1501" t="s">
        <v>8</v>
      </c>
      <c r="W9" s="1502">
        <f t="shared" si="2"/>
        <v>100</v>
      </c>
      <c r="X9" s="1503"/>
      <c r="Y9" s="3917"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71"/>
      <c r="Q11" s="1132" t="str">
        <f t="shared" si="6"/>
        <v>容积率</v>
      </c>
      <c r="R11" s="1501" t="s">
        <v>8</v>
      </c>
      <c r="S11" s="1502" t="e">
        <f t="shared" si="0"/>
        <v>#N/A</v>
      </c>
      <c r="T11" s="1501" t="s">
        <v>8</v>
      </c>
      <c r="U11" s="1502" t="e">
        <f t="shared" si="1"/>
        <v>#N/A</v>
      </c>
      <c r="V11" s="1501" t="s">
        <v>8</v>
      </c>
      <c r="W11" s="1502" t="e">
        <f t="shared" si="2"/>
        <v>#N/A</v>
      </c>
      <c r="X11" s="1503"/>
      <c r="Y11" s="391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71"/>
      <c r="Q14" s="1132">
        <f t="shared" si="6"/>
        <v>111</v>
      </c>
      <c r="R14" s="1501" t="s">
        <v>8</v>
      </c>
      <c r="S14" s="1502">
        <f t="shared" si="0"/>
        <v>100</v>
      </c>
      <c r="T14" s="1501" t="s">
        <v>8</v>
      </c>
      <c r="U14" s="1502">
        <f t="shared" si="1"/>
        <v>100</v>
      </c>
      <c r="V14" s="1501" t="s">
        <v>8</v>
      </c>
      <c r="W14" s="1502">
        <f t="shared" si="2"/>
        <v>100</v>
      </c>
      <c r="X14" s="1503"/>
      <c r="Y14" s="3917"/>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05" t="s">
        <v>532</v>
      </c>
      <c r="Q15" s="1505" t="str">
        <f t="shared" si="6"/>
        <v>产业集聚程度</v>
      </c>
      <c r="R15" s="1506" t="s">
        <v>8</v>
      </c>
      <c r="S15" s="1507">
        <f t="shared" si="0"/>
        <v>100</v>
      </c>
      <c r="T15" s="1506" t="s">
        <v>8</v>
      </c>
      <c r="U15" s="1507">
        <f t="shared" si="1"/>
        <v>100</v>
      </c>
      <c r="V15" s="1506" t="s">
        <v>8</v>
      </c>
      <c r="W15" s="1507">
        <f t="shared" si="2"/>
        <v>100</v>
      </c>
      <c r="X15" s="1500"/>
      <c r="Y15" s="400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06"/>
      <c r="Q16" s="1505"/>
      <c r="R16" s="1506"/>
      <c r="S16" s="1507"/>
      <c r="T16" s="1506"/>
      <c r="U16" s="1507"/>
      <c r="V16" s="1506"/>
      <c r="W16" s="1507"/>
      <c r="X16" s="1500"/>
      <c r="Y16" s="400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06"/>
      <c r="Q17" s="1505" t="str">
        <f>B17</f>
        <v>交通便捷度</v>
      </c>
      <c r="R17" s="1506" t="s">
        <v>8</v>
      </c>
      <c r="S17" s="1507">
        <f>F17</f>
        <v>100</v>
      </c>
      <c r="T17" s="1506" t="s">
        <v>8</v>
      </c>
      <c r="U17" s="1507">
        <f>H17</f>
        <v>100</v>
      </c>
      <c r="V17" s="1506" t="s">
        <v>8</v>
      </c>
      <c r="W17" s="1507">
        <f>J17</f>
        <v>100</v>
      </c>
      <c r="X17" s="1500"/>
      <c r="Y17" s="400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06"/>
      <c r="Q18" s="1505"/>
      <c r="R18" s="1506"/>
      <c r="S18" s="1507"/>
      <c r="T18" s="1506"/>
      <c r="U18" s="1507"/>
      <c r="V18" s="1506"/>
      <c r="W18" s="1507"/>
      <c r="X18" s="1500"/>
      <c r="Y18" s="400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06"/>
      <c r="Q19" s="1505" t="str">
        <f>B19</f>
        <v>公共配套设施</v>
      </c>
      <c r="R19" s="1506" t="s">
        <v>8</v>
      </c>
      <c r="S19" s="1507">
        <f>F19</f>
        <v>100</v>
      </c>
      <c r="T19" s="1506" t="s">
        <v>8</v>
      </c>
      <c r="U19" s="1507">
        <f>H19</f>
        <v>100</v>
      </c>
      <c r="V19" s="1506" t="s">
        <v>8</v>
      </c>
      <c r="W19" s="1507">
        <f>J19</f>
        <v>100</v>
      </c>
      <c r="X19" s="1500"/>
      <c r="Y19" s="400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06"/>
      <c r="Q20" s="1505"/>
      <c r="R20" s="1506"/>
      <c r="S20" s="1507"/>
      <c r="T20" s="1506"/>
      <c r="U20" s="1507"/>
      <c r="V20" s="1506"/>
      <c r="W20" s="1507"/>
      <c r="X20" s="1500"/>
      <c r="Y20" s="400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06"/>
      <c r="Q21" s="2427" t="str">
        <f>B21</f>
        <v>基础设施水平</v>
      </c>
      <c r="R21" s="1506" t="s">
        <v>8</v>
      </c>
      <c r="S21" s="1507">
        <f>F21</f>
        <v>100</v>
      </c>
      <c r="T21" s="1506" t="s">
        <v>8</v>
      </c>
      <c r="U21" s="1507">
        <f>H21</f>
        <v>100</v>
      </c>
      <c r="V21" s="1506" t="s">
        <v>8</v>
      </c>
      <c r="W21" s="1507">
        <f>J21</f>
        <v>100</v>
      </c>
      <c r="X21" s="2429"/>
      <c r="Y21" s="400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06"/>
      <c r="Q22" s="2427"/>
      <c r="R22" s="1506"/>
      <c r="S22" s="1507"/>
      <c r="T22" s="1506"/>
      <c r="U22" s="1507"/>
      <c r="V22" s="1506"/>
      <c r="W22" s="1507"/>
      <c r="X22" s="2429"/>
      <c r="Y22" s="400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06"/>
      <c r="Q23" s="1505" t="str">
        <f>B23</f>
        <v>环境质量</v>
      </c>
      <c r="R23" s="1506" t="s">
        <v>8</v>
      </c>
      <c r="S23" s="1507">
        <f>F23</f>
        <v>100</v>
      </c>
      <c r="T23" s="1506" t="s">
        <v>8</v>
      </c>
      <c r="U23" s="1507">
        <f>H23</f>
        <v>100</v>
      </c>
      <c r="V23" s="1506" t="s">
        <v>8</v>
      </c>
      <c r="W23" s="1507">
        <f>J23</f>
        <v>100</v>
      </c>
      <c r="X23" s="1500"/>
      <c r="Y23" s="400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06"/>
      <c r="Q24" s="1505"/>
      <c r="R24" s="1506"/>
      <c r="S24" s="1507"/>
      <c r="T24" s="1506"/>
      <c r="U24" s="1507"/>
      <c r="V24" s="1506"/>
      <c r="W24" s="1507"/>
      <c r="X24" s="1500"/>
      <c r="Y24" s="400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06"/>
      <c r="Q25" s="1505">
        <f>B25</f>
        <v>111</v>
      </c>
      <c r="R25" s="1506" t="s">
        <v>8</v>
      </c>
      <c r="S25" s="1507">
        <f>F25</f>
        <v>100</v>
      </c>
      <c r="T25" s="1506" t="s">
        <v>8</v>
      </c>
      <c r="U25" s="1507">
        <f>H25</f>
        <v>100</v>
      </c>
      <c r="V25" s="1506" t="s">
        <v>8</v>
      </c>
      <c r="W25" s="1507">
        <f>J25</f>
        <v>100</v>
      </c>
      <c r="X25" s="1500"/>
      <c r="Y25" s="400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06"/>
      <c r="Q26" s="1505">
        <f t="shared" ref="Q26:Q40" si="11">B26</f>
        <v>111</v>
      </c>
      <c r="R26" s="1506" t="s">
        <v>8</v>
      </c>
      <c r="S26" s="1507">
        <f>F26</f>
        <v>100</v>
      </c>
      <c r="T26" s="1506" t="s">
        <v>8</v>
      </c>
      <c r="U26" s="1507">
        <f>H26</f>
        <v>100</v>
      </c>
      <c r="V26" s="1506" t="s">
        <v>8</v>
      </c>
      <c r="W26" s="1507">
        <f>J26</f>
        <v>100</v>
      </c>
      <c r="X26" s="1500"/>
      <c r="Y26" s="400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06"/>
      <c r="Q27" s="1132">
        <f t="shared" si="11"/>
        <v>111</v>
      </c>
      <c r="R27" s="1501" t="s">
        <v>8</v>
      </c>
      <c r="S27" s="1502">
        <f>F27</f>
        <v>100</v>
      </c>
      <c r="T27" s="1501" t="s">
        <v>8</v>
      </c>
      <c r="U27" s="1502">
        <f>H27</f>
        <v>100</v>
      </c>
      <c r="V27" s="1501" t="s">
        <v>8</v>
      </c>
      <c r="W27" s="1502">
        <f>J27</f>
        <v>100</v>
      </c>
      <c r="X27" s="1503"/>
      <c r="Y27" s="400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06"/>
      <c r="Q28" s="1505">
        <f t="shared" si="11"/>
        <v>111</v>
      </c>
      <c r="R28" s="1506" t="s">
        <v>8</v>
      </c>
      <c r="S28" s="1507">
        <f t="shared" ref="S28:S40" si="12">F28</f>
        <v>100</v>
      </c>
      <c r="T28" s="1506" t="s">
        <v>8</v>
      </c>
      <c r="U28" s="1507">
        <f t="shared" ref="U28:U40" si="13">H28</f>
        <v>100</v>
      </c>
      <c r="V28" s="1506" t="s">
        <v>8</v>
      </c>
      <c r="W28" s="1507">
        <f t="shared" ref="W28:W40" si="14">J28</f>
        <v>100</v>
      </c>
      <c r="X28" s="1500"/>
      <c r="Y28" s="400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07" t="s">
        <v>542</v>
      </c>
      <c r="Q29" s="1505" t="str">
        <f t="shared" si="11"/>
        <v>建筑类型</v>
      </c>
      <c r="R29" s="1506" t="s">
        <v>8</v>
      </c>
      <c r="S29" s="1507">
        <f t="shared" si="12"/>
        <v>100</v>
      </c>
      <c r="T29" s="1506" t="s">
        <v>8</v>
      </c>
      <c r="U29" s="1507">
        <f t="shared" si="13"/>
        <v>100</v>
      </c>
      <c r="V29" s="1506" t="s">
        <v>8</v>
      </c>
      <c r="W29" s="1507">
        <f t="shared" si="14"/>
        <v>100</v>
      </c>
      <c r="X29" s="1500"/>
      <c r="Y29" s="400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08"/>
      <c r="Q30" s="1534" t="str">
        <f t="shared" si="11"/>
        <v>项目建筑规模</v>
      </c>
      <c r="R30" s="1510" t="s">
        <v>8</v>
      </c>
      <c r="S30" s="1511" t="e">
        <f t="shared" si="12"/>
        <v>#N/A</v>
      </c>
      <c r="T30" s="1510" t="s">
        <v>8</v>
      </c>
      <c r="U30" s="1511" t="e">
        <f t="shared" si="13"/>
        <v>#N/A</v>
      </c>
      <c r="V30" s="1510" t="s">
        <v>8</v>
      </c>
      <c r="W30" s="1511" t="e">
        <f t="shared" si="14"/>
        <v>#N/A</v>
      </c>
      <c r="X30" s="1512"/>
      <c r="Y30" s="400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08"/>
      <c r="Q31" s="1505" t="str">
        <f t="shared" si="11"/>
        <v>建筑结构</v>
      </c>
      <c r="R31" s="1506" t="s">
        <v>8</v>
      </c>
      <c r="S31" s="1507">
        <f t="shared" si="12"/>
        <v>100</v>
      </c>
      <c r="T31" s="1506" t="s">
        <v>8</v>
      </c>
      <c r="U31" s="1507">
        <f t="shared" si="13"/>
        <v>100</v>
      </c>
      <c r="V31" s="1506" t="s">
        <v>8</v>
      </c>
      <c r="W31" s="1507">
        <f t="shared" si="14"/>
        <v>100</v>
      </c>
      <c r="X31" s="1500"/>
      <c r="Y31" s="400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08"/>
      <c r="Q32" s="1505" t="str">
        <f t="shared" si="11"/>
        <v>公共部分装修</v>
      </c>
      <c r="R32" s="1506" t="s">
        <v>8</v>
      </c>
      <c r="S32" s="1507">
        <f t="shared" si="12"/>
        <v>100</v>
      </c>
      <c r="T32" s="1506" t="s">
        <v>8</v>
      </c>
      <c r="U32" s="1507">
        <f t="shared" si="13"/>
        <v>100</v>
      </c>
      <c r="V32" s="1506" t="s">
        <v>8</v>
      </c>
      <c r="W32" s="1507">
        <f t="shared" si="14"/>
        <v>100</v>
      </c>
      <c r="X32" s="1500"/>
      <c r="Y32" s="400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08"/>
      <c r="Q33" s="1505" t="str">
        <f t="shared" si="11"/>
        <v>成新度</v>
      </c>
      <c r="R33" s="1506" t="s">
        <v>8</v>
      </c>
      <c r="S33" s="1507" t="e">
        <f t="shared" si="12"/>
        <v>#N/A</v>
      </c>
      <c r="T33" s="1506" t="s">
        <v>8</v>
      </c>
      <c r="U33" s="1507" t="e">
        <f t="shared" si="13"/>
        <v>#N/A</v>
      </c>
      <c r="V33" s="1506" t="s">
        <v>8</v>
      </c>
      <c r="W33" s="1507" t="e">
        <f t="shared" si="14"/>
        <v>#N/A</v>
      </c>
      <c r="X33" s="1500"/>
      <c r="Y33" s="400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08"/>
      <c r="Q34" s="1132" t="str">
        <f t="shared" si="11"/>
        <v>物业管理</v>
      </c>
      <c r="R34" s="1501" t="s">
        <v>8</v>
      </c>
      <c r="S34" s="1502">
        <f t="shared" si="12"/>
        <v>100</v>
      </c>
      <c r="T34" s="1501" t="s">
        <v>8</v>
      </c>
      <c r="U34" s="1502">
        <f t="shared" si="13"/>
        <v>100</v>
      </c>
      <c r="V34" s="1501" t="s">
        <v>8</v>
      </c>
      <c r="W34" s="1502">
        <f t="shared" si="14"/>
        <v>100</v>
      </c>
      <c r="X34" s="1503"/>
      <c r="Y34" s="400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08" t="s">
        <v>542</v>
      </c>
      <c r="Q35" s="1505" t="str">
        <f t="shared" si="11"/>
        <v>市政基础设施</v>
      </c>
      <c r="R35" s="1506" t="s">
        <v>8</v>
      </c>
      <c r="S35" s="1507">
        <f t="shared" si="12"/>
        <v>100</v>
      </c>
      <c r="T35" s="1506" t="s">
        <v>8</v>
      </c>
      <c r="U35" s="1507">
        <f t="shared" si="13"/>
        <v>100</v>
      </c>
      <c r="V35" s="1506" t="s">
        <v>8</v>
      </c>
      <c r="W35" s="1507">
        <f t="shared" si="14"/>
        <v>100</v>
      </c>
      <c r="X35" s="1500"/>
      <c r="Y35" s="400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08"/>
      <c r="Q36" s="1505" t="str">
        <f t="shared" si="11"/>
        <v>内部装修</v>
      </c>
      <c r="R36" s="1506" t="s">
        <v>8</v>
      </c>
      <c r="S36" s="1507">
        <f t="shared" si="12"/>
        <v>100</v>
      </c>
      <c r="T36" s="1506" t="s">
        <v>8</v>
      </c>
      <c r="U36" s="1507">
        <f t="shared" si="13"/>
        <v>100</v>
      </c>
      <c r="V36" s="1506" t="s">
        <v>8</v>
      </c>
      <c r="W36" s="1507">
        <f t="shared" si="14"/>
        <v>100</v>
      </c>
      <c r="X36" s="1500"/>
      <c r="Y36" s="400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08"/>
      <c r="Q37" s="1505" t="str">
        <f t="shared" si="11"/>
        <v>内部装修状况</v>
      </c>
      <c r="R37" s="1506" t="s">
        <v>8</v>
      </c>
      <c r="S37" s="1507">
        <f t="shared" si="12"/>
        <v>100</v>
      </c>
      <c r="T37" s="1506" t="s">
        <v>8</v>
      </c>
      <c r="U37" s="1507">
        <f t="shared" si="13"/>
        <v>100</v>
      </c>
      <c r="V37" s="1506" t="s">
        <v>8</v>
      </c>
      <c r="W37" s="1507">
        <f t="shared" si="14"/>
        <v>100</v>
      </c>
      <c r="X37" s="1500"/>
      <c r="Y37" s="400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08"/>
      <c r="Q38" s="1534">
        <f t="shared" si="11"/>
        <v>111</v>
      </c>
      <c r="R38" s="1510" t="s">
        <v>8</v>
      </c>
      <c r="S38" s="1511">
        <f t="shared" si="12"/>
        <v>100</v>
      </c>
      <c r="T38" s="1510" t="s">
        <v>8</v>
      </c>
      <c r="U38" s="1511">
        <f t="shared" si="13"/>
        <v>100</v>
      </c>
      <c r="V38" s="1510" t="s">
        <v>8</v>
      </c>
      <c r="W38" s="1511">
        <f t="shared" si="14"/>
        <v>100</v>
      </c>
      <c r="X38" s="1512"/>
      <c r="Y38" s="400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08"/>
      <c r="Q39" s="1505">
        <f t="shared" si="11"/>
        <v>111</v>
      </c>
      <c r="R39" s="1506" t="s">
        <v>8</v>
      </c>
      <c r="S39" s="1507">
        <f t="shared" si="12"/>
        <v>100</v>
      </c>
      <c r="T39" s="1506" t="s">
        <v>8</v>
      </c>
      <c r="U39" s="1507">
        <f t="shared" si="13"/>
        <v>100</v>
      </c>
      <c r="V39" s="1506" t="s">
        <v>8</v>
      </c>
      <c r="W39" s="1507">
        <f t="shared" si="14"/>
        <v>100</v>
      </c>
      <c r="X39" s="1500"/>
      <c r="Y39" s="400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088"/>
      <c r="Q40" s="1505">
        <f t="shared" si="11"/>
        <v>111</v>
      </c>
      <c r="R40" s="1506" t="s">
        <v>8</v>
      </c>
      <c r="S40" s="1507">
        <f t="shared" si="12"/>
        <v>100</v>
      </c>
      <c r="T40" s="1506" t="s">
        <v>8</v>
      </c>
      <c r="U40" s="1507">
        <f t="shared" si="13"/>
        <v>100</v>
      </c>
      <c r="V40" s="1506" t="s">
        <v>8</v>
      </c>
      <c r="W40" s="1507">
        <f t="shared" si="14"/>
        <v>100</v>
      </c>
      <c r="X40" s="1500"/>
      <c r="Y40" s="4088"/>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71" t="str">
        <f>A41</f>
        <v>成交单价（元/平方米）</v>
      </c>
      <c r="Q41" s="3971"/>
      <c r="R41" s="4087">
        <f>E41</f>
        <v>0</v>
      </c>
      <c r="S41" s="4087"/>
      <c r="T41" s="4087">
        <f>G41</f>
        <v>0</v>
      </c>
      <c r="U41" s="4087"/>
      <c r="V41" s="4087">
        <f>I41</f>
        <v>0</v>
      </c>
      <c r="W41" s="4087"/>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71" t="str">
        <f>A42</f>
        <v>比较价格（元/平方米）</v>
      </c>
      <c r="Q42" s="3971"/>
      <c r="R42" s="4087" t="e">
        <f>IF(F1="售价",ROUND(PRODUCT(R41,AA7:AA40),0),ROUND(PRODUCT(R41,AA7:AA40),1))</f>
        <v>#DIV/0!</v>
      </c>
      <c r="S42" s="4087"/>
      <c r="T42" s="4087" t="e">
        <f>IF(F1="售价",ROUND(PRODUCT(T41,AB7:AB40),0),ROUND(PRODUCT(T41,AB7:AB40),1))</f>
        <v>#DIV/0!</v>
      </c>
      <c r="U42" s="4087"/>
      <c r="V42" s="4087" t="e">
        <f>IF(F1="售价",ROUND(PRODUCT(V41,AC7:AC40),0),ROUND(PRODUCT(V41,AC7:AC40),1))</f>
        <v>#DIV/0!</v>
      </c>
      <c r="W42" s="4087"/>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68" t="str">
        <f>A43</f>
        <v>估价对象XX用房的比较价格（楼面单价，元/平方米）</v>
      </c>
      <c r="Q43" s="3969"/>
      <c r="R43" s="4086" t="e">
        <f>IF(F1="售价",ROUND(IF(D42="简单平均",AVERAGE(R42:V42),R42*F42+T42*H42+V42*J42),0),ROUND(IF(D42="简单平均",AVERAGE(R42:V42),R42*F42+T42*H42+V42*J42),1))</f>
        <v>#DIV/0!</v>
      </c>
      <c r="S43" s="4086"/>
      <c r="T43" s="4086"/>
      <c r="U43" s="4086"/>
      <c r="V43" s="4086"/>
      <c r="W43" s="4086"/>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7" t="s">
        <v>790</v>
      </c>
      <c r="D4" s="3978"/>
      <c r="E4" s="3977" t="s">
        <v>791</v>
      </c>
      <c r="F4" s="3978"/>
      <c r="G4" s="3977" t="s">
        <v>792</v>
      </c>
      <c r="H4" s="3978"/>
      <c r="I4" s="3977" t="s">
        <v>793</v>
      </c>
      <c r="J4" s="3978"/>
      <c r="K4" s="506" t="s">
        <v>794</v>
      </c>
      <c r="L4" s="2013"/>
      <c r="M4" s="2014"/>
      <c r="N4" s="2014"/>
      <c r="O4" s="2014"/>
      <c r="P4" s="3979" t="s">
        <v>795</v>
      </c>
      <c r="Q4" s="3980"/>
      <c r="R4" s="3985" t="s">
        <v>791</v>
      </c>
      <c r="S4" s="3986"/>
      <c r="T4" s="3985" t="s">
        <v>792</v>
      </c>
      <c r="U4" s="3986"/>
      <c r="V4" s="3972" t="s">
        <v>793</v>
      </c>
      <c r="W4" s="3972"/>
      <c r="X4" s="1500"/>
      <c r="Y4" s="3985" t="s">
        <v>795</v>
      </c>
      <c r="Z4" s="3986"/>
      <c r="AA4" s="3974" t="s">
        <v>791</v>
      </c>
      <c r="AB4" s="3975" t="s">
        <v>792</v>
      </c>
      <c r="AC4" s="3974" t="s">
        <v>793</v>
      </c>
    </row>
    <row r="5" spans="1:29" ht="15">
      <c r="A5" s="507"/>
      <c r="B5" s="508"/>
      <c r="C5" s="3993" t="s">
        <v>2892</v>
      </c>
      <c r="D5" s="3994"/>
      <c r="E5" s="3993" t="s">
        <v>2893</v>
      </c>
      <c r="F5" s="399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3995" t="s">
        <v>2896</v>
      </c>
      <c r="F6" s="3996"/>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4002" t="s">
        <v>522</v>
      </c>
      <c r="Q7" s="4004"/>
      <c r="R7" s="1501" t="s">
        <v>8</v>
      </c>
      <c r="S7" s="1502">
        <f t="shared" ref="S7:S14" si="0">F7</f>
        <v>0</v>
      </c>
      <c r="T7" s="1501" t="s">
        <v>8</v>
      </c>
      <c r="U7" s="1502">
        <f t="shared" ref="U7:U14" si="1">H7</f>
        <v>0</v>
      </c>
      <c r="V7" s="1501" t="s">
        <v>8</v>
      </c>
      <c r="W7" s="1502">
        <f t="shared" ref="W7:W14"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71" t="s">
        <v>527</v>
      </c>
      <c r="Q9" s="1132" t="str">
        <f t="shared" ref="Q9:Q14" si="6">B9</f>
        <v>用途</v>
      </c>
      <c r="R9" s="1501" t="s">
        <v>8</v>
      </c>
      <c r="S9" s="1502">
        <f t="shared" si="0"/>
        <v>100</v>
      </c>
      <c r="T9" s="1501" t="s">
        <v>8</v>
      </c>
      <c r="U9" s="1502">
        <f t="shared" si="1"/>
        <v>100</v>
      </c>
      <c r="V9" s="1501" t="s">
        <v>8</v>
      </c>
      <c r="W9" s="1502">
        <f t="shared" si="2"/>
        <v>100</v>
      </c>
      <c r="X9" s="1503"/>
      <c r="Y9" s="391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71"/>
      <c r="Q11" s="1132">
        <f t="shared" si="6"/>
        <v>111</v>
      </c>
      <c r="R11" s="1501" t="s">
        <v>8</v>
      </c>
      <c r="S11" s="1502">
        <f t="shared" si="0"/>
        <v>100</v>
      </c>
      <c r="T11" s="1501" t="s">
        <v>8</v>
      </c>
      <c r="U11" s="1502">
        <f t="shared" si="1"/>
        <v>100</v>
      </c>
      <c r="V11" s="1501" t="s">
        <v>8</v>
      </c>
      <c r="W11" s="1502">
        <f t="shared" si="2"/>
        <v>100</v>
      </c>
      <c r="X11" s="1503"/>
      <c r="Y11" s="3917"/>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05" t="s">
        <v>532</v>
      </c>
      <c r="Q14" s="1505" t="str">
        <f t="shared" si="6"/>
        <v>交通便捷度</v>
      </c>
      <c r="R14" s="1506" t="s">
        <v>8</v>
      </c>
      <c r="S14" s="1507">
        <f t="shared" si="0"/>
        <v>100</v>
      </c>
      <c r="T14" s="1506" t="s">
        <v>8</v>
      </c>
      <c r="U14" s="1507">
        <f t="shared" si="1"/>
        <v>100</v>
      </c>
      <c r="V14" s="1506" t="s">
        <v>8</v>
      </c>
      <c r="W14" s="1507">
        <f t="shared" si="2"/>
        <v>100</v>
      </c>
      <c r="X14" s="1500"/>
      <c r="Y14" s="400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06"/>
      <c r="Q15" s="1505"/>
      <c r="R15" s="1506"/>
      <c r="S15" s="1507"/>
      <c r="T15" s="1506"/>
      <c r="U15" s="1507"/>
      <c r="V15" s="1506"/>
      <c r="W15" s="1507"/>
      <c r="X15" s="1500"/>
      <c r="Y15" s="400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06"/>
      <c r="Q16" s="1505" t="str">
        <f>B16</f>
        <v>公共配套设施</v>
      </c>
      <c r="R16" s="1506" t="s">
        <v>8</v>
      </c>
      <c r="S16" s="1507">
        <f>F16</f>
        <v>100</v>
      </c>
      <c r="T16" s="1506" t="s">
        <v>8</v>
      </c>
      <c r="U16" s="1507">
        <f>H16</f>
        <v>100</v>
      </c>
      <c r="V16" s="1506" t="s">
        <v>8</v>
      </c>
      <c r="W16" s="1507">
        <f>J16</f>
        <v>100</v>
      </c>
      <c r="X16" s="1500"/>
      <c r="Y16" s="400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06"/>
      <c r="Q17" s="1505"/>
      <c r="R17" s="1506"/>
      <c r="S17" s="1507"/>
      <c r="T17" s="1506"/>
      <c r="U17" s="1507"/>
      <c r="V17" s="1506"/>
      <c r="W17" s="1507"/>
      <c r="X17" s="1500"/>
      <c r="Y17" s="400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06"/>
      <c r="Q18" s="2427" t="str">
        <f>B18</f>
        <v>基础设施水平</v>
      </c>
      <c r="R18" s="1506" t="s">
        <v>8</v>
      </c>
      <c r="S18" s="1507">
        <f>F18</f>
        <v>100</v>
      </c>
      <c r="T18" s="1506" t="s">
        <v>8</v>
      </c>
      <c r="U18" s="1507">
        <f>H18</f>
        <v>100</v>
      </c>
      <c r="V18" s="1506" t="s">
        <v>8</v>
      </c>
      <c r="W18" s="1507">
        <f>J18</f>
        <v>100</v>
      </c>
      <c r="X18" s="2429"/>
      <c r="Y18" s="400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06"/>
      <c r="Q19" s="2427"/>
      <c r="R19" s="1506"/>
      <c r="S19" s="1507"/>
      <c r="T19" s="1506"/>
      <c r="U19" s="1507"/>
      <c r="V19" s="1506"/>
      <c r="W19" s="1507"/>
      <c r="X19" s="2429"/>
      <c r="Y19" s="400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06"/>
      <c r="Q20" s="1505" t="str">
        <f>B20</f>
        <v>自然及人文环境</v>
      </c>
      <c r="R20" s="1506" t="s">
        <v>8</v>
      </c>
      <c r="S20" s="1507">
        <f>F20</f>
        <v>100</v>
      </c>
      <c r="T20" s="1506" t="s">
        <v>8</v>
      </c>
      <c r="U20" s="1507">
        <f>H20</f>
        <v>100</v>
      </c>
      <c r="V20" s="1506" t="s">
        <v>8</v>
      </c>
      <c r="W20" s="1507">
        <f>J20</f>
        <v>100</v>
      </c>
      <c r="X20" s="1500"/>
      <c r="Y20" s="400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06"/>
      <c r="Q21" s="1505"/>
      <c r="R21" s="1506"/>
      <c r="S21" s="1507"/>
      <c r="T21" s="1506"/>
      <c r="U21" s="1507"/>
      <c r="V21" s="1506"/>
      <c r="W21" s="1507"/>
      <c r="X21" s="1500"/>
      <c r="Y21" s="400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06"/>
      <c r="Q22" s="1505" t="str">
        <f>B22</f>
        <v>楼层</v>
      </c>
      <c r="R22" s="1506" t="s">
        <v>8</v>
      </c>
      <c r="S22" s="1507">
        <f>F22</f>
        <v>100</v>
      </c>
      <c r="T22" s="1506" t="s">
        <v>8</v>
      </c>
      <c r="U22" s="1507">
        <f>H22</f>
        <v>100</v>
      </c>
      <c r="V22" s="1506" t="s">
        <v>8</v>
      </c>
      <c r="W22" s="1507">
        <f>J22</f>
        <v>100</v>
      </c>
      <c r="X22" s="1500"/>
      <c r="Y22" s="400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06"/>
      <c r="Q23" s="1505">
        <f>B23</f>
        <v>111</v>
      </c>
      <c r="R23" s="1506" t="s">
        <v>8</v>
      </c>
      <c r="S23" s="1507">
        <f>F23</f>
        <v>100</v>
      </c>
      <c r="T23" s="1506" t="s">
        <v>8</v>
      </c>
      <c r="U23" s="1507">
        <f>H23</f>
        <v>100</v>
      </c>
      <c r="V23" s="1506" t="s">
        <v>8</v>
      </c>
      <c r="W23" s="1507">
        <f>J23</f>
        <v>100</v>
      </c>
      <c r="X23" s="1500"/>
      <c r="Y23" s="400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06"/>
      <c r="Q24" s="1505">
        <f t="shared" ref="Q24:Q36" si="11">B24</f>
        <v>111</v>
      </c>
      <c r="R24" s="1506" t="s">
        <v>8</v>
      </c>
      <c r="S24" s="1507">
        <f>F24</f>
        <v>100</v>
      </c>
      <c r="T24" s="1506" t="s">
        <v>8</v>
      </c>
      <c r="U24" s="1507">
        <f>H24</f>
        <v>100</v>
      </c>
      <c r="V24" s="1506" t="s">
        <v>8</v>
      </c>
      <c r="W24" s="1507">
        <f>J24</f>
        <v>100</v>
      </c>
      <c r="X24" s="1500"/>
      <c r="Y24" s="400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06"/>
      <c r="Q25" s="1132">
        <f t="shared" si="11"/>
        <v>111</v>
      </c>
      <c r="R25" s="1501" t="s">
        <v>8</v>
      </c>
      <c r="S25" s="1502">
        <f>F25</f>
        <v>100</v>
      </c>
      <c r="T25" s="1501" t="s">
        <v>8</v>
      </c>
      <c r="U25" s="1502">
        <f>H25</f>
        <v>100</v>
      </c>
      <c r="V25" s="1501" t="s">
        <v>8</v>
      </c>
      <c r="W25" s="1502">
        <f>J25</f>
        <v>100</v>
      </c>
      <c r="X25" s="1503"/>
      <c r="Y25" s="400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0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0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08"/>
      <c r="Q27" s="1534" t="str">
        <f t="shared" si="11"/>
        <v>项目停车位配比</v>
      </c>
      <c r="R27" s="1510" t="s">
        <v>8</v>
      </c>
      <c r="S27" s="1511">
        <f t="shared" si="12"/>
        <v>100</v>
      </c>
      <c r="T27" s="1510" t="s">
        <v>8</v>
      </c>
      <c r="U27" s="1511">
        <f t="shared" si="13"/>
        <v>100</v>
      </c>
      <c r="V27" s="1510" t="s">
        <v>8</v>
      </c>
      <c r="W27" s="1511">
        <f t="shared" si="14"/>
        <v>100</v>
      </c>
      <c r="X27" s="1512"/>
      <c r="Y27" s="400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08"/>
      <c r="Q28" s="1505" t="str">
        <f t="shared" si="11"/>
        <v>公共部分装修</v>
      </c>
      <c r="R28" s="1506" t="s">
        <v>8</v>
      </c>
      <c r="S28" s="1507">
        <f t="shared" si="12"/>
        <v>100</v>
      </c>
      <c r="T28" s="1506" t="s">
        <v>8</v>
      </c>
      <c r="U28" s="1507">
        <f t="shared" si="13"/>
        <v>100</v>
      </c>
      <c r="V28" s="1506" t="s">
        <v>8</v>
      </c>
      <c r="W28" s="1507">
        <f t="shared" si="14"/>
        <v>100</v>
      </c>
      <c r="X28" s="1500"/>
      <c r="Y28" s="400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08"/>
      <c r="Q29" s="1505" t="str">
        <f t="shared" si="11"/>
        <v>成新率</v>
      </c>
      <c r="R29" s="1506" t="s">
        <v>8</v>
      </c>
      <c r="S29" s="1507" t="e">
        <f t="shared" si="12"/>
        <v>#N/A</v>
      </c>
      <c r="T29" s="1506" t="s">
        <v>8</v>
      </c>
      <c r="U29" s="1507" t="e">
        <f t="shared" si="13"/>
        <v>#N/A</v>
      </c>
      <c r="V29" s="1506" t="s">
        <v>8</v>
      </c>
      <c r="W29" s="1507" t="e">
        <f t="shared" si="14"/>
        <v>#N/A</v>
      </c>
      <c r="X29" s="1500"/>
      <c r="Y29" s="400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08"/>
      <c r="Q30" s="1505" t="str">
        <f t="shared" si="11"/>
        <v>物业等级</v>
      </c>
      <c r="R30" s="1506" t="s">
        <v>8</v>
      </c>
      <c r="S30" s="1507">
        <f t="shared" si="12"/>
        <v>100</v>
      </c>
      <c r="T30" s="1506" t="s">
        <v>8</v>
      </c>
      <c r="U30" s="1507">
        <f t="shared" si="13"/>
        <v>100</v>
      </c>
      <c r="V30" s="1506" t="s">
        <v>8</v>
      </c>
      <c r="W30" s="1507">
        <f t="shared" si="14"/>
        <v>100</v>
      </c>
      <c r="X30" s="1500"/>
      <c r="Y30" s="400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08"/>
      <c r="Q31" s="1132" t="str">
        <f t="shared" si="11"/>
        <v>停车位面积</v>
      </c>
      <c r="R31" s="1501" t="s">
        <v>8</v>
      </c>
      <c r="S31" s="1502" t="e">
        <f t="shared" si="12"/>
        <v>#N/A</v>
      </c>
      <c r="T31" s="1501" t="s">
        <v>8</v>
      </c>
      <c r="U31" s="1502" t="e">
        <f t="shared" si="13"/>
        <v>#N/A</v>
      </c>
      <c r="V31" s="1501" t="s">
        <v>8</v>
      </c>
      <c r="W31" s="1502" t="e">
        <f t="shared" si="14"/>
        <v>#N/A</v>
      </c>
      <c r="X31" s="1503"/>
      <c r="Y31" s="400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08" t="s">
        <v>542</v>
      </c>
      <c r="Q32" s="1505" t="str">
        <f t="shared" si="11"/>
        <v>车位类型</v>
      </c>
      <c r="R32" s="1506" t="s">
        <v>8</v>
      </c>
      <c r="S32" s="1507">
        <f t="shared" si="12"/>
        <v>100</v>
      </c>
      <c r="T32" s="1506" t="s">
        <v>8</v>
      </c>
      <c r="U32" s="1507">
        <f t="shared" si="13"/>
        <v>100</v>
      </c>
      <c r="V32" s="1506" t="s">
        <v>8</v>
      </c>
      <c r="W32" s="1507">
        <f t="shared" si="14"/>
        <v>100</v>
      </c>
      <c r="X32" s="1500"/>
      <c r="Y32" s="400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08"/>
      <c r="Q33" s="1505" t="str">
        <f t="shared" si="11"/>
        <v>是否直接入户</v>
      </c>
      <c r="R33" s="1506" t="s">
        <v>8</v>
      </c>
      <c r="S33" s="1507">
        <f t="shared" si="12"/>
        <v>100</v>
      </c>
      <c r="T33" s="1506" t="s">
        <v>8</v>
      </c>
      <c r="U33" s="1507">
        <f t="shared" si="13"/>
        <v>100</v>
      </c>
      <c r="V33" s="1506" t="s">
        <v>8</v>
      </c>
      <c r="W33" s="1507">
        <f t="shared" si="14"/>
        <v>100</v>
      </c>
      <c r="X33" s="1500"/>
      <c r="Y33" s="400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08"/>
      <c r="Q34" s="1505">
        <f t="shared" si="11"/>
        <v>111</v>
      </c>
      <c r="R34" s="1506" t="s">
        <v>8</v>
      </c>
      <c r="S34" s="1507">
        <f t="shared" si="12"/>
        <v>100</v>
      </c>
      <c r="T34" s="1506" t="s">
        <v>8</v>
      </c>
      <c r="U34" s="1507">
        <f t="shared" si="13"/>
        <v>100</v>
      </c>
      <c r="V34" s="1506" t="s">
        <v>8</v>
      </c>
      <c r="W34" s="1507">
        <f t="shared" si="14"/>
        <v>100</v>
      </c>
      <c r="X34" s="1500"/>
      <c r="Y34" s="400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08"/>
      <c r="Q35" s="1534">
        <f t="shared" si="11"/>
        <v>111</v>
      </c>
      <c r="R35" s="1510" t="s">
        <v>8</v>
      </c>
      <c r="S35" s="1511">
        <f t="shared" si="12"/>
        <v>100</v>
      </c>
      <c r="T35" s="1510" t="s">
        <v>8</v>
      </c>
      <c r="U35" s="1511">
        <f t="shared" si="13"/>
        <v>100</v>
      </c>
      <c r="V35" s="1510" t="s">
        <v>8</v>
      </c>
      <c r="W35" s="1511">
        <f t="shared" si="14"/>
        <v>100</v>
      </c>
      <c r="X35" s="1512"/>
      <c r="Y35" s="400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08"/>
      <c r="Q36" s="1505">
        <f t="shared" si="11"/>
        <v>111</v>
      </c>
      <c r="R36" s="1506" t="s">
        <v>8</v>
      </c>
      <c r="S36" s="1507">
        <f t="shared" si="12"/>
        <v>100</v>
      </c>
      <c r="T36" s="1506" t="s">
        <v>8</v>
      </c>
      <c r="U36" s="1507">
        <f t="shared" si="13"/>
        <v>100</v>
      </c>
      <c r="V36" s="1506" t="s">
        <v>8</v>
      </c>
      <c r="W36" s="1507">
        <f t="shared" si="14"/>
        <v>100</v>
      </c>
      <c r="X36" s="1500"/>
      <c r="Y36" s="400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71" t="str">
        <f>A37</f>
        <v>成交单价</v>
      </c>
      <c r="Q37" s="3971"/>
      <c r="R37" s="4087">
        <f>E37</f>
        <v>0</v>
      </c>
      <c r="S37" s="4087"/>
      <c r="T37" s="4087">
        <f>G37</f>
        <v>0</v>
      </c>
      <c r="U37" s="4087"/>
      <c r="V37" s="4087">
        <f>I37</f>
        <v>0</v>
      </c>
      <c r="W37" s="4087"/>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71" t="str">
        <f>A38</f>
        <v>比较价格（元/平方米）</v>
      </c>
      <c r="Q38" s="3971"/>
      <c r="R38" s="4087" t="e">
        <f>IF(F1="售价",ROUND(PRODUCT(R37,AA7:AA36),0),ROUND(PRODUCT(R37,AA7:AA36),1))</f>
        <v>#DIV/0!</v>
      </c>
      <c r="S38" s="4087"/>
      <c r="T38" s="4087" t="e">
        <f>IF(F1="售价",ROUND(PRODUCT(T37,AB7:AB36),0),ROUND(PRODUCT(T37,AB7:AB36),1))</f>
        <v>#DIV/0!</v>
      </c>
      <c r="U38" s="4087"/>
      <c r="V38" s="4087" t="e">
        <f>IF(F1="售价",ROUND(PRODUCT(V37,AC7:AC36),0),ROUND(PRODUCT(V37,AC7:AC36),1))</f>
        <v>#DIV/0!</v>
      </c>
      <c r="W38" s="4087"/>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68" t="str">
        <f>A39</f>
        <v>估价对象XX用房的比较价格（楼面单价，元/平方米）</v>
      </c>
      <c r="Q39" s="3969"/>
      <c r="R39" s="4086" t="e">
        <f>IF(F1="售价",ROUND(IF(D38="简单平均",AVERAGE(R38:W38),R38*F38+T38*H38+V38*J38),0),ROUND(IF(D38="简单平均",AVERAGE(R38:V38),R38*F38+T38*H38+V38*J38),1))</f>
        <v>#DIV/0!</v>
      </c>
      <c r="S39" s="4086"/>
      <c r="T39" s="4086"/>
      <c r="U39" s="4086"/>
      <c r="V39" s="4086"/>
      <c r="W39" s="4086"/>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77" t="s">
        <v>790</v>
      </c>
      <c r="D4" s="3978"/>
      <c r="E4" s="4011" t="s">
        <v>791</v>
      </c>
      <c r="F4" s="4012"/>
      <c r="G4" s="3977" t="s">
        <v>792</v>
      </c>
      <c r="H4" s="3978"/>
      <c r="I4" s="3977" t="s">
        <v>793</v>
      </c>
      <c r="J4" s="3978"/>
      <c r="K4" s="506" t="s">
        <v>794</v>
      </c>
      <c r="L4" s="2013"/>
      <c r="M4" s="2014"/>
      <c r="N4" s="2014"/>
      <c r="O4" s="2014"/>
      <c r="P4" s="3979" t="s">
        <v>795</v>
      </c>
      <c r="Q4" s="3980"/>
      <c r="R4" s="3985" t="s">
        <v>791</v>
      </c>
      <c r="S4" s="3986"/>
      <c r="T4" s="3985" t="s">
        <v>792</v>
      </c>
      <c r="U4" s="3986"/>
      <c r="V4" s="3972" t="s">
        <v>793</v>
      </c>
      <c r="W4" s="3972"/>
      <c r="X4" s="1500"/>
      <c r="Y4" s="3985" t="s">
        <v>795</v>
      </c>
      <c r="Z4" s="3986"/>
      <c r="AA4" s="3974" t="s">
        <v>791</v>
      </c>
      <c r="AB4" s="3975" t="s">
        <v>792</v>
      </c>
      <c r="AC4" s="3974" t="s">
        <v>793</v>
      </c>
    </row>
    <row r="5" spans="1:29" ht="15">
      <c r="A5" s="507"/>
      <c r="B5" s="508"/>
      <c r="C5" s="3993" t="s">
        <v>2892</v>
      </c>
      <c r="D5" s="3994"/>
      <c r="E5" s="4013" t="s">
        <v>2893</v>
      </c>
      <c r="F5" s="4014"/>
      <c r="G5" s="3993" t="s">
        <v>2894</v>
      </c>
      <c r="H5" s="3994"/>
      <c r="I5" s="3993" t="s">
        <v>2895</v>
      </c>
      <c r="J5" s="3994"/>
      <c r="K5" s="506"/>
      <c r="L5" s="2013"/>
      <c r="M5" s="2014"/>
      <c r="N5" s="2014"/>
      <c r="O5" s="2014"/>
      <c r="P5" s="3981"/>
      <c r="Q5" s="3982"/>
      <c r="R5" s="3987"/>
      <c r="S5" s="3988"/>
      <c r="T5" s="3987"/>
      <c r="U5" s="3988"/>
      <c r="V5" s="3972"/>
      <c r="W5" s="3972"/>
      <c r="X5" s="1500"/>
      <c r="Y5" s="3987"/>
      <c r="Z5" s="3988"/>
      <c r="AA5" s="3975"/>
      <c r="AB5" s="3975"/>
      <c r="AC5" s="3975"/>
    </row>
    <row r="6" spans="1:29" ht="15.75" thickBot="1">
      <c r="A6" s="509"/>
      <c r="B6" s="510"/>
      <c r="C6" s="3991" t="s">
        <v>2896</v>
      </c>
      <c r="D6" s="3992"/>
      <c r="E6" s="4009" t="s">
        <v>2896</v>
      </c>
      <c r="F6" s="4010"/>
      <c r="G6" s="3991" t="s">
        <v>2896</v>
      </c>
      <c r="H6" s="3992"/>
      <c r="I6" s="3991" t="s">
        <v>2896</v>
      </c>
      <c r="J6" s="3992"/>
      <c r="K6" s="506" t="s">
        <v>520</v>
      </c>
      <c r="L6" s="2013"/>
      <c r="M6" s="2014"/>
      <c r="N6" s="2014"/>
      <c r="O6" s="2014"/>
      <c r="P6" s="3983"/>
      <c r="Q6" s="3984"/>
      <c r="R6" s="3987"/>
      <c r="S6" s="3988"/>
      <c r="T6" s="3989"/>
      <c r="U6" s="3990"/>
      <c r="V6" s="3972"/>
      <c r="W6" s="3972"/>
      <c r="X6" s="1500"/>
      <c r="Y6" s="3989"/>
      <c r="Z6" s="3990"/>
      <c r="AA6" s="3976"/>
      <c r="AB6" s="3976"/>
      <c r="AC6" s="3976"/>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4002" t="s">
        <v>522</v>
      </c>
      <c r="Q7" s="4004"/>
      <c r="R7" s="1501" t="s">
        <v>8</v>
      </c>
      <c r="S7" s="1502">
        <f t="shared" ref="S7:S14" si="0">F7</f>
        <v>0</v>
      </c>
      <c r="T7" s="1501" t="s">
        <v>8</v>
      </c>
      <c r="U7" s="1502">
        <f t="shared" ref="U7:U14" si="1">H7</f>
        <v>0</v>
      </c>
      <c r="V7" s="1501" t="s">
        <v>8</v>
      </c>
      <c r="W7" s="1502">
        <f t="shared" ref="W7:W14" si="2">J7</f>
        <v>0</v>
      </c>
      <c r="X7" s="1503"/>
      <c r="Y7" s="4002" t="s">
        <v>522</v>
      </c>
      <c r="Z7" s="4003"/>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4002" t="s">
        <v>525</v>
      </c>
      <c r="Q8" s="4003"/>
      <c r="R8" s="1501" t="s">
        <v>8</v>
      </c>
      <c r="S8" s="1502">
        <f t="shared" si="0"/>
        <v>0</v>
      </c>
      <c r="T8" s="1501" t="s">
        <v>8</v>
      </c>
      <c r="U8" s="1502">
        <f t="shared" si="1"/>
        <v>0</v>
      </c>
      <c r="V8" s="1501" t="s">
        <v>8</v>
      </c>
      <c r="W8" s="1502">
        <f t="shared" si="2"/>
        <v>0</v>
      </c>
      <c r="X8" s="1503"/>
      <c r="Y8" s="4002" t="s">
        <v>525</v>
      </c>
      <c r="Z8" s="4003"/>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71" t="s">
        <v>527</v>
      </c>
      <c r="Q9" s="1132" t="str">
        <f t="shared" ref="Q9:Q14" si="6">B9</f>
        <v>用途</v>
      </c>
      <c r="R9" s="1501" t="s">
        <v>8</v>
      </c>
      <c r="S9" s="1502">
        <f t="shared" si="0"/>
        <v>100</v>
      </c>
      <c r="T9" s="1501" t="s">
        <v>8</v>
      </c>
      <c r="U9" s="1502">
        <f t="shared" si="1"/>
        <v>100</v>
      </c>
      <c r="V9" s="1501" t="s">
        <v>8</v>
      </c>
      <c r="W9" s="1502">
        <f t="shared" si="2"/>
        <v>100</v>
      </c>
      <c r="X9" s="1503"/>
      <c r="Y9" s="391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71"/>
      <c r="Q10" s="1132" t="str">
        <f t="shared" si="6"/>
        <v>土地使用年限（年）</v>
      </c>
      <c r="R10" s="1501" t="s">
        <v>8</v>
      </c>
      <c r="S10" s="1502">
        <f t="shared" si="0"/>
        <v>100</v>
      </c>
      <c r="T10" s="1501" t="s">
        <v>8</v>
      </c>
      <c r="U10" s="1502">
        <f t="shared" si="1"/>
        <v>100</v>
      </c>
      <c r="V10" s="1501" t="s">
        <v>8</v>
      </c>
      <c r="W10" s="1502">
        <f t="shared" si="2"/>
        <v>100</v>
      </c>
      <c r="X10" s="1503"/>
      <c r="Y10" s="3917"/>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71"/>
      <c r="Q11" s="1132">
        <f t="shared" si="6"/>
        <v>111</v>
      </c>
      <c r="R11" s="1501" t="s">
        <v>8</v>
      </c>
      <c r="S11" s="1502">
        <f t="shared" si="0"/>
        <v>100</v>
      </c>
      <c r="T11" s="1501" t="s">
        <v>8</v>
      </c>
      <c r="U11" s="1502">
        <f t="shared" si="1"/>
        <v>100</v>
      </c>
      <c r="V11" s="1501" t="s">
        <v>8</v>
      </c>
      <c r="W11" s="1502">
        <f t="shared" si="2"/>
        <v>100</v>
      </c>
      <c r="X11" s="1503"/>
      <c r="Y11" s="3917"/>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71"/>
      <c r="Q12" s="1132">
        <f t="shared" si="6"/>
        <v>111</v>
      </c>
      <c r="R12" s="1501" t="s">
        <v>8</v>
      </c>
      <c r="S12" s="1502">
        <f t="shared" si="0"/>
        <v>100</v>
      </c>
      <c r="T12" s="1501" t="s">
        <v>8</v>
      </c>
      <c r="U12" s="1502">
        <f t="shared" si="1"/>
        <v>100</v>
      </c>
      <c r="V12" s="1501" t="s">
        <v>8</v>
      </c>
      <c r="W12" s="1502">
        <f t="shared" si="2"/>
        <v>100</v>
      </c>
      <c r="X12" s="1503"/>
      <c r="Y12" s="3917"/>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71"/>
      <c r="Q13" s="1132">
        <f t="shared" si="6"/>
        <v>111</v>
      </c>
      <c r="R13" s="1501" t="s">
        <v>8</v>
      </c>
      <c r="S13" s="1502">
        <f t="shared" si="0"/>
        <v>100</v>
      </c>
      <c r="T13" s="1501" t="s">
        <v>8</v>
      </c>
      <c r="U13" s="1502">
        <f t="shared" si="1"/>
        <v>100</v>
      </c>
      <c r="V13" s="1501" t="s">
        <v>8</v>
      </c>
      <c r="W13" s="1502">
        <f t="shared" si="2"/>
        <v>100</v>
      </c>
      <c r="X13" s="1503"/>
      <c r="Y13" s="3917"/>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05" t="s">
        <v>532</v>
      </c>
      <c r="Q14" s="1505" t="str">
        <f t="shared" si="6"/>
        <v>交通便捷度</v>
      </c>
      <c r="R14" s="1506" t="s">
        <v>8</v>
      </c>
      <c r="S14" s="1507">
        <f t="shared" si="0"/>
        <v>100</v>
      </c>
      <c r="T14" s="1506" t="s">
        <v>8</v>
      </c>
      <c r="U14" s="1507">
        <f t="shared" si="1"/>
        <v>100</v>
      </c>
      <c r="V14" s="1506" t="s">
        <v>8</v>
      </c>
      <c r="W14" s="1507">
        <f t="shared" si="2"/>
        <v>100</v>
      </c>
      <c r="X14" s="1500"/>
      <c r="Y14" s="400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06"/>
      <c r="Q15" s="1505"/>
      <c r="R15" s="1506"/>
      <c r="S15" s="1507"/>
      <c r="T15" s="1506"/>
      <c r="U15" s="1507"/>
      <c r="V15" s="1506"/>
      <c r="W15" s="1507"/>
      <c r="X15" s="1500"/>
      <c r="Y15" s="400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06"/>
      <c r="Q16" s="1505" t="str">
        <f>B16</f>
        <v>公共配套设施</v>
      </c>
      <c r="R16" s="1506" t="s">
        <v>8</v>
      </c>
      <c r="S16" s="1507">
        <f>F16</f>
        <v>100</v>
      </c>
      <c r="T16" s="1506" t="s">
        <v>8</v>
      </c>
      <c r="U16" s="1507">
        <f>H16</f>
        <v>100</v>
      </c>
      <c r="V16" s="1506" t="s">
        <v>8</v>
      </c>
      <c r="W16" s="1507">
        <f>J16</f>
        <v>100</v>
      </c>
      <c r="X16" s="1500"/>
      <c r="Y16" s="400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06"/>
      <c r="Q17" s="1505"/>
      <c r="R17" s="1506"/>
      <c r="S17" s="1507"/>
      <c r="T17" s="1506"/>
      <c r="U17" s="1507"/>
      <c r="V17" s="1506"/>
      <c r="W17" s="1507"/>
      <c r="X17" s="1500"/>
      <c r="Y17" s="400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06"/>
      <c r="Q18" s="2427" t="str">
        <f>B18</f>
        <v>基础设施水平</v>
      </c>
      <c r="R18" s="1506" t="s">
        <v>8</v>
      </c>
      <c r="S18" s="1507">
        <f>F18</f>
        <v>100</v>
      </c>
      <c r="T18" s="1506" t="s">
        <v>8</v>
      </c>
      <c r="U18" s="1507">
        <f>H18</f>
        <v>100</v>
      </c>
      <c r="V18" s="1506" t="s">
        <v>8</v>
      </c>
      <c r="W18" s="1507">
        <f>J18</f>
        <v>100</v>
      </c>
      <c r="X18" s="2429"/>
      <c r="Y18" s="400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06"/>
      <c r="Q19" s="2427"/>
      <c r="R19" s="1506"/>
      <c r="S19" s="1507"/>
      <c r="T19" s="1506"/>
      <c r="U19" s="1507"/>
      <c r="V19" s="1506"/>
      <c r="W19" s="1507"/>
      <c r="X19" s="2429"/>
      <c r="Y19" s="400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06"/>
      <c r="Q20" s="1505" t="str">
        <f>B20</f>
        <v>自然及人文环境</v>
      </c>
      <c r="R20" s="1506" t="s">
        <v>8</v>
      </c>
      <c r="S20" s="1507">
        <f>F20</f>
        <v>100</v>
      </c>
      <c r="T20" s="1506" t="s">
        <v>8</v>
      </c>
      <c r="U20" s="1507">
        <f>H20</f>
        <v>100</v>
      </c>
      <c r="V20" s="1506" t="s">
        <v>8</v>
      </c>
      <c r="W20" s="1507">
        <f>J20</f>
        <v>100</v>
      </c>
      <c r="X20" s="1500"/>
      <c r="Y20" s="400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06"/>
      <c r="Q21" s="1505"/>
      <c r="R21" s="1506"/>
      <c r="S21" s="1507"/>
      <c r="T21" s="1506"/>
      <c r="U21" s="1507"/>
      <c r="V21" s="1506"/>
      <c r="W21" s="1507"/>
      <c r="X21" s="1500"/>
      <c r="Y21" s="400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06"/>
      <c r="Q22" s="1505" t="str">
        <f>B22</f>
        <v>楼层</v>
      </c>
      <c r="R22" s="1506" t="s">
        <v>8</v>
      </c>
      <c r="S22" s="1507">
        <f>F22</f>
        <v>100</v>
      </c>
      <c r="T22" s="1506" t="s">
        <v>8</v>
      </c>
      <c r="U22" s="1507">
        <f>H22</f>
        <v>100</v>
      </c>
      <c r="V22" s="1506" t="s">
        <v>8</v>
      </c>
      <c r="W22" s="1507">
        <f>J22</f>
        <v>100</v>
      </c>
      <c r="X22" s="1500"/>
      <c r="Y22" s="400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06"/>
      <c r="Q23" s="1505">
        <f>B23</f>
        <v>111</v>
      </c>
      <c r="R23" s="1506" t="s">
        <v>8</v>
      </c>
      <c r="S23" s="1507">
        <f>F23</f>
        <v>100</v>
      </c>
      <c r="T23" s="1506" t="s">
        <v>8</v>
      </c>
      <c r="U23" s="1507">
        <f>H23</f>
        <v>100</v>
      </c>
      <c r="V23" s="1506" t="s">
        <v>8</v>
      </c>
      <c r="W23" s="1507">
        <f>J23</f>
        <v>100</v>
      </c>
      <c r="X23" s="1500"/>
      <c r="Y23" s="400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06"/>
      <c r="Q24" s="1505">
        <f t="shared" ref="Q24:Q34" si="11">B24</f>
        <v>111</v>
      </c>
      <c r="R24" s="1506" t="s">
        <v>8</v>
      </c>
      <c r="S24" s="1507">
        <f>F24</f>
        <v>100</v>
      </c>
      <c r="T24" s="1506" t="s">
        <v>8</v>
      </c>
      <c r="U24" s="1507">
        <f>H24</f>
        <v>100</v>
      </c>
      <c r="V24" s="1506" t="s">
        <v>8</v>
      </c>
      <c r="W24" s="1507">
        <f>J24</f>
        <v>100</v>
      </c>
      <c r="X24" s="1500"/>
      <c r="Y24" s="400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06"/>
      <c r="Q25" s="1132">
        <f t="shared" si="11"/>
        <v>111</v>
      </c>
      <c r="R25" s="1501" t="s">
        <v>8</v>
      </c>
      <c r="S25" s="1502">
        <f>F25</f>
        <v>100</v>
      </c>
      <c r="T25" s="1501" t="s">
        <v>8</v>
      </c>
      <c r="U25" s="1502">
        <f>H25</f>
        <v>100</v>
      </c>
      <c r="V25" s="1501" t="s">
        <v>8</v>
      </c>
      <c r="W25" s="1502">
        <f>J25</f>
        <v>100</v>
      </c>
      <c r="X25" s="1503"/>
      <c r="Y25" s="400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0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0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08"/>
      <c r="Q27" s="1534" t="str">
        <f t="shared" si="11"/>
        <v>成新率</v>
      </c>
      <c r="R27" s="1510" t="s">
        <v>8</v>
      </c>
      <c r="S27" s="1511" t="e">
        <f t="shared" si="12"/>
        <v>#N/A</v>
      </c>
      <c r="T27" s="1510" t="s">
        <v>8</v>
      </c>
      <c r="U27" s="1511" t="e">
        <f t="shared" si="13"/>
        <v>#N/A</v>
      </c>
      <c r="V27" s="1510" t="s">
        <v>8</v>
      </c>
      <c r="W27" s="1511" t="e">
        <f t="shared" si="14"/>
        <v>#N/A</v>
      </c>
      <c r="X27" s="1512"/>
      <c r="Y27" s="400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08"/>
      <c r="Q28" s="1505" t="str">
        <f t="shared" si="11"/>
        <v>物业等级</v>
      </c>
      <c r="R28" s="1506" t="s">
        <v>8</v>
      </c>
      <c r="S28" s="1507">
        <f t="shared" si="12"/>
        <v>100</v>
      </c>
      <c r="T28" s="1506" t="s">
        <v>8</v>
      </c>
      <c r="U28" s="1507">
        <f t="shared" si="13"/>
        <v>100</v>
      </c>
      <c r="V28" s="1506" t="s">
        <v>8</v>
      </c>
      <c r="W28" s="1507">
        <f t="shared" si="14"/>
        <v>100</v>
      </c>
      <c r="X28" s="1500"/>
      <c r="Y28" s="400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08"/>
      <c r="Q29" s="1505" t="str">
        <f t="shared" si="11"/>
        <v>有无电梯</v>
      </c>
      <c r="R29" s="1506" t="s">
        <v>8</v>
      </c>
      <c r="S29" s="1507">
        <f t="shared" si="12"/>
        <v>100</v>
      </c>
      <c r="T29" s="1506" t="s">
        <v>8</v>
      </c>
      <c r="U29" s="1507">
        <f t="shared" si="13"/>
        <v>100</v>
      </c>
      <c r="V29" s="1506" t="s">
        <v>8</v>
      </c>
      <c r="W29" s="1507">
        <f t="shared" si="14"/>
        <v>100</v>
      </c>
      <c r="X29" s="1500"/>
      <c r="Y29" s="400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08"/>
      <c r="Q30" s="1505" t="str">
        <f t="shared" si="11"/>
        <v>建筑面积</v>
      </c>
      <c r="R30" s="1506" t="s">
        <v>8</v>
      </c>
      <c r="S30" s="1507" t="e">
        <f t="shared" si="12"/>
        <v>#N/A</v>
      </c>
      <c r="T30" s="1506" t="s">
        <v>8</v>
      </c>
      <c r="U30" s="1507" t="e">
        <f t="shared" si="13"/>
        <v>#N/A</v>
      </c>
      <c r="V30" s="1506" t="s">
        <v>8</v>
      </c>
      <c r="W30" s="1507" t="e">
        <f t="shared" si="14"/>
        <v>#N/A</v>
      </c>
      <c r="X30" s="1500"/>
      <c r="Y30" s="400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08"/>
      <c r="Q31" s="1132" t="str">
        <f t="shared" si="11"/>
        <v>是否封闭</v>
      </c>
      <c r="R31" s="1501" t="s">
        <v>8</v>
      </c>
      <c r="S31" s="1502">
        <f t="shared" si="12"/>
        <v>100</v>
      </c>
      <c r="T31" s="1501" t="s">
        <v>8</v>
      </c>
      <c r="U31" s="1502">
        <f t="shared" si="13"/>
        <v>100</v>
      </c>
      <c r="V31" s="1501" t="s">
        <v>8</v>
      </c>
      <c r="W31" s="1502">
        <f t="shared" si="14"/>
        <v>100</v>
      </c>
      <c r="X31" s="1503"/>
      <c r="Y31" s="400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08" t="s">
        <v>542</v>
      </c>
      <c r="Q32" s="1505">
        <f t="shared" si="11"/>
        <v>111</v>
      </c>
      <c r="R32" s="1506" t="s">
        <v>8</v>
      </c>
      <c r="S32" s="1507">
        <f t="shared" si="12"/>
        <v>100</v>
      </c>
      <c r="T32" s="1506" t="s">
        <v>8</v>
      </c>
      <c r="U32" s="1507">
        <f t="shared" si="13"/>
        <v>100</v>
      </c>
      <c r="V32" s="1506" t="s">
        <v>8</v>
      </c>
      <c r="W32" s="1507">
        <f t="shared" si="14"/>
        <v>100</v>
      </c>
      <c r="X32" s="1500"/>
      <c r="Y32" s="400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08"/>
      <c r="Q33" s="1505">
        <f t="shared" si="11"/>
        <v>111</v>
      </c>
      <c r="R33" s="1506" t="s">
        <v>8</v>
      </c>
      <c r="S33" s="1507">
        <f t="shared" si="12"/>
        <v>100</v>
      </c>
      <c r="T33" s="1506" t="s">
        <v>8</v>
      </c>
      <c r="U33" s="1507">
        <f t="shared" si="13"/>
        <v>100</v>
      </c>
      <c r="V33" s="1506" t="s">
        <v>8</v>
      </c>
      <c r="W33" s="1507">
        <f t="shared" si="14"/>
        <v>100</v>
      </c>
      <c r="X33" s="1500"/>
      <c r="Y33" s="400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08"/>
      <c r="Q34" s="1505">
        <f t="shared" si="11"/>
        <v>111</v>
      </c>
      <c r="R34" s="1506" t="s">
        <v>8</v>
      </c>
      <c r="S34" s="1507">
        <f t="shared" si="12"/>
        <v>100</v>
      </c>
      <c r="T34" s="1506" t="s">
        <v>8</v>
      </c>
      <c r="U34" s="1507">
        <f t="shared" si="13"/>
        <v>100</v>
      </c>
      <c r="V34" s="1506" t="s">
        <v>8</v>
      </c>
      <c r="W34" s="1507">
        <f t="shared" si="14"/>
        <v>100</v>
      </c>
      <c r="X34" s="1500"/>
      <c r="Y34" s="400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71" t="str">
        <f>A35</f>
        <v>成交单价（元/平方米）</v>
      </c>
      <c r="Q35" s="3971"/>
      <c r="R35" s="4087">
        <f>E35</f>
        <v>0</v>
      </c>
      <c r="S35" s="4087"/>
      <c r="T35" s="4087">
        <f>G35</f>
        <v>0</v>
      </c>
      <c r="U35" s="4087"/>
      <c r="V35" s="4087">
        <f>I35</f>
        <v>0</v>
      </c>
      <c r="W35" s="4087"/>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71" t="str">
        <f>A36</f>
        <v>比较价格（元/平方米）</v>
      </c>
      <c r="Q36" s="3971"/>
      <c r="R36" s="4087" t="e">
        <f>IF(F1="售价",ROUND(PRODUCT(R35,AA7:AA34),0),ROUND(PRODUCT(R35,AA7:AA34),1))</f>
        <v>#DIV/0!</v>
      </c>
      <c r="S36" s="4087"/>
      <c r="T36" s="4087" t="e">
        <f>IF(F1="售价",ROUND(PRODUCT(T35,AB7:AB34),0),ROUND(PRODUCT(T35,AB7:AB34),1))</f>
        <v>#DIV/0!</v>
      </c>
      <c r="U36" s="4087"/>
      <c r="V36" s="4087" t="e">
        <f>IF(F1="售价",ROUND(PRODUCT(V35,AC7:AC34),0),ROUND(PRODUCT(V35,AC7:AC34),1))</f>
        <v>#DIV/0!</v>
      </c>
      <c r="W36" s="4087"/>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68" t="str">
        <f>A37</f>
        <v>估价对象XX用房的比较价格（楼面单价，元/平方米）</v>
      </c>
      <c r="Q37" s="3969"/>
      <c r="R37" s="4086" t="e">
        <f>IF(F1="售价",ROUND(IF(D36="简单平均",AVERAGE(R36:W36),R36*F36+T36*H36+V36*J36),0),ROUND(IF(D36="简单平均",AVERAGE(R36:V36),R36*F36+T36*H36+V36*J36),1))</f>
        <v>#DIV/0!</v>
      </c>
      <c r="S37" s="4086"/>
      <c r="T37" s="4086"/>
      <c r="U37" s="4086"/>
      <c r="V37" s="4086"/>
      <c r="W37" s="4086"/>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47" t="s">
        <v>2289</v>
      </c>
      <c r="D1" s="4148"/>
      <c r="E1" s="4148"/>
      <c r="F1" s="4148"/>
      <c r="G1" s="4148"/>
      <c r="H1" s="4148"/>
      <c r="I1" s="4148"/>
      <c r="J1" s="4148"/>
      <c r="K1" s="4148"/>
      <c r="L1" s="4148"/>
      <c r="M1" s="4148"/>
      <c r="N1" s="4148"/>
      <c r="O1" s="4148"/>
      <c r="P1" s="4148"/>
      <c r="Q1" s="4148"/>
      <c r="R1" s="4148"/>
      <c r="S1" s="4149"/>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4" t="s">
        <v>20</v>
      </c>
      <c r="D22" s="4145"/>
      <c r="E22" s="4145"/>
      <c r="F22" s="4145"/>
      <c r="G22" s="4145"/>
      <c r="H22" s="4145"/>
      <c r="I22" s="4145"/>
      <c r="J22" s="4145"/>
      <c r="K22" s="4145"/>
      <c r="L22" s="4145"/>
      <c r="M22" s="4145"/>
      <c r="N22" s="4145"/>
      <c r="O22" s="4145"/>
      <c r="P22" s="4145"/>
      <c r="Q22" s="4146"/>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1" t="s">
        <v>2051</v>
      </c>
      <c r="B1" s="3801"/>
      <c r="C1" s="3801"/>
      <c r="D1" s="3801"/>
    </row>
    <row r="2" spans="1:4" ht="47.25" customHeight="1">
      <c r="A2" s="3802" t="str">
        <f>"1.权利限制："&amp;项目基本情况!L24&amp;"未设定租赁等其他他项权利。"</f>
        <v>1.权利限制：根据估价对象《不动产权证书》原件、《国有土地使用权》复印件，截至估价期日，估价对象抵押权未见登记。未设定租赁等其他他项权利。</v>
      </c>
      <c r="B2" s="3802"/>
      <c r="C2" s="3802"/>
      <c r="D2" s="3802"/>
    </row>
    <row r="3" spans="1:4" ht="48" customHeight="1">
      <c r="A3" s="38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1"/>
      <c r="C3" s="3801"/>
      <c r="D3" s="3801"/>
    </row>
    <row r="4" spans="1:4" ht="36.75" customHeight="1">
      <c r="A4" s="3801" t="str">
        <f>"3.估价规划限制条件：详见"&amp;项目基本情况!E21&amp;"。"</f>
        <v>3.估价规划限制条件：详见《建设工程规划许可证》[]、《出让合同》[]。</v>
      </c>
      <c r="B4" s="3801"/>
      <c r="C4" s="3801"/>
      <c r="D4" s="3801"/>
    </row>
    <row r="5" spans="1:4">
      <c r="A5" s="3800" t="s">
        <v>2052</v>
      </c>
      <c r="B5" s="3800"/>
      <c r="C5" s="3800"/>
      <c r="D5" s="3800"/>
    </row>
    <row r="6" spans="1:4">
      <c r="A6" s="3801" t="s">
        <v>2030</v>
      </c>
      <c r="B6" s="3801"/>
      <c r="C6" s="3801"/>
      <c r="D6" s="3801"/>
    </row>
    <row r="7" spans="1:4" ht="33" customHeight="1">
      <c r="A7" s="3801" t="s">
        <v>2553</v>
      </c>
      <c r="B7" s="3801"/>
      <c r="C7" s="3801"/>
      <c r="D7" s="3801"/>
    </row>
    <row r="8" spans="1:4" ht="32.25" customHeight="1">
      <c r="A8" s="38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1"/>
      <c r="C8" s="3801"/>
      <c r="D8" s="3801"/>
    </row>
    <row r="9" spans="1:4" ht="33.75" customHeight="1">
      <c r="A9" s="3801" t="str">
        <f>IF(项目基本情况!B8="抵押","3.抵押双方在办理抵押登记手续时，应使用本公司出具的正式《土地估价报告》，特提请报告使用者注意。","——")</f>
        <v>——</v>
      </c>
      <c r="B9" s="3801"/>
      <c r="C9" s="3801"/>
      <c r="D9" s="3801"/>
    </row>
    <row r="10" spans="1:4">
      <c r="A10" s="3801" t="str">
        <f>IF(项目基本情况!B8="抵押","4.估价师所知悉的法定优先受偿款情况为：","——")</f>
        <v>——</v>
      </c>
      <c r="B10" s="3801"/>
      <c r="C10" s="3801"/>
      <c r="D10" s="3801"/>
    </row>
    <row r="11" spans="1:4" ht="37.5" customHeight="1">
      <c r="A11" s="3803" t="str">
        <f>IF(项目基本情况!B8="抵押","（1）"&amp;CONCATENATE(项目基本情况!L24,项目基本情况!L25,项目基本情况!L26),"——")</f>
        <v>——</v>
      </c>
      <c r="B11" s="3803"/>
      <c r="C11" s="3803"/>
      <c r="D11" s="3803"/>
    </row>
    <row r="12" spans="1:4" ht="168" customHeight="1">
      <c r="A12" s="3800" t="s">
        <v>2054</v>
      </c>
      <c r="B12" s="3800"/>
      <c r="C12" s="3800"/>
      <c r="D12" s="3800"/>
    </row>
    <row r="13" spans="1:4">
      <c r="A13" s="3804" t="s">
        <v>2724</v>
      </c>
      <c r="B13" s="3804"/>
      <c r="C13" s="3804"/>
      <c r="D13" s="3804"/>
    </row>
    <row r="14" spans="1:4">
      <c r="A14" s="3803" t="str">
        <f>IF(项目基本情况!B8="抵押","综上，"&amp;结果表!K47,"——")</f>
        <v>——</v>
      </c>
      <c r="B14" s="3803"/>
      <c r="C14" s="3803"/>
      <c r="D14" s="3803"/>
    </row>
    <row r="15" spans="1:4" ht="58.5" customHeight="1">
      <c r="A15" s="38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1"/>
      <c r="C15" s="3801"/>
      <c r="D15" s="3801"/>
    </row>
    <row r="16" spans="1:4" ht="70.5" customHeight="1">
      <c r="A16" s="38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1"/>
      <c r="C16" s="3801"/>
      <c r="D16" s="3801"/>
    </row>
    <row r="17" spans="1:4">
      <c r="A17" s="3801" t="s">
        <v>2680</v>
      </c>
      <c r="B17" s="3801"/>
      <c r="C17" s="3801"/>
      <c r="D17" s="3801"/>
    </row>
    <row r="18" spans="1:4">
      <c r="A18" s="3801" t="s">
        <v>2672</v>
      </c>
      <c r="B18" s="3801"/>
      <c r="C18" s="3801"/>
      <c r="D18" s="3801"/>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1" t="s">
        <v>2677</v>
      </c>
      <c r="B23" s="3801"/>
      <c r="C23" s="3801"/>
      <c r="D23" s="3801"/>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2" t="s">
        <v>53</v>
      </c>
      <c r="B15" s="3813" t="s">
        <v>836</v>
      </c>
      <c r="C15" s="3809"/>
    </row>
    <row r="16" spans="1:7" ht="14.25">
      <c r="A16" s="3812"/>
      <c r="B16" s="3810" t="s">
        <v>54</v>
      </c>
      <c r="C16" s="1153" t="s">
        <v>53</v>
      </c>
    </row>
    <row r="17" spans="1:3" ht="14.25">
      <c r="A17" s="3812"/>
      <c r="B17" s="3810"/>
      <c r="C17" s="1153" t="s">
        <v>55</v>
      </c>
    </row>
    <row r="18" spans="1:3" ht="14.25">
      <c r="A18" s="3812"/>
      <c r="B18" s="3810"/>
      <c r="C18" s="1153" t="s">
        <v>56</v>
      </c>
    </row>
    <row r="19" spans="1:3" ht="14.25">
      <c r="A19" s="3812"/>
      <c r="B19" s="3808" t="s">
        <v>57</v>
      </c>
      <c r="C19" s="3809"/>
    </row>
    <row r="20" spans="1:3" ht="14.25">
      <c r="A20" s="1154" t="s">
        <v>58</v>
      </c>
      <c r="B20" s="1155"/>
      <c r="C20" s="1156"/>
    </row>
    <row r="21" spans="1:3" ht="14.25">
      <c r="A21" s="3811" t="s">
        <v>59</v>
      </c>
      <c r="B21" s="3808" t="s">
        <v>60</v>
      </c>
      <c r="C21" s="3809"/>
    </row>
    <row r="22" spans="1:3" ht="14.25">
      <c r="A22" s="3811"/>
      <c r="B22" s="3808" t="s">
        <v>61</v>
      </c>
      <c r="C22" s="3809"/>
    </row>
    <row r="23" spans="1:3" ht="14.25">
      <c r="A23" s="3811"/>
      <c r="B23" s="3808" t="s">
        <v>62</v>
      </c>
      <c r="C23" s="3809"/>
    </row>
    <row r="24" spans="1:3" ht="14.25">
      <c r="A24" s="3811"/>
      <c r="B24" s="3814" t="s">
        <v>63</v>
      </c>
      <c r="C24" s="1157" t="s">
        <v>827</v>
      </c>
    </row>
    <row r="25" spans="1:3" ht="14.25">
      <c r="A25" s="3811"/>
      <c r="B25" s="3815"/>
      <c r="C25" s="1157" t="s">
        <v>828</v>
      </c>
    </row>
    <row r="26" spans="1:3" ht="14.25">
      <c r="A26" s="3811"/>
      <c r="B26" s="3815"/>
      <c r="C26" s="1157" t="s">
        <v>829</v>
      </c>
    </row>
    <row r="27" spans="1:3" ht="14.25">
      <c r="A27" s="3811"/>
      <c r="B27" s="3815"/>
      <c r="C27" s="1157" t="s">
        <v>830</v>
      </c>
    </row>
    <row r="28" spans="1:3" ht="14.25">
      <c r="A28" s="3811"/>
      <c r="B28" s="3815"/>
      <c r="C28" s="1157" t="s">
        <v>831</v>
      </c>
    </row>
    <row r="29" spans="1:3" ht="14.25">
      <c r="A29" s="3811"/>
      <c r="B29" s="3815"/>
      <c r="C29" s="1157" t="s">
        <v>832</v>
      </c>
    </row>
    <row r="30" spans="1:3" ht="14.25">
      <c r="A30" s="3811"/>
      <c r="B30" s="3815"/>
      <c r="C30" s="1157" t="s">
        <v>833</v>
      </c>
    </row>
    <row r="31" spans="1:3" ht="14.25">
      <c r="A31" s="3811"/>
      <c r="B31" s="3815"/>
      <c r="C31" s="1157" t="s">
        <v>834</v>
      </c>
    </row>
    <row r="32" spans="1:3" ht="14.25">
      <c r="A32" s="3811"/>
      <c r="B32" s="3815"/>
      <c r="C32" s="1157" t="s">
        <v>1634</v>
      </c>
    </row>
    <row r="33" spans="1:3" ht="14.25">
      <c r="A33" s="3811"/>
      <c r="B33" s="3805" t="s">
        <v>1640</v>
      </c>
      <c r="C33" s="1157" t="s">
        <v>1635</v>
      </c>
    </row>
    <row r="34" spans="1:3" ht="14.25">
      <c r="A34" s="3811"/>
      <c r="B34" s="3806"/>
      <c r="C34" s="1162" t="s">
        <v>1636</v>
      </c>
    </row>
    <row r="35" spans="1:3" ht="14.25">
      <c r="A35" s="3811"/>
      <c r="B35" s="3806"/>
      <c r="C35" s="1163" t="s">
        <v>1637</v>
      </c>
    </row>
    <row r="36" spans="1:3" ht="14.25">
      <c r="A36" s="3811"/>
      <c r="B36" s="3806"/>
      <c r="C36" s="1163" t="s">
        <v>1638</v>
      </c>
    </row>
    <row r="37" spans="1:3" ht="14.25">
      <c r="A37" s="3811"/>
      <c r="B37" s="380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44559</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f ca="1">IF(C10&lt;B2,"已过期",1120100036)</f>
        <v>1120100036</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19" t="s">
        <v>1912</v>
      </c>
      <c r="B17" s="3820"/>
      <c r="C17" s="3820"/>
      <c r="D17" s="3820"/>
      <c r="E17" s="3820"/>
      <c r="F17" s="3820"/>
      <c r="G17" s="3023"/>
    </row>
    <row r="18" spans="1:7" ht="20.25" customHeight="1">
      <c r="A18" s="3816" t="s">
        <v>1913</v>
      </c>
      <c r="B18" s="3816"/>
      <c r="C18" s="3817"/>
      <c r="D18" s="3818" t="s">
        <v>1914</v>
      </c>
      <c r="E18" s="3816"/>
      <c r="F18" s="3816"/>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83" priority="149">
      <formula>AND($C5-TODAY()&lt;30,TODAY()&lt;$C5)</formula>
    </cfRule>
  </conditionalFormatting>
  <conditionalFormatting sqref="C20">
    <cfRule type="expression" dxfId="282" priority="148">
      <formula>AND($C20-TODAY()&lt;30,TODAY()&lt;$C20)</formula>
    </cfRule>
  </conditionalFormatting>
  <conditionalFormatting sqref="C20 F4 C5 C13">
    <cfRule type="cellIs" dxfId="281" priority="150" stopIfTrue="1" operator="lessThan">
      <formula>$B$2</formula>
    </cfRule>
  </conditionalFormatting>
  <conditionalFormatting sqref="F5 F7 F9">
    <cfRule type="cellIs" dxfId="280" priority="144" stopIfTrue="1" operator="lessThan">
      <formula>$B$2</formula>
    </cfRule>
  </conditionalFormatting>
  <conditionalFormatting sqref="C16:D16">
    <cfRule type="expression" dxfId="279" priority="142">
      <formula>AND($C16-TODAY()&lt;30,TODAY()&lt;$C16)</formula>
    </cfRule>
  </conditionalFormatting>
  <conditionalFormatting sqref="F6 F8 F10 C16:D16">
    <cfRule type="cellIs" dxfId="278" priority="143" stopIfTrue="1" operator="lessThan">
      <formula>$B$2</formula>
    </cfRule>
  </conditionalFormatting>
  <conditionalFormatting sqref="F14">
    <cfRule type="cellIs" dxfId="277" priority="114" stopIfTrue="1" operator="lessThan">
      <formula>$B$2</formula>
    </cfRule>
  </conditionalFormatting>
  <conditionalFormatting sqref="F13">
    <cfRule type="cellIs" dxfId="276" priority="113" stopIfTrue="1" operator="lessThan">
      <formula>$B$2</formula>
    </cfRule>
  </conditionalFormatting>
  <conditionalFormatting sqref="B4:B11 E4:E11 E13:E15 B13:B15">
    <cfRule type="cellIs" dxfId="275" priority="111" stopIfTrue="1" operator="equal">
      <formula>"已过期"</formula>
    </cfRule>
  </conditionalFormatting>
  <conditionalFormatting sqref="F20">
    <cfRule type="cellIs" dxfId="274" priority="108" stopIfTrue="1" operator="lessThan">
      <formula>$B$2</formula>
    </cfRule>
  </conditionalFormatting>
  <conditionalFormatting sqref="F20">
    <cfRule type="expression" dxfId="273" priority="152">
      <formula>AND($E20-TODAY()&lt;30,TODAY()&lt;$E20)</formula>
    </cfRule>
  </conditionalFormatting>
  <conditionalFormatting sqref="C6">
    <cfRule type="expression" dxfId="272" priority="82">
      <formula>AND($C6-TODAY()&lt;30,TODAY()&lt;$C6)</formula>
    </cfRule>
  </conditionalFormatting>
  <conditionalFormatting sqref="C6">
    <cfRule type="cellIs" dxfId="271" priority="83" stopIfTrue="1" operator="lessThan">
      <formula>$B$2</formula>
    </cfRule>
  </conditionalFormatting>
  <conditionalFormatting sqref="C11 C15">
    <cfRule type="expression" dxfId="270" priority="80">
      <formula>AND($C11-TODAY()&lt;30,TODAY()&lt;$C11)</formula>
    </cfRule>
  </conditionalFormatting>
  <conditionalFormatting sqref="C11 C15">
    <cfRule type="cellIs" dxfId="269" priority="81" stopIfTrue="1" operator="lessThan">
      <formula>$B$2</formula>
    </cfRule>
  </conditionalFormatting>
  <conditionalFormatting sqref="F11">
    <cfRule type="cellIs" dxfId="268" priority="79" stopIfTrue="1" operator="lessThan">
      <formula>$B$2</formula>
    </cfRule>
  </conditionalFormatting>
  <conditionalFormatting sqref="C14">
    <cfRule type="expression" dxfId="267" priority="60">
      <formula>AND($C14-TODAY()&lt;30,TODAY()&lt;$C14)</formula>
    </cfRule>
  </conditionalFormatting>
  <conditionalFormatting sqref="C14">
    <cfRule type="cellIs" dxfId="266" priority="61" stopIfTrue="1" operator="lessThan">
      <formula>$B$2</formula>
    </cfRule>
  </conditionalFormatting>
  <conditionalFormatting sqref="C12">
    <cfRule type="cellIs" dxfId="265" priority="54" stopIfTrue="1" operator="lessThan">
      <formula>$B$2</formula>
    </cfRule>
  </conditionalFormatting>
  <conditionalFormatting sqref="C12">
    <cfRule type="expression" dxfId="264" priority="51">
      <formula>AND($C12-TODAY()&lt;30,TODAY()&lt;$C12)</formula>
    </cfRule>
  </conditionalFormatting>
  <conditionalFormatting sqref="C12">
    <cfRule type="cellIs" dxfId="263" priority="52" stopIfTrue="1" operator="lessThan">
      <formula>$B$2</formula>
    </cfRule>
  </conditionalFormatting>
  <conditionalFormatting sqref="B12">
    <cfRule type="cellIs" dxfId="262" priority="48" stopIfTrue="1" operator="equal">
      <formula>"已过期"</formula>
    </cfRule>
  </conditionalFormatting>
  <conditionalFormatting sqref="E12">
    <cfRule type="cellIs" dxfId="261" priority="38" stopIfTrue="1" operator="equal">
      <formula>"已过期"</formula>
    </cfRule>
  </conditionalFormatting>
  <conditionalFormatting sqref="F12">
    <cfRule type="cellIs" dxfId="260" priority="37" stopIfTrue="1" operator="lessThan">
      <formula>$B$2</formula>
    </cfRule>
  </conditionalFormatting>
  <conditionalFormatting sqref="C9:C10">
    <cfRule type="expression" dxfId="259" priority="33">
      <formula>AND($C9-TODAY()&lt;30,TODAY()&lt;$C9)</formula>
    </cfRule>
  </conditionalFormatting>
  <conditionalFormatting sqref="C9:C10">
    <cfRule type="cellIs" dxfId="258" priority="34" stopIfTrue="1" operator="lessThan">
      <formula>$B$2</formula>
    </cfRule>
  </conditionalFormatting>
  <conditionalFormatting sqref="F21">
    <cfRule type="cellIs" dxfId="257" priority="13" stopIfTrue="1" operator="lessThan">
      <formula>$B$2</formula>
    </cfRule>
  </conditionalFormatting>
  <conditionalFormatting sqref="F21">
    <cfRule type="expression" dxfId="256" priority="14">
      <formula>AND($E21-TODAY()&lt;30,TODAY()&lt;$E21)</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7:C8">
    <cfRule type="expression" dxfId="253" priority="3">
      <formula>AND($C7-TODAY()&lt;30,TODAY()&lt;$C7)</formula>
    </cfRule>
  </conditionalFormatting>
  <conditionalFormatting sqref="C7:C8">
    <cfRule type="cellIs" dxfId="252" priority="4" stopIfTrue="1" operator="lessThan">
      <formula>$B$2</formula>
    </cfRule>
  </conditionalFormatting>
  <conditionalFormatting sqref="C4">
    <cfRule type="expression" dxfId="251" priority="1">
      <formula>AND($C4-TODAY()&lt;30,TODAY()&lt;$C4)</formula>
    </cfRule>
  </conditionalFormatting>
  <conditionalFormatting sqref="C4">
    <cfRule type="cellIs" dxfId="25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3078</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3080</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1"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1"/>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1"/>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1"/>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1"/>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剩余法商业</vt:lpstr>
      <vt:lpstr>剩余法办公</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2021-12-29T11:06:40Z</dcterms:modified>
</cp:coreProperties>
</file>