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9" firstSheet="9"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结果表" sheetId="9" r:id="rId18"/>
    <sheet name="比较法-住宅" sheetId="21" r:id="rId19"/>
    <sheet name="成本法" sheetId="68" state="hidden" r:id="rId20"/>
    <sheet name="成本法 (元)" sheetId="69"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拆迁"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土地比较法" sheetId="80"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汇总" sheetId="77" state="hidden" r:id="rId46"/>
    <sheet name="土地案例2" sheetId="83" r:id="rId47"/>
    <sheet name="土地案例" sheetId="79" state="hidden" r:id="rId48"/>
    <sheet name="共有产权房案例位置图" sheetId="81" r:id="rId49"/>
    <sheet name="土地案例剥离" sheetId="82" state="hidden" r:id="rId50"/>
    <sheet name="Sheet2" sheetId="85" r:id="rId51"/>
    <sheet name="Sheet1" sheetId="84" r:id="rId52"/>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7" hidden="1">土地比较法!$A$1:$L$48</definedName>
    <definedName name="_xlnm._FilterDatabase" localSheetId="31" hidden="1">'土地比较法-拆迁'!$A$1:$L$48</definedName>
    <definedName name="_xlnm._FilterDatabase" localSheetId="32" hidden="1">'土地比较法-工业'!$A$1:$L$43</definedName>
    <definedName name="_xlnm._FilterDatabase" localSheetId="10" hidden="1">项目基本情况!$A$42:$N$42</definedName>
    <definedName name="_xlnm.Print_Area" localSheetId="20">'成本法 (元)'!$A$4:$G$52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37">土地比较法!$A$73:$M$73</definedName>
    <definedName name="套工交易情况">'土地比较法-拆迁'!$A$73:$M$73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37">土地比较法!$B$106:$M$106</definedName>
    <definedName name="套综道路等级">'土地比较法-拆迁'!$B$106:$M$106</definedName>
    <definedName name="套综工程地质条件" localSheetId="37">土地比较法!$B$125:$M$125</definedName>
    <definedName name="套综工程地质条件">'土地比较法-拆迁'!$B$125:$M$125</definedName>
    <definedName name="套综交易情况" localSheetId="37">土地比较法!$A$73:$M$73</definedName>
    <definedName name="套综交易情况">'土地比较法-拆迁'!$A$73:$M$73</definedName>
    <definedName name="套综临街宽度及深度" localSheetId="37">土地比较法!$B$121:$M$121</definedName>
    <definedName name="套综临街宽度及深度">'土地比较法-拆迁'!$B$121:$M$121</definedName>
    <definedName name="套综土地级别" localSheetId="37">土地比较法!$B$108:$M$108</definedName>
    <definedName name="套综土地级别">'土地比较法-拆迁'!$B$108:$M$108</definedName>
    <definedName name="套综用途" localSheetId="37">土地比较法!$B$75:$M$75</definedName>
    <definedName name="套综用途">'土地比较法-拆迁'!$B$75:$M$75</definedName>
    <definedName name="套综宗地内开发程度" localSheetId="37">土地比较法!$B$123:$M$123</definedName>
    <definedName name="套综宗地内开发程度">'土地比较法-拆迁'!$B$123:$M$123</definedName>
    <definedName name="套综宗地形状" localSheetId="37">土地比较法!$B$119:$M$119</definedName>
    <definedName name="套综宗地形状">'土地比较法-拆迁'!$B$119:$M$119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5" i="9" l="1"/>
  <c r="I38" i="80"/>
  <c r="C33" i="21"/>
  <c r="F19" i="6"/>
  <c r="C19" i="6"/>
  <c r="C46" i="84" l="1"/>
  <c r="B46" i="84"/>
  <c r="I46" i="80"/>
  <c r="G46" i="80"/>
  <c r="E46" i="80"/>
  <c r="P9" i="83" l="1"/>
  <c r="P11" i="83"/>
  <c r="P10" i="83"/>
  <c r="O10" i="77"/>
  <c r="Q10" i="77"/>
  <c r="P10" i="77" s="1"/>
  <c r="G38" i="80" l="1"/>
  <c r="E38" i="80"/>
  <c r="I11" i="80"/>
  <c r="G11" i="80"/>
  <c r="E11" i="80"/>
  <c r="C11" i="80"/>
  <c r="D75" i="80"/>
  <c r="C75" i="80"/>
  <c r="I9" i="80"/>
  <c r="G9" i="80"/>
  <c r="E75" i="80" s="1"/>
  <c r="I7" i="80"/>
  <c r="G7" i="80"/>
  <c r="E7" i="80"/>
  <c r="I5" i="80"/>
  <c r="G5" i="80"/>
  <c r="E5" i="80"/>
  <c r="O3" i="82" l="1"/>
  <c r="O10" i="82" l="1"/>
  <c r="H10" i="82"/>
  <c r="D10" i="82"/>
  <c r="G10" i="82" s="1"/>
  <c r="J10" i="82" s="1"/>
  <c r="P10" i="82" l="1"/>
  <c r="H7" i="82" l="1"/>
  <c r="H6" i="82"/>
  <c r="O5" i="82"/>
  <c r="P5" i="82" s="1"/>
  <c r="O4" i="82"/>
  <c r="G4" i="82"/>
  <c r="J4" i="82" s="1"/>
  <c r="G5" i="82"/>
  <c r="G3" i="82"/>
  <c r="J3" i="82" s="1"/>
  <c r="J5" i="82"/>
  <c r="P4" i="82" l="1"/>
  <c r="P3" i="82"/>
  <c r="P6" i="82" s="1"/>
  <c r="F14" i="77"/>
  <c r="F18" i="77" s="1"/>
  <c r="F13" i="77"/>
  <c r="F12" i="77"/>
  <c r="F11" i="77"/>
  <c r="F10" i="77"/>
  <c r="F6" i="77"/>
  <c r="F5" i="77"/>
  <c r="F4" i="77"/>
  <c r="F2" i="77"/>
  <c r="E18" i="77"/>
  <c r="R5" i="82" l="1"/>
  <c r="Q6" i="82" s="1"/>
  <c r="Q5" i="82"/>
  <c r="P11" i="82"/>
  <c r="R5" i="79"/>
  <c r="R6" i="79"/>
  <c r="R7" i="79"/>
  <c r="S5" i="79"/>
  <c r="S6" i="79"/>
  <c r="I53" i="80"/>
  <c r="J53" i="80" s="1"/>
  <c r="B131" i="80"/>
  <c r="B129" i="80"/>
  <c r="B127" i="80"/>
  <c r="D126" i="80"/>
  <c r="E126" i="80" s="1"/>
  <c r="F126" i="80" s="1"/>
  <c r="G126" i="80" s="1"/>
  <c r="H126" i="80" s="1"/>
  <c r="I126" i="80" s="1"/>
  <c r="J126" i="80" s="1"/>
  <c r="K126" i="80" s="1"/>
  <c r="L126" i="80" s="1"/>
  <c r="M126" i="80" s="1"/>
  <c r="D124" i="80"/>
  <c r="E124" i="80" s="1"/>
  <c r="F124" i="80" s="1"/>
  <c r="G124" i="80" s="1"/>
  <c r="H124" i="80" s="1"/>
  <c r="I124" i="80" s="1"/>
  <c r="J124" i="80" s="1"/>
  <c r="K124" i="80" s="1"/>
  <c r="L124" i="80" s="1"/>
  <c r="M124" i="80" s="1"/>
  <c r="D122" i="80"/>
  <c r="E122" i="80" s="1"/>
  <c r="F122" i="80" s="1"/>
  <c r="G122" i="80" s="1"/>
  <c r="H122" i="80" s="1"/>
  <c r="I122" i="80" s="1"/>
  <c r="J122" i="80" s="1"/>
  <c r="K122" i="80" s="1"/>
  <c r="L122" i="80" s="1"/>
  <c r="M122" i="80" s="1"/>
  <c r="D120" i="80"/>
  <c r="E120" i="80" s="1"/>
  <c r="F120" i="80" s="1"/>
  <c r="G120" i="80" s="1"/>
  <c r="H120" i="80" s="1"/>
  <c r="I120" i="80" s="1"/>
  <c r="J120" i="80" s="1"/>
  <c r="K120" i="80" s="1"/>
  <c r="L120" i="80" s="1"/>
  <c r="M120" i="80" s="1"/>
  <c r="M116" i="80"/>
  <c r="L116" i="80"/>
  <c r="K116" i="80"/>
  <c r="J116" i="80"/>
  <c r="I116" i="80"/>
  <c r="H116" i="80"/>
  <c r="G116" i="80"/>
  <c r="F116" i="80"/>
  <c r="E116" i="80"/>
  <c r="D116" i="80"/>
  <c r="C116" i="80"/>
  <c r="B114" i="80"/>
  <c r="B112" i="80"/>
  <c r="B110" i="80"/>
  <c r="E109" i="80"/>
  <c r="F109" i="80" s="1"/>
  <c r="G109" i="80" s="1"/>
  <c r="H109" i="80" s="1"/>
  <c r="I109" i="80" s="1"/>
  <c r="J109" i="80" s="1"/>
  <c r="K109" i="80" s="1"/>
  <c r="L109" i="80" s="1"/>
  <c r="M109" i="80" s="1"/>
  <c r="D109" i="80"/>
  <c r="D107" i="80"/>
  <c r="E107" i="80" s="1"/>
  <c r="D105" i="80"/>
  <c r="E105" i="80" s="1"/>
  <c r="F105" i="80" s="1"/>
  <c r="G105" i="80" s="1"/>
  <c r="H105" i="80" s="1"/>
  <c r="I105" i="80" s="1"/>
  <c r="J105" i="80" s="1"/>
  <c r="K105" i="80" s="1"/>
  <c r="L105" i="80" s="1"/>
  <c r="M105" i="80" s="1"/>
  <c r="B104" i="80"/>
  <c r="D103" i="80"/>
  <c r="E103" i="80" s="1"/>
  <c r="F103" i="80" s="1"/>
  <c r="G103" i="80" s="1"/>
  <c r="D101" i="80"/>
  <c r="E101" i="80" s="1"/>
  <c r="F101" i="80" s="1"/>
  <c r="G101" i="80" s="1"/>
  <c r="D99" i="80"/>
  <c r="E99" i="80" s="1"/>
  <c r="F99" i="80" s="1"/>
  <c r="G99" i="80" s="1"/>
  <c r="D97" i="80"/>
  <c r="E97" i="80" s="1"/>
  <c r="F97" i="80" s="1"/>
  <c r="G97" i="80" s="1"/>
  <c r="D95" i="80"/>
  <c r="E95" i="80" s="1"/>
  <c r="F95" i="80" s="1"/>
  <c r="G95" i="80" s="1"/>
  <c r="D93" i="80"/>
  <c r="E93" i="80" s="1"/>
  <c r="F93" i="80" s="1"/>
  <c r="G93" i="80" s="1"/>
  <c r="D91" i="80"/>
  <c r="E91" i="80" s="1"/>
  <c r="F91" i="80" s="1"/>
  <c r="G91" i="80" s="1"/>
  <c r="D89" i="80"/>
  <c r="E89" i="80" s="1"/>
  <c r="F89" i="80" s="1"/>
  <c r="G89" i="80" s="1"/>
  <c r="B86" i="80"/>
  <c r="J14" i="80" s="1"/>
  <c r="AC14" i="80" s="1"/>
  <c r="B84" i="80"/>
  <c r="B82" i="80"/>
  <c r="D81" i="80"/>
  <c r="E81" i="80" s="1"/>
  <c r="F81" i="80" s="1"/>
  <c r="G81" i="80" s="1"/>
  <c r="H81" i="80" s="1"/>
  <c r="I81" i="80" s="1"/>
  <c r="J81" i="80" s="1"/>
  <c r="K81" i="80" s="1"/>
  <c r="L81" i="80" s="1"/>
  <c r="M81" i="80" s="1"/>
  <c r="M79" i="80"/>
  <c r="L79" i="80"/>
  <c r="K79" i="80"/>
  <c r="J79" i="80"/>
  <c r="I79" i="80"/>
  <c r="H79" i="80"/>
  <c r="G79" i="80"/>
  <c r="F79" i="80"/>
  <c r="E79" i="80"/>
  <c r="D79" i="80"/>
  <c r="C79" i="80"/>
  <c r="H65" i="80"/>
  <c r="I65" i="80" s="1"/>
  <c r="C65" i="80" s="1"/>
  <c r="H64" i="80"/>
  <c r="I64" i="80" s="1"/>
  <c r="C64" i="80" s="1"/>
  <c r="H63" i="80"/>
  <c r="I63" i="80" s="1"/>
  <c r="C63" i="80" s="1"/>
  <c r="H62" i="80"/>
  <c r="I62" i="80" s="1"/>
  <c r="C62" i="80" s="1"/>
  <c r="H61" i="80"/>
  <c r="I61" i="80" s="1"/>
  <c r="C61" i="80" s="1"/>
  <c r="H60" i="80"/>
  <c r="I60" i="80" s="1"/>
  <c r="C60" i="80" s="1"/>
  <c r="H59" i="80"/>
  <c r="I59" i="80" s="1"/>
  <c r="C59" i="80" s="1"/>
  <c r="H58" i="80"/>
  <c r="I58" i="80" s="1"/>
  <c r="C58" i="80" s="1"/>
  <c r="H57" i="80"/>
  <c r="I57" i="80" s="1"/>
  <c r="C57" i="80" s="1"/>
  <c r="P48" i="80"/>
  <c r="P47" i="80"/>
  <c r="P46" i="80"/>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AC34" i="80"/>
  <c r="Q34" i="80"/>
  <c r="Z34" i="80" s="1"/>
  <c r="J34" i="80"/>
  <c r="W34" i="80" s="1"/>
  <c r="H34" i="80"/>
  <c r="AB34" i="80" s="1"/>
  <c r="F34" i="80"/>
  <c r="AA34" i="80" s="1"/>
  <c r="Q32" i="80"/>
  <c r="Z32" i="80" s="1"/>
  <c r="J32" i="80"/>
  <c r="AC32" i="80" s="1"/>
  <c r="F32" i="80"/>
  <c r="AA32" i="80" s="1"/>
  <c r="Q31" i="80"/>
  <c r="Z31" i="80" s="1"/>
  <c r="J31" i="80"/>
  <c r="AC31" i="80" s="1"/>
  <c r="H31" i="80"/>
  <c r="AB31" i="80" s="1"/>
  <c r="F31" i="80"/>
  <c r="AA31" i="80" s="1"/>
  <c r="Q29" i="80"/>
  <c r="Z29" i="80" s="1"/>
  <c r="J29" i="80"/>
  <c r="AC29" i="80" s="1"/>
  <c r="H29" i="80"/>
  <c r="AB29" i="80" s="1"/>
  <c r="F29" i="80"/>
  <c r="AA29" i="80" s="1"/>
  <c r="Q27" i="80"/>
  <c r="Z27" i="80" s="1"/>
  <c r="J27" i="80"/>
  <c r="H27" i="80"/>
  <c r="AB27" i="80" s="1"/>
  <c r="F27" i="80"/>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Q19" i="80"/>
  <c r="Z19" i="80" s="1"/>
  <c r="J19" i="80"/>
  <c r="AC19" i="80" s="1"/>
  <c r="H19" i="80"/>
  <c r="AB19" i="80" s="1"/>
  <c r="F19" i="80"/>
  <c r="AA19" i="80" s="1"/>
  <c r="Q17" i="80"/>
  <c r="Z17" i="80" s="1"/>
  <c r="J17" i="80"/>
  <c r="AC17" i="80" s="1"/>
  <c r="H17" i="80"/>
  <c r="AB17" i="80" s="1"/>
  <c r="F17" i="80"/>
  <c r="AA17" i="80" s="1"/>
  <c r="Q15" i="80"/>
  <c r="Z15" i="80" s="1"/>
  <c r="J15" i="80"/>
  <c r="AC15" i="80" s="1"/>
  <c r="H15" i="80"/>
  <c r="AB15" i="80" s="1"/>
  <c r="F15" i="80"/>
  <c r="AA15" i="80" s="1"/>
  <c r="Q14" i="80"/>
  <c r="Z14" i="80" s="1"/>
  <c r="AB14" i="80"/>
  <c r="Q13" i="80"/>
  <c r="Z13" i="80" s="1"/>
  <c r="AC13" i="80"/>
  <c r="AB13" i="80"/>
  <c r="F13" i="80"/>
  <c r="AA13" i="80" s="1"/>
  <c r="Q12" i="80"/>
  <c r="Z12" i="80" s="1"/>
  <c r="J12" i="80"/>
  <c r="AC12" i="80" s="1"/>
  <c r="H12" i="80"/>
  <c r="AB12" i="80" s="1"/>
  <c r="F12" i="80"/>
  <c r="AA12" i="80" s="1"/>
  <c r="Q11" i="80"/>
  <c r="Z11" i="80" s="1"/>
  <c r="Q10" i="80"/>
  <c r="Z10" i="80" s="1"/>
  <c r="Q9" i="80"/>
  <c r="Z9" i="80" s="1"/>
  <c r="AC9" i="80"/>
  <c r="AB9" i="80"/>
  <c r="F9" i="80"/>
  <c r="AA9" i="80" s="1"/>
  <c r="AC8" i="80"/>
  <c r="U8" i="80"/>
  <c r="F8" i="80"/>
  <c r="AA8" i="80" s="1"/>
  <c r="E46" i="39"/>
  <c r="S7" i="79"/>
  <c r="I46" i="39" s="1"/>
  <c r="I38" i="39"/>
  <c r="G38" i="39"/>
  <c r="E38" i="39"/>
  <c r="I5" i="39"/>
  <c r="G5" i="39"/>
  <c r="E5" i="39"/>
  <c r="Q7" i="79"/>
  <c r="Q6" i="79"/>
  <c r="Q5" i="79"/>
  <c r="S4" i="79"/>
  <c r="G46" i="39" s="1"/>
  <c r="R4" i="79"/>
  <c r="Q4" i="79" s="1"/>
  <c r="S3" i="79"/>
  <c r="R9" i="79" s="1"/>
  <c r="R3" i="79"/>
  <c r="R10" i="79" s="1"/>
  <c r="R11" i="79" s="1"/>
  <c r="Q3" i="79" l="1"/>
  <c r="U37" i="80"/>
  <c r="S8" i="80"/>
  <c r="W8" i="80"/>
  <c r="AA14" i="80"/>
  <c r="F107" i="80"/>
  <c r="G107" i="80" s="1"/>
  <c r="H107" i="80" s="1"/>
  <c r="I107" i="80" s="1"/>
  <c r="J107" i="80" s="1"/>
  <c r="K107" i="80" s="1"/>
  <c r="L107" i="80" s="1"/>
  <c r="M107" i="80" s="1"/>
  <c r="H32" i="80"/>
  <c r="U32" i="80" s="1"/>
  <c r="AB8" i="80"/>
  <c r="S9" i="80"/>
  <c r="W9" i="80"/>
  <c r="S12" i="80"/>
  <c r="W12" i="80"/>
  <c r="U13" i="80"/>
  <c r="W14" i="80"/>
  <c r="S15" i="80"/>
  <c r="W15" i="80"/>
  <c r="S17" i="80"/>
  <c r="W17" i="80"/>
  <c r="S19" i="80"/>
  <c r="W19" i="80"/>
  <c r="S21" i="80"/>
  <c r="W21" i="80"/>
  <c r="S23" i="80"/>
  <c r="W23" i="80"/>
  <c r="S25" i="80"/>
  <c r="W25" i="80"/>
  <c r="AA27" i="80"/>
  <c r="S27" i="80"/>
  <c r="AC27" i="80"/>
  <c r="W27" i="80"/>
  <c r="U27" i="80"/>
  <c r="U29" i="80"/>
  <c r="W31" i="80"/>
  <c r="S34" i="80"/>
  <c r="U35" i="80"/>
  <c r="W36" i="80"/>
  <c r="U39" i="80"/>
  <c r="W40" i="80"/>
  <c r="AA42" i="80"/>
  <c r="S42" i="80"/>
  <c r="U9" i="80"/>
  <c r="U12" i="80"/>
  <c r="S13" i="80"/>
  <c r="W13" i="80"/>
  <c r="U14" i="80"/>
  <c r="U15" i="80"/>
  <c r="U17" i="80"/>
  <c r="U19" i="80"/>
  <c r="U21" i="80"/>
  <c r="U23" i="80"/>
  <c r="U25" i="80"/>
  <c r="S31" i="80"/>
  <c r="S36" i="80"/>
  <c r="S40" i="80"/>
  <c r="U41" i="80"/>
  <c r="W42" i="80"/>
  <c r="U43" i="80"/>
  <c r="S44" i="80"/>
  <c r="W44" i="80"/>
  <c r="U45" i="80"/>
  <c r="R46" i="80"/>
  <c r="V46" i="80"/>
  <c r="G53" i="80"/>
  <c r="H53" i="80" s="1"/>
  <c r="S29" i="80"/>
  <c r="W29" i="80"/>
  <c r="U31" i="80"/>
  <c r="S32" i="80"/>
  <c r="W32" i="80"/>
  <c r="U34" i="80"/>
  <c r="S35" i="80"/>
  <c r="W35" i="80"/>
  <c r="U36" i="80"/>
  <c r="S37" i="80"/>
  <c r="W37" i="80"/>
  <c r="S39" i="80"/>
  <c r="W39" i="80"/>
  <c r="U40" i="80"/>
  <c r="S41" i="80"/>
  <c r="W41" i="80"/>
  <c r="U42" i="80"/>
  <c r="S43" i="80"/>
  <c r="W43" i="80"/>
  <c r="U44" i="80"/>
  <c r="S45" i="80"/>
  <c r="W45" i="80"/>
  <c r="C5" i="21"/>
  <c r="C5" i="80" s="1"/>
  <c r="S14" i="80" l="1"/>
  <c r="AB32" i="80"/>
  <c r="S38" i="80"/>
  <c r="W38" i="80"/>
  <c r="C38" i="39"/>
  <c r="E53" i="80"/>
  <c r="F53" i="80" s="1"/>
  <c r="T46" i="80"/>
  <c r="AB38" i="80"/>
  <c r="U38" i="80"/>
  <c r="AC38" i="80" l="1"/>
  <c r="AA38" i="80"/>
  <c r="B2" i="74" l="1"/>
  <c r="C14" i="74" s="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E13" i="71" s="1"/>
  <c r="E14" i="71" s="1"/>
  <c r="P13" i="71"/>
  <c r="P14" i="71"/>
  <c r="P15" i="71"/>
  <c r="P16" i="71"/>
  <c r="E17" i="71" s="1"/>
  <c r="E18" i="71" s="1"/>
  <c r="P17" i="71"/>
  <c r="P18" i="71"/>
  <c r="P19" i="71"/>
  <c r="P20" i="71"/>
  <c r="E21" i="71" s="1"/>
  <c r="E22" i="71" s="1"/>
  <c r="P21" i="71"/>
  <c r="P22" i="71"/>
  <c r="O6" i="71"/>
  <c r="O5" i="71"/>
  <c r="Y5" i="71" s="1"/>
  <c r="Z5" i="71" s="1"/>
  <c r="O7" i="71"/>
  <c r="O8" i="71"/>
  <c r="O9" i="71"/>
  <c r="O10" i="71"/>
  <c r="O11" i="71"/>
  <c r="C11" i="71" s="1"/>
  <c r="O12" i="71"/>
  <c r="O13" i="71"/>
  <c r="O14" i="71"/>
  <c r="O15" i="71"/>
  <c r="O16" i="71"/>
  <c r="O17" i="71"/>
  <c r="O18" i="71"/>
  <c r="O19" i="71"/>
  <c r="O20" i="71"/>
  <c r="O21" i="71"/>
  <c r="O22" i="71"/>
  <c r="F7" i="71"/>
  <c r="F6" i="71" s="1"/>
  <c r="F5" i="71" s="1"/>
  <c r="E7" i="71"/>
  <c r="E6" i="71"/>
  <c r="E5" i="71" s="1"/>
  <c r="C7" i="71"/>
  <c r="C6" i="71" s="1"/>
  <c r="B7" i="71"/>
  <c r="B6" i="71" s="1"/>
  <c r="B5" i="71" s="1"/>
  <c r="B2" i="1"/>
  <c r="D7" i="71"/>
  <c r="D8" i="71"/>
  <c r="B11" i="71"/>
  <c r="B10" i="71" s="1"/>
  <c r="B9" i="71" s="1"/>
  <c r="E11" i="71"/>
  <c r="E10" i="71"/>
  <c r="E9" i="71" s="1"/>
  <c r="F11" i="71"/>
  <c r="F10" i="71" s="1"/>
  <c r="F9" i="71" s="1"/>
  <c r="D12" i="71"/>
  <c r="B13" i="71"/>
  <c r="B14" i="71" s="1"/>
  <c r="B15" i="71" s="1"/>
  <c r="C13" i="71"/>
  <c r="D13" i="71" s="1"/>
  <c r="F13" i="71"/>
  <c r="F14" i="71" s="1"/>
  <c r="F15" i="71" s="1"/>
  <c r="D16" i="71"/>
  <c r="B17" i="71"/>
  <c r="B18" i="71" s="1"/>
  <c r="B19" i="71" s="1"/>
  <c r="C17" i="71"/>
  <c r="D17" i="71" s="1"/>
  <c r="F17" i="71"/>
  <c r="F18" i="71" s="1"/>
  <c r="F19" i="71" s="1"/>
  <c r="D20" i="71"/>
  <c r="B21" i="71"/>
  <c r="B22" i="71" s="1"/>
  <c r="B23" i="71" s="1"/>
  <c r="C21" i="71"/>
  <c r="D21" i="71" s="1"/>
  <c r="F21" i="71"/>
  <c r="F22" i="71" s="1"/>
  <c r="F23" i="71" s="1"/>
  <c r="M19" i="43"/>
  <c r="G2" i="43"/>
  <c r="C6" i="43" s="1"/>
  <c r="G17" i="43"/>
  <c r="I17" i="43"/>
  <c r="C17" i="43"/>
  <c r="G20" i="43"/>
  <c r="J20" i="43"/>
  <c r="I20" i="43"/>
  <c r="C20" i="43" s="1"/>
  <c r="C24" i="43"/>
  <c r="F39" i="43"/>
  <c r="F38" i="43"/>
  <c r="F37" i="43"/>
  <c r="D5" i="43"/>
  <c r="F36" i="43"/>
  <c r="F35" i="43"/>
  <c r="F34" i="43"/>
  <c r="M47" i="67"/>
  <c r="J53" i="67" s="1"/>
  <c r="M47" i="15"/>
  <c r="J53" i="15" s="1"/>
  <c r="C18" i="43"/>
  <c r="AD5" i="3"/>
  <c r="AH5" i="3"/>
  <c r="AL5" i="3"/>
  <c r="AP5" i="3"/>
  <c r="I5" i="3"/>
  <c r="F33" i="43"/>
  <c r="H33" i="43"/>
  <c r="D1" i="43"/>
  <c r="C10" i="43"/>
  <c r="C11" i="43" s="1"/>
  <c r="C9" i="43"/>
  <c r="C15" i="43"/>
  <c r="D15" i="43"/>
  <c r="C12" i="43" s="1"/>
  <c r="E15" i="43"/>
  <c r="F15" i="43"/>
  <c r="C99" i="43"/>
  <c r="C100" i="43" s="1"/>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F113" i="43"/>
  <c r="H113" i="43"/>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s="1"/>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A145" i="3"/>
  <c r="BM145" i="3"/>
  <c r="BN145" i="3"/>
  <c r="BO145" i="3"/>
  <c r="BP145" i="3"/>
  <c r="BQ145" i="3"/>
  <c r="BR145" i="3"/>
  <c r="BS145" i="3"/>
  <c r="BT145" i="3"/>
  <c r="BL145" i="3" s="1"/>
  <c r="AZ145" i="3" s="1"/>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L147" i="3" s="1"/>
  <c r="AZ147" i="3" s="1"/>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L150" i="3" s="1"/>
  <c r="AZ150" i="3" s="1"/>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L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L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L188" i="3" s="1"/>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L190" i="3" s="1"/>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L192" i="3" s="1"/>
  <c r="BO192" i="3"/>
  <c r="BP192" i="3"/>
  <c r="BQ192" i="3"/>
  <c r="BR192" i="3"/>
  <c r="BS192" i="3"/>
  <c r="BT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L194" i="3" s="1"/>
  <c r="BO194" i="3"/>
  <c r="BP194" i="3"/>
  <c r="BQ194" i="3"/>
  <c r="BR194" i="3"/>
  <c r="BS194" i="3"/>
  <c r="BT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L198" i="3" s="1"/>
  <c r="BO198" i="3"/>
  <c r="BP198" i="3"/>
  <c r="BQ198" i="3"/>
  <c r="BR198" i="3"/>
  <c r="BS198" i="3"/>
  <c r="BT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L200" i="3" s="1"/>
  <c r="BO200" i="3"/>
  <c r="BP200" i="3"/>
  <c r="BQ200" i="3"/>
  <c r="BR200" i="3"/>
  <c r="BS200" i="3"/>
  <c r="BT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L202" i="3" s="1"/>
  <c r="BO202" i="3"/>
  <c r="BP202" i="3"/>
  <c r="BQ202" i="3"/>
  <c r="BR202" i="3"/>
  <c r="BS202" i="3"/>
  <c r="BT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L204" i="3" s="1"/>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L206" i="3" s="1"/>
  <c r="BO206" i="3"/>
  <c r="BP206" i="3"/>
  <c r="BQ206" i="3"/>
  <c r="BR206" i="3"/>
  <c r="BS206" i="3"/>
  <c r="BT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L208" i="3" s="1"/>
  <c r="BO208" i="3"/>
  <c r="BP208" i="3"/>
  <c r="BQ208" i="3"/>
  <c r="BR208" i="3"/>
  <c r="BS208" i="3"/>
  <c r="BT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L210" i="3" s="1"/>
  <c r="BO210" i="3"/>
  <c r="BP210" i="3"/>
  <c r="BQ210" i="3"/>
  <c r="BR210" i="3"/>
  <c r="BS210" i="3"/>
  <c r="BT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L214" i="3" s="1"/>
  <c r="BO214" i="3"/>
  <c r="BP214" i="3"/>
  <c r="BQ214" i="3"/>
  <c r="BR214" i="3"/>
  <c r="BS214" i="3"/>
  <c r="BT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L216" i="3" s="1"/>
  <c r="BO216" i="3"/>
  <c r="BP216" i="3"/>
  <c r="BQ216" i="3"/>
  <c r="BR216" i="3"/>
  <c r="BS216" i="3"/>
  <c r="BT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L218" i="3" s="1"/>
  <c r="BO218" i="3"/>
  <c r="BP218" i="3"/>
  <c r="BQ218" i="3"/>
  <c r="BR218" i="3"/>
  <c r="BS218" i="3"/>
  <c r="BT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L220" i="3" s="1"/>
  <c r="BO220" i="3"/>
  <c r="BP220" i="3"/>
  <c r="BQ220" i="3"/>
  <c r="BR220" i="3"/>
  <c r="BS220" i="3"/>
  <c r="BT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L222" i="3" s="1"/>
  <c r="BO222" i="3"/>
  <c r="BP222" i="3"/>
  <c r="BQ222" i="3"/>
  <c r="BR222" i="3"/>
  <c r="BS222" i="3"/>
  <c r="BT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L224" i="3" s="1"/>
  <c r="BO224" i="3"/>
  <c r="BP224" i="3"/>
  <c r="BQ224" i="3"/>
  <c r="BR224" i="3"/>
  <c r="BS224" i="3"/>
  <c r="BT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L226" i="3" s="1"/>
  <c r="BO226" i="3"/>
  <c r="BP226" i="3"/>
  <c r="BQ226" i="3"/>
  <c r="BR226" i="3"/>
  <c r="BS226" i="3"/>
  <c r="BT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L228" i="3" s="1"/>
  <c r="BO228" i="3"/>
  <c r="BP228" i="3"/>
  <c r="BQ228" i="3"/>
  <c r="BR228" i="3"/>
  <c r="BS228" i="3"/>
  <c r="BT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L230" i="3" s="1"/>
  <c r="BO230" i="3"/>
  <c r="BP230" i="3"/>
  <c r="BQ230" i="3"/>
  <c r="BR230" i="3"/>
  <c r="BS230" i="3"/>
  <c r="BT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L232" i="3" s="1"/>
  <c r="BO232" i="3"/>
  <c r="BP232" i="3"/>
  <c r="BQ232" i="3"/>
  <c r="BR232" i="3"/>
  <c r="BS232" i="3"/>
  <c r="BT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L234" i="3" s="1"/>
  <c r="BO234" i="3"/>
  <c r="BP234" i="3"/>
  <c r="BQ234" i="3"/>
  <c r="BR234" i="3"/>
  <c r="BS234" i="3"/>
  <c r="BT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L236" i="3" s="1"/>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L238" i="3" s="1"/>
  <c r="BO238" i="3"/>
  <c r="BP238" i="3"/>
  <c r="BQ238" i="3"/>
  <c r="BR238" i="3"/>
  <c r="BS238" i="3"/>
  <c r="BT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L240" i="3" s="1"/>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L242" i="3" s="1"/>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L246" i="3" s="1"/>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A248" i="3" s="1"/>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A250" i="3" s="1"/>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A252" i="3" s="1"/>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A254" i="3" s="1"/>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A256" i="3" s="1"/>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A258" i="3" s="1"/>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A260" i="3" s="1"/>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A262" i="3" s="1"/>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A264" i="3" s="1"/>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A266" i="3" s="1"/>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A268" i="3" s="1"/>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A270" i="3" s="1"/>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A272" i="3" s="1"/>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A274" i="3" s="1"/>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A276" i="3" s="1"/>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A278" i="3" s="1"/>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A280" i="3" s="1"/>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A282" i="3" s="1"/>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A284" i="3" s="1"/>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A286" i="3" s="1"/>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A288" i="3" s="1"/>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A290" i="3" s="1"/>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A292" i="3" s="1"/>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A294" i="3" s="1"/>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A296" i="3" s="1"/>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A298" i="3" s="1"/>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A300" i="3" s="1"/>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A302" i="3" s="1"/>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A304" i="3" s="1"/>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A306" i="3" s="1"/>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A328" i="3" s="1"/>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A330" i="3" s="1"/>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A332" i="3" s="1"/>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A334" i="3" s="1"/>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A336" i="3" s="1"/>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A338" i="3" s="1"/>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A340" i="3" s="1"/>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A342" i="3" s="1"/>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A344" i="3" s="1"/>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A346" i="3" s="1"/>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A348" i="3" s="1"/>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A350" i="3" s="1"/>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A352" i="3" s="1"/>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A354" i="3" s="1"/>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A356" i="3" s="1"/>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A358" i="3" s="1"/>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A360" i="3" s="1"/>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A362" i="3" s="1"/>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A364" i="3" s="1"/>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A366" i="3" s="1"/>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A368" i="3" s="1"/>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A370" i="3" s="1"/>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A372" i="3" s="1"/>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A374" i="3" s="1"/>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A376" i="3" s="1"/>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A378" i="3" s="1"/>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A380" i="3" s="1"/>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A382" i="3" s="1"/>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A384" i="3" s="1"/>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A386" i="3" s="1"/>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A388" i="3" s="1"/>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A390" i="3" s="1"/>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A392" i="3" s="1"/>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A394" i="3" s="1"/>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A396" i="3" s="1"/>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A398" i="3" s="1"/>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A400" i="3" s="1"/>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A402" i="3" s="1"/>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A404" i="3" s="1"/>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A406" i="3" s="1"/>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A408" i="3" s="1"/>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A410" i="3" s="1"/>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A412" i="3" s="1"/>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A414" i="3" s="1"/>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A416" i="3" s="1"/>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A418" i="3" s="1"/>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A420" i="3" s="1"/>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s="1"/>
  <c r="BM422" i="3"/>
  <c r="BN422" i="3"/>
  <c r="BO422" i="3"/>
  <c r="BP422" i="3"/>
  <c r="BQ422" i="3"/>
  <c r="BR422" i="3"/>
  <c r="BS422" i="3"/>
  <c r="BT422" i="3"/>
  <c r="BB423" i="3"/>
  <c r="BC423" i="3"/>
  <c r="BD423" i="3"/>
  <c r="BE423" i="3"/>
  <c r="BF423" i="3"/>
  <c r="BG423" i="3"/>
  <c r="BH423" i="3"/>
  <c r="BI423" i="3"/>
  <c r="BJ423" i="3"/>
  <c r="BK423" i="3"/>
  <c r="BM423" i="3"/>
  <c r="BN423" i="3"/>
  <c r="BL423" i="3" s="1"/>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L425" i="3" s="1"/>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L427" i="3" s="1"/>
  <c r="BO427" i="3"/>
  <c r="BP427" i="3"/>
  <c r="BQ427" i="3"/>
  <c r="BR427" i="3"/>
  <c r="BS427" i="3"/>
  <c r="BT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L429" i="3" s="1"/>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L431" i="3" s="1"/>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L433" i="3" s="1"/>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L437" i="3" s="1"/>
  <c r="BO437" i="3"/>
  <c r="BP437" i="3"/>
  <c r="BQ437" i="3"/>
  <c r="BR437" i="3"/>
  <c r="BS437" i="3"/>
  <c r="BT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L439" i="3" s="1"/>
  <c r="BO439" i="3"/>
  <c r="BP439" i="3"/>
  <c r="BQ439" i="3"/>
  <c r="BR439" i="3"/>
  <c r="BS439" i="3"/>
  <c r="BT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L441" i="3" s="1"/>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L445" i="3" s="1"/>
  <c r="BO445" i="3"/>
  <c r="BP445" i="3"/>
  <c r="BQ445" i="3"/>
  <c r="BR445" i="3"/>
  <c r="BS445" i="3"/>
  <c r="BT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L447" i="3" s="1"/>
  <c r="BO447" i="3"/>
  <c r="BP447" i="3"/>
  <c r="BQ447" i="3"/>
  <c r="BR447" i="3"/>
  <c r="BS447" i="3"/>
  <c r="BT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L449" i="3" s="1"/>
  <c r="BO449" i="3"/>
  <c r="BP449" i="3"/>
  <c r="BQ449" i="3"/>
  <c r="BR449" i="3"/>
  <c r="BS449" i="3"/>
  <c r="BT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L451" i="3" s="1"/>
  <c r="BO451" i="3"/>
  <c r="BP451" i="3"/>
  <c r="BQ451" i="3"/>
  <c r="BR451" i="3"/>
  <c r="BS451" i="3"/>
  <c r="BT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L453" i="3" s="1"/>
  <c r="BO453" i="3"/>
  <c r="BP453" i="3"/>
  <c r="BQ453" i="3"/>
  <c r="BR453" i="3"/>
  <c r="BS453" i="3"/>
  <c r="BT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L455" i="3" s="1"/>
  <c r="BO455" i="3"/>
  <c r="BP455" i="3"/>
  <c r="BQ455" i="3"/>
  <c r="BR455" i="3"/>
  <c r="BS455" i="3"/>
  <c r="BT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L457" i="3" s="1"/>
  <c r="BO457" i="3"/>
  <c r="BP457" i="3"/>
  <c r="BQ457" i="3"/>
  <c r="BR457" i="3"/>
  <c r="BS457" i="3"/>
  <c r="BT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L459" i="3" s="1"/>
  <c r="BO459" i="3"/>
  <c r="BP459" i="3"/>
  <c r="BQ459" i="3"/>
  <c r="BR459" i="3"/>
  <c r="BS459" i="3"/>
  <c r="BT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L461" i="3" s="1"/>
  <c r="BO461" i="3"/>
  <c r="BP461" i="3"/>
  <c r="BQ461" i="3"/>
  <c r="BR461" i="3"/>
  <c r="BS461" i="3"/>
  <c r="BT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L463" i="3" s="1"/>
  <c r="BO463" i="3"/>
  <c r="BP463" i="3"/>
  <c r="BQ463" i="3"/>
  <c r="BR463" i="3"/>
  <c r="BS463" i="3"/>
  <c r="BT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L465" i="3" s="1"/>
  <c r="BO465" i="3"/>
  <c r="BP465" i="3"/>
  <c r="BQ465" i="3"/>
  <c r="BR465" i="3"/>
  <c r="BS465" i="3"/>
  <c r="BT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L467" i="3" s="1"/>
  <c r="BO467" i="3"/>
  <c r="BP467" i="3"/>
  <c r="BQ467" i="3"/>
  <c r="BR467" i="3"/>
  <c r="BS467" i="3"/>
  <c r="BT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N469" i="3"/>
  <c r="BL469" i="3" s="1"/>
  <c r="BO469" i="3"/>
  <c r="BP469" i="3"/>
  <c r="BQ469" i="3"/>
  <c r="BR469" i="3"/>
  <c r="BS469" i="3"/>
  <c r="BT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L471" i="3" s="1"/>
  <c r="BO471" i="3"/>
  <c r="BP471" i="3"/>
  <c r="BQ471" i="3"/>
  <c r="BR471" i="3"/>
  <c r="BS471" i="3"/>
  <c r="BT471" i="3"/>
  <c r="BB472" i="3"/>
  <c r="BC472" i="3"/>
  <c r="BD472" i="3"/>
  <c r="BE472" i="3"/>
  <c r="BF472" i="3"/>
  <c r="BG472" i="3"/>
  <c r="BH472" i="3"/>
  <c r="BI472" i="3"/>
  <c r="BJ472" i="3"/>
  <c r="BK472" i="3"/>
  <c r="BA472" i="3"/>
  <c r="BM472" i="3"/>
  <c r="BN472" i="3"/>
  <c r="BO472" i="3"/>
  <c r="BP472" i="3"/>
  <c r="BQ472" i="3"/>
  <c r="BR472" i="3"/>
  <c r="BS472" i="3"/>
  <c r="BT472" i="3"/>
  <c r="BB473" i="3"/>
  <c r="BC473" i="3"/>
  <c r="BD473" i="3"/>
  <c r="BE473" i="3"/>
  <c r="BF473" i="3"/>
  <c r="BG473" i="3"/>
  <c r="BH473" i="3"/>
  <c r="BI473" i="3"/>
  <c r="BJ473" i="3"/>
  <c r="BK473" i="3"/>
  <c r="BM473" i="3"/>
  <c r="BN473" i="3"/>
  <c r="BL473" i="3" s="1"/>
  <c r="BO473" i="3"/>
  <c r="BP473" i="3"/>
  <c r="BQ473" i="3"/>
  <c r="BR473" i="3"/>
  <c r="BS473" i="3"/>
  <c r="BT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L475" i="3" s="1"/>
  <c r="BO475" i="3"/>
  <c r="BP475" i="3"/>
  <c r="BQ475" i="3"/>
  <c r="BR475" i="3"/>
  <c r="BS475" i="3"/>
  <c r="BT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L477" i="3" s="1"/>
  <c r="BO477" i="3"/>
  <c r="BP477" i="3"/>
  <c r="BQ477" i="3"/>
  <c r="BR477" i="3"/>
  <c r="BS477" i="3"/>
  <c r="BT477" i="3"/>
  <c r="BB478" i="3"/>
  <c r="BC478" i="3"/>
  <c r="BD478" i="3"/>
  <c r="BE478" i="3"/>
  <c r="BF478" i="3"/>
  <c r="BG478" i="3"/>
  <c r="BH478" i="3"/>
  <c r="BI478" i="3"/>
  <c r="BJ478" i="3"/>
  <c r="BK478" i="3"/>
  <c r="BA478" i="3"/>
  <c r="BM478" i="3"/>
  <c r="BN478" i="3"/>
  <c r="BO478" i="3"/>
  <c r="BP478" i="3"/>
  <c r="BQ478" i="3"/>
  <c r="BR478" i="3"/>
  <c r="BS478" i="3"/>
  <c r="BT478" i="3"/>
  <c r="BB479" i="3"/>
  <c r="BC479" i="3"/>
  <c r="BD479" i="3"/>
  <c r="BE479" i="3"/>
  <c r="BF479" i="3"/>
  <c r="BG479" i="3"/>
  <c r="BH479" i="3"/>
  <c r="BI479" i="3"/>
  <c r="BJ479" i="3"/>
  <c r="BK479" i="3"/>
  <c r="BM479" i="3"/>
  <c r="BN479" i="3"/>
  <c r="BL479" i="3" s="1"/>
  <c r="BO479" i="3"/>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L481" i="3" s="1"/>
  <c r="BO481" i="3"/>
  <c r="BP481" i="3"/>
  <c r="BQ481" i="3"/>
  <c r="BR481" i="3"/>
  <c r="BS481" i="3"/>
  <c r="BT481" i="3"/>
  <c r="BB482" i="3"/>
  <c r="BC482" i="3"/>
  <c r="BD482" i="3"/>
  <c r="BE482" i="3"/>
  <c r="BF482" i="3"/>
  <c r="BG482" i="3"/>
  <c r="BH482" i="3"/>
  <c r="BI482" i="3"/>
  <c r="BJ482" i="3"/>
  <c r="BK482" i="3"/>
  <c r="BA482" i="3"/>
  <c r="BM482" i="3"/>
  <c r="BN482" i="3"/>
  <c r="BO482" i="3"/>
  <c r="BP482" i="3"/>
  <c r="BQ482" i="3"/>
  <c r="BR482" i="3"/>
  <c r="BS482" i="3"/>
  <c r="BT482" i="3"/>
  <c r="BB483" i="3"/>
  <c r="BC483" i="3"/>
  <c r="BD483" i="3"/>
  <c r="BE483" i="3"/>
  <c r="BF483" i="3"/>
  <c r="BG483" i="3"/>
  <c r="BH483" i="3"/>
  <c r="BI483" i="3"/>
  <c r="BJ483" i="3"/>
  <c r="BK483" i="3"/>
  <c r="BM483" i="3"/>
  <c r="BN483" i="3"/>
  <c r="BL483" i="3" s="1"/>
  <c r="BO483" i="3"/>
  <c r="BP483" i="3"/>
  <c r="BQ483" i="3"/>
  <c r="BR483" i="3"/>
  <c r="BS483" i="3"/>
  <c r="BT483" i="3"/>
  <c r="BB484" i="3"/>
  <c r="BC484" i="3"/>
  <c r="BD484" i="3"/>
  <c r="BE484" i="3"/>
  <c r="BF484" i="3"/>
  <c r="BG484" i="3"/>
  <c r="BH484" i="3"/>
  <c r="BI484" i="3"/>
  <c r="BJ484" i="3"/>
  <c r="BK484" i="3"/>
  <c r="BA484" i="3"/>
  <c r="BM484" i="3"/>
  <c r="BN484" i="3"/>
  <c r="BO484" i="3"/>
  <c r="BP484" i="3"/>
  <c r="BQ484" i="3"/>
  <c r="BR484" i="3"/>
  <c r="BS484" i="3"/>
  <c r="BT484" i="3"/>
  <c r="BB485" i="3"/>
  <c r="BC485" i="3"/>
  <c r="BD485" i="3"/>
  <c r="BE485" i="3"/>
  <c r="BF485" i="3"/>
  <c r="BG485" i="3"/>
  <c r="BH485" i="3"/>
  <c r="BI485" i="3"/>
  <c r="BJ485" i="3"/>
  <c r="BK485" i="3"/>
  <c r="BM485" i="3"/>
  <c r="BN485" i="3"/>
  <c r="BL485" i="3" s="1"/>
  <c r="BO485" i="3"/>
  <c r="BP485" i="3"/>
  <c r="BQ485" i="3"/>
  <c r="BR485" i="3"/>
  <c r="BS485" i="3"/>
  <c r="BT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L487" i="3" s="1"/>
  <c r="BO487" i="3"/>
  <c r="BP487" i="3"/>
  <c r="BQ487" i="3"/>
  <c r="BR487" i="3"/>
  <c r="BS487" i="3"/>
  <c r="BT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L489" i="3" s="1"/>
  <c r="BO489" i="3"/>
  <c r="BP489" i="3"/>
  <c r="BQ489" i="3"/>
  <c r="BR489" i="3"/>
  <c r="BS489" i="3"/>
  <c r="BT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L493" i="3" s="1"/>
  <c r="BO493" i="3"/>
  <c r="BP493" i="3"/>
  <c r="BQ493" i="3"/>
  <c r="BR493" i="3"/>
  <c r="BS493" i="3"/>
  <c r="BT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L495" i="3" s="1"/>
  <c r="BO495" i="3"/>
  <c r="BP495" i="3"/>
  <c r="BQ495" i="3"/>
  <c r="BR495" i="3"/>
  <c r="BS495" i="3"/>
  <c r="BT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L497" i="3" s="1"/>
  <c r="BO497" i="3"/>
  <c r="BP497" i="3"/>
  <c r="BQ497" i="3"/>
  <c r="BR497" i="3"/>
  <c r="BS497" i="3"/>
  <c r="BT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L499" i="3" s="1"/>
  <c r="BO499" i="3"/>
  <c r="BP499" i="3"/>
  <c r="BQ499" i="3"/>
  <c r="BR499" i="3"/>
  <c r="BS499" i="3"/>
  <c r="BT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L501" i="3" s="1"/>
  <c r="BO501" i="3"/>
  <c r="BP501" i="3"/>
  <c r="BQ501" i="3"/>
  <c r="BR501" i="3"/>
  <c r="BS501" i="3"/>
  <c r="BT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L503" i="3" s="1"/>
  <c r="BO503" i="3"/>
  <c r="BP503" i="3"/>
  <c r="BQ503" i="3"/>
  <c r="BR503" i="3"/>
  <c r="BS503" i="3"/>
  <c r="BT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L507" i="3" s="1"/>
  <c r="BO507" i="3"/>
  <c r="BP507" i="3"/>
  <c r="BQ507" i="3"/>
  <c r="BR507" i="3"/>
  <c r="BS507" i="3"/>
  <c r="BT507" i="3"/>
  <c r="BB508" i="3"/>
  <c r="BC508" i="3"/>
  <c r="BD508" i="3"/>
  <c r="BE508" i="3"/>
  <c r="BF508" i="3"/>
  <c r="BG508" i="3"/>
  <c r="BH508" i="3"/>
  <c r="BI508" i="3"/>
  <c r="BJ508" i="3"/>
  <c r="BK508" i="3"/>
  <c r="BA508" i="3"/>
  <c r="BM508" i="3"/>
  <c r="BN508" i="3"/>
  <c r="BO508" i="3"/>
  <c r="BP508" i="3"/>
  <c r="BQ508" i="3"/>
  <c r="BR508" i="3"/>
  <c r="BS508" i="3"/>
  <c r="BT508" i="3"/>
  <c r="BB509" i="3"/>
  <c r="BC509" i="3"/>
  <c r="BD509" i="3"/>
  <c r="BE509" i="3"/>
  <c r="BF509" i="3"/>
  <c r="BG509" i="3"/>
  <c r="BH509" i="3"/>
  <c r="BI509" i="3"/>
  <c r="BJ509" i="3"/>
  <c r="BK509" i="3"/>
  <c r="BM509" i="3"/>
  <c r="BN509" i="3"/>
  <c r="BL509" i="3" s="1"/>
  <c r="BO509" i="3"/>
  <c r="BP509" i="3"/>
  <c r="BQ509" i="3"/>
  <c r="BR509" i="3"/>
  <c r="BS509" i="3"/>
  <c r="BT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L511" i="3" s="1"/>
  <c r="BO511" i="3"/>
  <c r="BP511" i="3"/>
  <c r="BQ511" i="3"/>
  <c r="BR511" i="3"/>
  <c r="BS511" i="3"/>
  <c r="BT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L513" i="3" s="1"/>
  <c r="BO513" i="3"/>
  <c r="BP513" i="3"/>
  <c r="BQ513" i="3"/>
  <c r="BR513" i="3"/>
  <c r="BS513" i="3"/>
  <c r="BT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L515" i="3" s="1"/>
  <c r="BO515" i="3"/>
  <c r="BP515" i="3"/>
  <c r="BQ515" i="3"/>
  <c r="BR515" i="3"/>
  <c r="BS515" i="3"/>
  <c r="BT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L517" i="3" s="1"/>
  <c r="BO517" i="3"/>
  <c r="BP517" i="3"/>
  <c r="BQ517" i="3"/>
  <c r="BR517" i="3"/>
  <c r="BS517" i="3"/>
  <c r="BT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L519" i="3" s="1"/>
  <c r="BO519" i="3"/>
  <c r="BP519" i="3"/>
  <c r="BQ519" i="3"/>
  <c r="BR519" i="3"/>
  <c r="BS519" i="3"/>
  <c r="BT519" i="3"/>
  <c r="BB520" i="3"/>
  <c r="BC520" i="3"/>
  <c r="BD520" i="3"/>
  <c r="BE520" i="3"/>
  <c r="BF520" i="3"/>
  <c r="BG520" i="3"/>
  <c r="BH520" i="3"/>
  <c r="BI520" i="3"/>
  <c r="BJ520" i="3"/>
  <c r="BK520" i="3"/>
  <c r="BA520" i="3"/>
  <c r="BM520" i="3"/>
  <c r="BN520" i="3"/>
  <c r="BO520" i="3"/>
  <c r="BP520" i="3"/>
  <c r="BQ520" i="3"/>
  <c r="BR520" i="3"/>
  <c r="BS520" i="3"/>
  <c r="BT520" i="3"/>
  <c r="BB521" i="3"/>
  <c r="BC521" i="3"/>
  <c r="BD521" i="3"/>
  <c r="BE521" i="3"/>
  <c r="BF521" i="3"/>
  <c r="BG521" i="3"/>
  <c r="BH521" i="3"/>
  <c r="BI521" i="3"/>
  <c r="BJ521" i="3"/>
  <c r="BK521" i="3"/>
  <c r="BM521" i="3"/>
  <c r="BN521" i="3"/>
  <c r="BL521" i="3" s="1"/>
  <c r="BO521" i="3"/>
  <c r="BP521" i="3"/>
  <c r="BQ521" i="3"/>
  <c r="BR521" i="3"/>
  <c r="BS521" i="3"/>
  <c r="BT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L523" i="3" s="1"/>
  <c r="BO523" i="3"/>
  <c r="BP523" i="3"/>
  <c r="BQ523" i="3"/>
  <c r="BR523" i="3"/>
  <c r="BS523" i="3"/>
  <c r="BT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L525" i="3" s="1"/>
  <c r="BO525" i="3"/>
  <c r="BP525" i="3"/>
  <c r="BQ525" i="3"/>
  <c r="BR525" i="3"/>
  <c r="BS525" i="3"/>
  <c r="BT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L529" i="3" s="1"/>
  <c r="BO529" i="3"/>
  <c r="BP529" i="3"/>
  <c r="BQ529" i="3"/>
  <c r="BR529" i="3"/>
  <c r="BS529" i="3"/>
  <c r="BT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L531" i="3" s="1"/>
  <c r="BO531" i="3"/>
  <c r="BP531" i="3"/>
  <c r="BQ531" i="3"/>
  <c r="BR531" i="3"/>
  <c r="BS531" i="3"/>
  <c r="BT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L533" i="3" s="1"/>
  <c r="BO533" i="3"/>
  <c r="BP533" i="3"/>
  <c r="BQ533" i="3"/>
  <c r="BR533" i="3"/>
  <c r="BS533" i="3"/>
  <c r="BT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L535" i="3" s="1"/>
  <c r="BO535" i="3"/>
  <c r="BP535" i="3"/>
  <c r="BQ535" i="3"/>
  <c r="BR535" i="3"/>
  <c r="BS535" i="3"/>
  <c r="BT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L537" i="3" s="1"/>
  <c r="BO537" i="3"/>
  <c r="BP537" i="3"/>
  <c r="BQ537" i="3"/>
  <c r="BR537" i="3"/>
  <c r="BS537" i="3"/>
  <c r="BT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L539" i="3" s="1"/>
  <c r="BO539" i="3"/>
  <c r="BP539" i="3"/>
  <c r="BQ539" i="3"/>
  <c r="BR539" i="3"/>
  <c r="BS539" i="3"/>
  <c r="BT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L541" i="3" s="1"/>
  <c r="BO541" i="3"/>
  <c r="BP541" i="3"/>
  <c r="BQ541" i="3"/>
  <c r="BR541" i="3"/>
  <c r="BS541" i="3"/>
  <c r="BT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L543" i="3" s="1"/>
  <c r="BO543" i="3"/>
  <c r="BP543" i="3"/>
  <c r="BQ543" i="3"/>
  <c r="BR543" i="3"/>
  <c r="BS543" i="3"/>
  <c r="BT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L545" i="3" s="1"/>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L547" i="3" s="1"/>
  <c r="BO547" i="3"/>
  <c r="BP547" i="3"/>
  <c r="BQ547" i="3"/>
  <c r="BR547" i="3"/>
  <c r="BS547" i="3"/>
  <c r="BT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M549" i="3"/>
  <c r="BN549" i="3"/>
  <c r="BL549" i="3" s="1"/>
  <c r="BO549" i="3"/>
  <c r="BP549" i="3"/>
  <c r="BQ549" i="3"/>
  <c r="BR549" i="3"/>
  <c r="BS549" i="3"/>
  <c r="BT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L551" i="3" s="1"/>
  <c r="BO551" i="3"/>
  <c r="BP551" i="3"/>
  <c r="BQ551" i="3"/>
  <c r="BR551" i="3"/>
  <c r="BS551" i="3"/>
  <c r="BT551" i="3"/>
  <c r="BB552" i="3"/>
  <c r="BC552" i="3"/>
  <c r="BD552" i="3"/>
  <c r="BE552" i="3"/>
  <c r="BF552" i="3"/>
  <c r="BG552" i="3"/>
  <c r="BH552" i="3"/>
  <c r="BI552" i="3"/>
  <c r="BJ552" i="3"/>
  <c r="BK552" i="3"/>
  <c r="BA552" i="3"/>
  <c r="BM552" i="3"/>
  <c r="BN552" i="3"/>
  <c r="BO552" i="3"/>
  <c r="BP552" i="3"/>
  <c r="BQ552" i="3"/>
  <c r="BR552" i="3"/>
  <c r="BS552" i="3"/>
  <c r="BT552" i="3"/>
  <c r="BB553" i="3"/>
  <c r="BC553" i="3"/>
  <c r="BD553" i="3"/>
  <c r="BE553" i="3"/>
  <c r="BF553" i="3"/>
  <c r="BG553" i="3"/>
  <c r="BH553" i="3"/>
  <c r="BI553" i="3"/>
  <c r="BJ553" i="3"/>
  <c r="BK553" i="3"/>
  <c r="BM553" i="3"/>
  <c r="BN553" i="3"/>
  <c r="BL553" i="3" s="1"/>
  <c r="BO553" i="3"/>
  <c r="BP553" i="3"/>
  <c r="BQ553" i="3"/>
  <c r="BR553" i="3"/>
  <c r="BS553" i="3"/>
  <c r="BT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L555" i="3" s="1"/>
  <c r="BO555" i="3"/>
  <c r="BP555" i="3"/>
  <c r="BQ555" i="3"/>
  <c r="BR555" i="3"/>
  <c r="BS555" i="3"/>
  <c r="BT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L557" i="3" s="1"/>
  <c r="BO557" i="3"/>
  <c r="BP557" i="3"/>
  <c r="BQ557" i="3"/>
  <c r="BR557" i="3"/>
  <c r="BS557" i="3"/>
  <c r="BT557" i="3"/>
  <c r="BB558" i="3"/>
  <c r="BC558" i="3"/>
  <c r="BD558" i="3"/>
  <c r="BE558" i="3"/>
  <c r="BF558" i="3"/>
  <c r="BG558" i="3"/>
  <c r="BH558" i="3"/>
  <c r="BI558" i="3"/>
  <c r="BJ558" i="3"/>
  <c r="BK558" i="3"/>
  <c r="BA558" i="3"/>
  <c r="BM558" i="3"/>
  <c r="BN558" i="3"/>
  <c r="BO558" i="3"/>
  <c r="BP558" i="3"/>
  <c r="BQ558" i="3"/>
  <c r="BR558" i="3"/>
  <c r="BS558" i="3"/>
  <c r="BT558" i="3"/>
  <c r="BB559" i="3"/>
  <c r="BC559" i="3"/>
  <c r="BD559" i="3"/>
  <c r="BE559" i="3"/>
  <c r="BF559" i="3"/>
  <c r="BG559" i="3"/>
  <c r="BH559" i="3"/>
  <c r="BI559" i="3"/>
  <c r="BJ559" i="3"/>
  <c r="BK559" i="3"/>
  <c r="BM559" i="3"/>
  <c r="BN559" i="3"/>
  <c r="BL559" i="3" s="1"/>
  <c r="BO559" i="3"/>
  <c r="BP559" i="3"/>
  <c r="BQ559" i="3"/>
  <c r="BR559" i="3"/>
  <c r="BS559" i="3"/>
  <c r="BT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L561" i="3" s="1"/>
  <c r="BO561" i="3"/>
  <c r="BP561" i="3"/>
  <c r="BQ561" i="3"/>
  <c r="BR561" i="3"/>
  <c r="BS561" i="3"/>
  <c r="BT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L563" i="3" s="1"/>
  <c r="BO563" i="3"/>
  <c r="BP563" i="3"/>
  <c r="BQ563" i="3"/>
  <c r="BR563" i="3"/>
  <c r="BS563" i="3"/>
  <c r="BT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L565" i="3" s="1"/>
  <c r="BO565" i="3"/>
  <c r="BP565" i="3"/>
  <c r="BQ565" i="3"/>
  <c r="BR565" i="3"/>
  <c r="BS565" i="3"/>
  <c r="BT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L569" i="3" s="1"/>
  <c r="BO569" i="3"/>
  <c r="BP569" i="3"/>
  <c r="BQ569" i="3"/>
  <c r="BR569" i="3"/>
  <c r="BS569" i="3"/>
  <c r="BT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BB573" i="3"/>
  <c r="BC573" i="3"/>
  <c r="BD573" i="3"/>
  <c r="BE573" i="3"/>
  <c r="BF573" i="3"/>
  <c r="BG573" i="3"/>
  <c r="BH573" i="3"/>
  <c r="BI573" i="3"/>
  <c r="BJ573" i="3"/>
  <c r="BK573" i="3"/>
  <c r="BM573" i="3"/>
  <c r="BN573" i="3"/>
  <c r="BL573" i="3" s="1"/>
  <c r="BO573" i="3"/>
  <c r="BP573" i="3"/>
  <c r="BQ573" i="3"/>
  <c r="BR573" i="3"/>
  <c r="BS573" i="3"/>
  <c r="BT573" i="3"/>
  <c r="BB574" i="3"/>
  <c r="BC574" i="3"/>
  <c r="BD574" i="3"/>
  <c r="BE574" i="3"/>
  <c r="BF574" i="3"/>
  <c r="BG574" i="3"/>
  <c r="BH574" i="3"/>
  <c r="BI574" i="3"/>
  <c r="BJ574" i="3"/>
  <c r="BK574" i="3"/>
  <c r="BA574" i="3"/>
  <c r="BM574" i="3"/>
  <c r="BN574" i="3"/>
  <c r="BO574" i="3"/>
  <c r="BP574" i="3"/>
  <c r="BQ574" i="3"/>
  <c r="BR574" i="3"/>
  <c r="BS574" i="3"/>
  <c r="BT574" i="3"/>
  <c r="BB575" i="3"/>
  <c r="BC575" i="3"/>
  <c r="BD575" i="3"/>
  <c r="BE575" i="3"/>
  <c r="BF575" i="3"/>
  <c r="BG575" i="3"/>
  <c r="BH575" i="3"/>
  <c r="BI575" i="3"/>
  <c r="BJ575" i="3"/>
  <c r="BK575" i="3"/>
  <c r="BM575" i="3"/>
  <c r="BN575" i="3"/>
  <c r="BL575" i="3" s="1"/>
  <c r="BO575" i="3"/>
  <c r="BP575" i="3"/>
  <c r="BQ575" i="3"/>
  <c r="BR575" i="3"/>
  <c r="BS575" i="3"/>
  <c r="BT575" i="3"/>
  <c r="BB576" i="3"/>
  <c r="BC576" i="3"/>
  <c r="BD576" i="3"/>
  <c r="BE576" i="3"/>
  <c r="BF576" i="3"/>
  <c r="BG576" i="3"/>
  <c r="BH576" i="3"/>
  <c r="BI576" i="3"/>
  <c r="BJ576" i="3"/>
  <c r="BK576" i="3"/>
  <c r="BA576" i="3"/>
  <c r="BM576" i="3"/>
  <c r="BN576" i="3"/>
  <c r="BO576" i="3"/>
  <c r="BP576" i="3"/>
  <c r="BQ576" i="3"/>
  <c r="BR576" i="3"/>
  <c r="BS576" i="3"/>
  <c r="BT576" i="3"/>
  <c r="BB577" i="3"/>
  <c r="BC577" i="3"/>
  <c r="BD577" i="3"/>
  <c r="BE577" i="3"/>
  <c r="BF577" i="3"/>
  <c r="BG577" i="3"/>
  <c r="BH577" i="3"/>
  <c r="BI577" i="3"/>
  <c r="BJ577" i="3"/>
  <c r="BK577" i="3"/>
  <c r="BM577" i="3"/>
  <c r="BN577" i="3"/>
  <c r="BL577" i="3" s="1"/>
  <c r="BO577" i="3"/>
  <c r="BP577" i="3"/>
  <c r="BQ577" i="3"/>
  <c r="BR577" i="3"/>
  <c r="BS577" i="3"/>
  <c r="BT577" i="3"/>
  <c r="BB578" i="3"/>
  <c r="BC578" i="3"/>
  <c r="BD578" i="3"/>
  <c r="BE578" i="3"/>
  <c r="BF578" i="3"/>
  <c r="BG578" i="3"/>
  <c r="BH578" i="3"/>
  <c r="BI578" i="3"/>
  <c r="BJ578" i="3"/>
  <c r="BK578" i="3"/>
  <c r="BA578" i="3"/>
  <c r="BM578" i="3"/>
  <c r="BN578" i="3"/>
  <c r="BO578" i="3"/>
  <c r="BP578" i="3"/>
  <c r="BQ578" i="3"/>
  <c r="BR578" i="3"/>
  <c r="BS578" i="3"/>
  <c r="BT578" i="3"/>
  <c r="BB579" i="3"/>
  <c r="BC579" i="3"/>
  <c r="BD579" i="3"/>
  <c r="BE579" i="3"/>
  <c r="BF579" i="3"/>
  <c r="BG579" i="3"/>
  <c r="BH579" i="3"/>
  <c r="BI579" i="3"/>
  <c r="BJ579" i="3"/>
  <c r="BK579" i="3"/>
  <c r="BM579" i="3"/>
  <c r="BN579" i="3"/>
  <c r="BL579" i="3" s="1"/>
  <c r="BO579" i="3"/>
  <c r="BP579" i="3"/>
  <c r="BQ579" i="3"/>
  <c r="BR579" i="3"/>
  <c r="BS579" i="3"/>
  <c r="BT579" i="3"/>
  <c r="BB580" i="3"/>
  <c r="BC580" i="3"/>
  <c r="BD580" i="3"/>
  <c r="BE580" i="3"/>
  <c r="BF580" i="3"/>
  <c r="BG580" i="3"/>
  <c r="BH580" i="3"/>
  <c r="BI580" i="3"/>
  <c r="BJ580" i="3"/>
  <c r="BK580" i="3"/>
  <c r="BA580" i="3"/>
  <c r="BM580" i="3"/>
  <c r="BN580" i="3"/>
  <c r="BO580" i="3"/>
  <c r="BP580" i="3"/>
  <c r="BQ580" i="3"/>
  <c r="BR580" i="3"/>
  <c r="BS580" i="3"/>
  <c r="BT580" i="3"/>
  <c r="BB581" i="3"/>
  <c r="BC581" i="3"/>
  <c r="BD581" i="3"/>
  <c r="BE581" i="3"/>
  <c r="BF581" i="3"/>
  <c r="BG581" i="3"/>
  <c r="BH581" i="3"/>
  <c r="BI581" i="3"/>
  <c r="BJ581" i="3"/>
  <c r="BK581" i="3"/>
  <c r="BM581" i="3"/>
  <c r="BN581" i="3"/>
  <c r="BL581" i="3" s="1"/>
  <c r="BO581" i="3"/>
  <c r="BP581" i="3"/>
  <c r="BQ581" i="3"/>
  <c r="BR581" i="3"/>
  <c r="BS581" i="3"/>
  <c r="BT581" i="3"/>
  <c r="BB582" i="3"/>
  <c r="BC582" i="3"/>
  <c r="BD582" i="3"/>
  <c r="BE582" i="3"/>
  <c r="BF582" i="3"/>
  <c r="BG582" i="3"/>
  <c r="BH582" i="3"/>
  <c r="BI582" i="3"/>
  <c r="BJ582" i="3"/>
  <c r="BK582" i="3"/>
  <c r="BA582" i="3"/>
  <c r="BM582" i="3"/>
  <c r="BN582" i="3"/>
  <c r="BO582" i="3"/>
  <c r="BP582" i="3"/>
  <c r="BQ582" i="3"/>
  <c r="BR582" i="3"/>
  <c r="BS582" i="3"/>
  <c r="BT582" i="3"/>
  <c r="BB583" i="3"/>
  <c r="BC583" i="3"/>
  <c r="BD583" i="3"/>
  <c r="BE583" i="3"/>
  <c r="BF583" i="3"/>
  <c r="BG583" i="3"/>
  <c r="BH583" i="3"/>
  <c r="BI583" i="3"/>
  <c r="BJ583" i="3"/>
  <c r="BK583" i="3"/>
  <c r="BM583" i="3"/>
  <c r="BN583" i="3"/>
  <c r="BL583" i="3" s="1"/>
  <c r="BO583" i="3"/>
  <c r="BP583" i="3"/>
  <c r="BQ583" i="3"/>
  <c r="BR583" i="3"/>
  <c r="BS583" i="3"/>
  <c r="BT583" i="3"/>
  <c r="BB584" i="3"/>
  <c r="BC584" i="3"/>
  <c r="BD584" i="3"/>
  <c r="BE584" i="3"/>
  <c r="BF584" i="3"/>
  <c r="BG584" i="3"/>
  <c r="BH584" i="3"/>
  <c r="BI584" i="3"/>
  <c r="BJ584" i="3"/>
  <c r="BK584" i="3"/>
  <c r="BA584" i="3"/>
  <c r="BM584" i="3"/>
  <c r="BN584" i="3"/>
  <c r="BO584" i="3"/>
  <c r="BP584" i="3"/>
  <c r="BQ584" i="3"/>
  <c r="BR584" i="3"/>
  <c r="BS584" i="3"/>
  <c r="BT584"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A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H13" i="3"/>
  <c r="AC13" i="3"/>
  <c r="H14" i="3"/>
  <c r="AC14" i="3"/>
  <c r="G14" i="3"/>
  <c r="H15" i="3"/>
  <c r="AC15" i="3"/>
  <c r="G15" i="3" s="1"/>
  <c r="H16" i="3"/>
  <c r="AC16" i="3"/>
  <c r="G16" i="3" s="1"/>
  <c r="H17" i="3"/>
  <c r="AC17" i="3"/>
  <c r="H18" i="3"/>
  <c r="AC18" i="3"/>
  <c r="G18" i="3"/>
  <c r="H19" i="3"/>
  <c r="AC19" i="3"/>
  <c r="G19" i="3" s="1"/>
  <c r="H20" i="3"/>
  <c r="AC20" i="3"/>
  <c r="G20" i="3" s="1"/>
  <c r="H21" i="3"/>
  <c r="AC21" i="3"/>
  <c r="H22" i="3"/>
  <c r="AC22" i="3"/>
  <c r="G22" i="3"/>
  <c r="H23" i="3"/>
  <c r="AC23" i="3"/>
  <c r="G23" i="3" s="1"/>
  <c r="H24" i="3"/>
  <c r="AC24" i="3"/>
  <c r="G24" i="3" s="1"/>
  <c r="H25" i="3"/>
  <c r="AC25" i="3"/>
  <c r="H26" i="3"/>
  <c r="AC26" i="3"/>
  <c r="G26" i="3"/>
  <c r="H27" i="3"/>
  <c r="AC27" i="3"/>
  <c r="G27" i="3" s="1"/>
  <c r="H28" i="3"/>
  <c r="AC28" i="3"/>
  <c r="G28" i="3" s="1"/>
  <c r="H29" i="3"/>
  <c r="AC29" i="3"/>
  <c r="H30" i="3"/>
  <c r="AC30" i="3"/>
  <c r="G30" i="3"/>
  <c r="H31" i="3"/>
  <c r="AC31" i="3"/>
  <c r="G31" i="3" s="1"/>
  <c r="H32" i="3"/>
  <c r="AC32" i="3"/>
  <c r="G32" i="3" s="1"/>
  <c r="H33" i="3"/>
  <c r="AC33" i="3"/>
  <c r="H34" i="3"/>
  <c r="AC34" i="3"/>
  <c r="G34" i="3"/>
  <c r="H35" i="3"/>
  <c r="AC35" i="3"/>
  <c r="G35" i="3" s="1"/>
  <c r="H36" i="3"/>
  <c r="AC36" i="3"/>
  <c r="G36" i="3" s="1"/>
  <c r="H37" i="3"/>
  <c r="AC37" i="3"/>
  <c r="H38" i="3"/>
  <c r="AC38" i="3"/>
  <c r="G38" i="3"/>
  <c r="H39" i="3"/>
  <c r="AC39" i="3"/>
  <c r="G39" i="3" s="1"/>
  <c r="H40" i="3"/>
  <c r="AC40" i="3"/>
  <c r="G40" i="3" s="1"/>
  <c r="H41" i="3"/>
  <c r="AC41" i="3"/>
  <c r="H42" i="3"/>
  <c r="AC42" i="3"/>
  <c r="G42" i="3"/>
  <c r="H43" i="3"/>
  <c r="AC43" i="3"/>
  <c r="G43" i="3" s="1"/>
  <c r="H44" i="3"/>
  <c r="AC44" i="3"/>
  <c r="G44" i="3" s="1"/>
  <c r="H45" i="3"/>
  <c r="AC45" i="3"/>
  <c r="H46" i="3"/>
  <c r="AC46" i="3"/>
  <c r="G46" i="3"/>
  <c r="H47" i="3"/>
  <c r="AC47" i="3"/>
  <c r="G47" i="3" s="1"/>
  <c r="H48" i="3"/>
  <c r="AC48" i="3"/>
  <c r="G48" i="3" s="1"/>
  <c r="H49" i="3"/>
  <c r="AC49" i="3"/>
  <c r="H50" i="3"/>
  <c r="AC50" i="3"/>
  <c r="G50" i="3"/>
  <c r="H51" i="3"/>
  <c r="AC51" i="3"/>
  <c r="G51" i="3" s="1"/>
  <c r="H52" i="3"/>
  <c r="AC52" i="3"/>
  <c r="G52" i="3" s="1"/>
  <c r="H53" i="3"/>
  <c r="AC53" i="3"/>
  <c r="H54" i="3"/>
  <c r="AC54" i="3"/>
  <c r="G54" i="3"/>
  <c r="H55" i="3"/>
  <c r="AC55" i="3"/>
  <c r="G55" i="3" s="1"/>
  <c r="H56" i="3"/>
  <c r="AC56" i="3"/>
  <c r="G56" i="3" s="1"/>
  <c r="H57" i="3"/>
  <c r="AC57" i="3"/>
  <c r="H58" i="3"/>
  <c r="AC58" i="3"/>
  <c r="G58" i="3"/>
  <c r="H59" i="3"/>
  <c r="AC59" i="3"/>
  <c r="G59" i="3" s="1"/>
  <c r="H60" i="3"/>
  <c r="AC60" i="3"/>
  <c r="G60" i="3" s="1"/>
  <c r="H61" i="3"/>
  <c r="AC61" i="3"/>
  <c r="H62" i="3"/>
  <c r="AC62" i="3"/>
  <c r="G62" i="3"/>
  <c r="H63" i="3"/>
  <c r="AC63" i="3"/>
  <c r="G63" i="3" s="1"/>
  <c r="H64" i="3"/>
  <c r="AC64" i="3"/>
  <c r="G64" i="3" s="1"/>
  <c r="H65" i="3"/>
  <c r="AC65" i="3"/>
  <c r="H66" i="3"/>
  <c r="AC66" i="3"/>
  <c r="G66" i="3"/>
  <c r="H67" i="3"/>
  <c r="AC67" i="3"/>
  <c r="G67" i="3" s="1"/>
  <c r="H68" i="3"/>
  <c r="AC68" i="3"/>
  <c r="G68" i="3" s="1"/>
  <c r="H69" i="3"/>
  <c r="AC69" i="3"/>
  <c r="H70" i="3"/>
  <c r="AC70" i="3"/>
  <c r="G70" i="3"/>
  <c r="H71" i="3"/>
  <c r="AC71" i="3"/>
  <c r="G71" i="3" s="1"/>
  <c r="H72" i="3"/>
  <c r="AC72" i="3"/>
  <c r="G72" i="3" s="1"/>
  <c r="H73" i="3"/>
  <c r="AC73" i="3"/>
  <c r="H74" i="3"/>
  <c r="AC74" i="3"/>
  <c r="G74" i="3"/>
  <c r="H75" i="3"/>
  <c r="AC75" i="3"/>
  <c r="G75" i="3" s="1"/>
  <c r="H76" i="3"/>
  <c r="AC76" i="3"/>
  <c r="G76" i="3" s="1"/>
  <c r="H77" i="3"/>
  <c r="AC77" i="3"/>
  <c r="H78" i="3"/>
  <c r="AC78" i="3"/>
  <c r="G78" i="3"/>
  <c r="H79" i="3"/>
  <c r="AC79" i="3"/>
  <c r="G79" i="3" s="1"/>
  <c r="H80" i="3"/>
  <c r="AC80" i="3"/>
  <c r="G80" i="3" s="1"/>
  <c r="H81" i="3"/>
  <c r="AC81" i="3"/>
  <c r="H82" i="3"/>
  <c r="AC82" i="3"/>
  <c r="G82" i="3"/>
  <c r="H83" i="3"/>
  <c r="AC83" i="3"/>
  <c r="G83" i="3" s="1"/>
  <c r="H84" i="3"/>
  <c r="AC84" i="3"/>
  <c r="G84" i="3" s="1"/>
  <c r="H85" i="3"/>
  <c r="AC85" i="3"/>
  <c r="H86" i="3"/>
  <c r="AC86" i="3"/>
  <c r="G86" i="3"/>
  <c r="H87" i="3"/>
  <c r="AC87" i="3"/>
  <c r="G87" i="3" s="1"/>
  <c r="H88" i="3"/>
  <c r="AC88" i="3"/>
  <c r="G88" i="3" s="1"/>
  <c r="H89" i="3"/>
  <c r="AC89" i="3"/>
  <c r="H90" i="3"/>
  <c r="AC90" i="3"/>
  <c r="G90" i="3"/>
  <c r="H91" i="3"/>
  <c r="AC91" i="3"/>
  <c r="G91" i="3" s="1"/>
  <c r="H92" i="3"/>
  <c r="AC92" i="3"/>
  <c r="G92" i="3" s="1"/>
  <c r="H93" i="3"/>
  <c r="AC93" i="3"/>
  <c r="H94" i="3"/>
  <c r="AC94" i="3"/>
  <c r="G94" i="3"/>
  <c r="H95" i="3"/>
  <c r="AC95" i="3"/>
  <c r="G95" i="3" s="1"/>
  <c r="H96" i="3"/>
  <c r="AC96" i="3"/>
  <c r="G96" i="3" s="1"/>
  <c r="H97" i="3"/>
  <c r="AC97" i="3"/>
  <c r="H98" i="3"/>
  <c r="AC98" i="3"/>
  <c r="G98" i="3"/>
  <c r="H99" i="3"/>
  <c r="AC99" i="3"/>
  <c r="G99" i="3" s="1"/>
  <c r="H100" i="3"/>
  <c r="AC100" i="3"/>
  <c r="G100" i="3" s="1"/>
  <c r="H101" i="3"/>
  <c r="AC101" i="3"/>
  <c r="H102" i="3"/>
  <c r="AC102" i="3"/>
  <c r="G102" i="3"/>
  <c r="H103" i="3"/>
  <c r="AC103" i="3"/>
  <c r="G103" i="3" s="1"/>
  <c r="H104" i="3"/>
  <c r="AC104" i="3"/>
  <c r="G104" i="3" s="1"/>
  <c r="H105" i="3"/>
  <c r="AC105" i="3"/>
  <c r="H106" i="3"/>
  <c r="AC106" i="3"/>
  <c r="G106" i="3"/>
  <c r="H107" i="3"/>
  <c r="AC107" i="3"/>
  <c r="G107" i="3" s="1"/>
  <c r="H108" i="3"/>
  <c r="AC108" i="3"/>
  <c r="G108" i="3" s="1"/>
  <c r="H109" i="3"/>
  <c r="AC109" i="3"/>
  <c r="H110" i="3"/>
  <c r="AC110" i="3"/>
  <c r="G110" i="3"/>
  <c r="H111" i="3"/>
  <c r="AC111" i="3"/>
  <c r="G111" i="3" s="1"/>
  <c r="H112" i="3"/>
  <c r="AC112" i="3"/>
  <c r="G112" i="3" s="1"/>
  <c r="H113" i="3"/>
  <c r="AC113" i="3"/>
  <c r="H114" i="3"/>
  <c r="AC114" i="3"/>
  <c r="G114" i="3"/>
  <c r="H115" i="3"/>
  <c r="AC115" i="3"/>
  <c r="G115" i="3" s="1"/>
  <c r="H116" i="3"/>
  <c r="AC116" i="3"/>
  <c r="G116" i="3" s="1"/>
  <c r="H117" i="3"/>
  <c r="AC117" i="3"/>
  <c r="H118" i="3"/>
  <c r="AC118" i="3"/>
  <c r="G118" i="3"/>
  <c r="H119" i="3"/>
  <c r="AC119" i="3"/>
  <c r="G119" i="3" s="1"/>
  <c r="H120" i="3"/>
  <c r="AC120" i="3"/>
  <c r="G120" i="3" s="1"/>
  <c r="H121" i="3"/>
  <c r="AC121" i="3"/>
  <c r="H122" i="3"/>
  <c r="AC122" i="3"/>
  <c r="G122" i="3"/>
  <c r="H123" i="3"/>
  <c r="AC123" i="3"/>
  <c r="G123" i="3" s="1"/>
  <c r="H124" i="3"/>
  <c r="AC124" i="3"/>
  <c r="G124" i="3" s="1"/>
  <c r="H125" i="3"/>
  <c r="AC125" i="3"/>
  <c r="H126" i="3"/>
  <c r="AC126" i="3"/>
  <c r="G126" i="3"/>
  <c r="H127" i="3"/>
  <c r="AC127" i="3"/>
  <c r="G127" i="3" s="1"/>
  <c r="H128" i="3"/>
  <c r="AC128" i="3"/>
  <c r="G128" i="3" s="1"/>
  <c r="H129" i="3"/>
  <c r="AC129" i="3"/>
  <c r="H130" i="3"/>
  <c r="AC130" i="3"/>
  <c r="G130" i="3"/>
  <c r="H131" i="3"/>
  <c r="AC131" i="3"/>
  <c r="G131" i="3" s="1"/>
  <c r="H132" i="3"/>
  <c r="AC132" i="3"/>
  <c r="G132" i="3" s="1"/>
  <c r="H133" i="3"/>
  <c r="AC133" i="3"/>
  <c r="H134" i="3"/>
  <c r="AC134" i="3"/>
  <c r="G134" i="3"/>
  <c r="H135" i="3"/>
  <c r="AC135" i="3"/>
  <c r="G135" i="3" s="1"/>
  <c r="H136" i="3"/>
  <c r="AC136" i="3"/>
  <c r="G136" i="3" s="1"/>
  <c r="H137" i="3"/>
  <c r="AC137" i="3"/>
  <c r="H138" i="3"/>
  <c r="AC138" i="3"/>
  <c r="G138" i="3"/>
  <c r="H139" i="3"/>
  <c r="AC139" i="3"/>
  <c r="G139" i="3" s="1"/>
  <c r="H140" i="3"/>
  <c r="AC140" i="3"/>
  <c r="G140" i="3" s="1"/>
  <c r="H141" i="3"/>
  <c r="AC141" i="3"/>
  <c r="H142" i="3"/>
  <c r="AC142" i="3"/>
  <c r="G142" i="3"/>
  <c r="H143" i="3"/>
  <c r="AC143" i="3"/>
  <c r="G143" i="3" s="1"/>
  <c r="H144" i="3"/>
  <c r="AC144" i="3"/>
  <c r="G144" i="3" s="1"/>
  <c r="H145" i="3"/>
  <c r="AC145" i="3"/>
  <c r="H146" i="3"/>
  <c r="AC146" i="3"/>
  <c r="G146" i="3"/>
  <c r="H147" i="3"/>
  <c r="AC147" i="3"/>
  <c r="G147" i="3" s="1"/>
  <c r="H148" i="3"/>
  <c r="AC148" i="3"/>
  <c r="G148" i="3" s="1"/>
  <c r="H149" i="3"/>
  <c r="AC149" i="3"/>
  <c r="H150" i="3"/>
  <c r="AC150" i="3"/>
  <c r="G150" i="3"/>
  <c r="H151" i="3"/>
  <c r="AC151" i="3"/>
  <c r="G151" i="3" s="1"/>
  <c r="H152" i="3"/>
  <c r="AC152" i="3"/>
  <c r="G152" i="3" s="1"/>
  <c r="H153" i="3"/>
  <c r="AC153" i="3"/>
  <c r="H154" i="3"/>
  <c r="AC154" i="3"/>
  <c r="G154" i="3"/>
  <c r="H155" i="3"/>
  <c r="AC155" i="3"/>
  <c r="G155" i="3" s="1"/>
  <c r="H156" i="3"/>
  <c r="AC156" i="3"/>
  <c r="G156" i="3" s="1"/>
  <c r="H157" i="3"/>
  <c r="AC157" i="3"/>
  <c r="H158" i="3"/>
  <c r="AC158" i="3"/>
  <c r="G158" i="3"/>
  <c r="H159" i="3"/>
  <c r="AC159" i="3"/>
  <c r="G159" i="3" s="1"/>
  <c r="H160" i="3"/>
  <c r="AC160" i="3"/>
  <c r="G160" i="3" s="1"/>
  <c r="H161" i="3"/>
  <c r="AC161" i="3"/>
  <c r="H162" i="3"/>
  <c r="AC162" i="3"/>
  <c r="G162" i="3"/>
  <c r="H163" i="3"/>
  <c r="AC163" i="3"/>
  <c r="G163" i="3" s="1"/>
  <c r="H164" i="3"/>
  <c r="AC164" i="3"/>
  <c r="G164" i="3" s="1"/>
  <c r="H165" i="3"/>
  <c r="AC165" i="3"/>
  <c r="H166" i="3"/>
  <c r="AC166" i="3"/>
  <c r="G166" i="3"/>
  <c r="H167" i="3"/>
  <c r="AC167" i="3"/>
  <c r="G167" i="3" s="1"/>
  <c r="H168" i="3"/>
  <c r="AC168" i="3"/>
  <c r="G168" i="3" s="1"/>
  <c r="H169" i="3"/>
  <c r="AC169" i="3"/>
  <c r="H170" i="3"/>
  <c r="AC170" i="3"/>
  <c r="G170" i="3"/>
  <c r="H171" i="3"/>
  <c r="AC171" i="3"/>
  <c r="G171" i="3" s="1"/>
  <c r="H172" i="3"/>
  <c r="AC172" i="3"/>
  <c r="G172" i="3" s="1"/>
  <c r="H173" i="3"/>
  <c r="AC173" i="3"/>
  <c r="H174" i="3"/>
  <c r="AC174" i="3"/>
  <c r="G174" i="3"/>
  <c r="H175" i="3"/>
  <c r="AC175" i="3"/>
  <c r="G175" i="3" s="1"/>
  <c r="H176" i="3"/>
  <c r="AC176" i="3"/>
  <c r="G176" i="3" s="1"/>
  <c r="H177" i="3"/>
  <c r="AC177" i="3"/>
  <c r="H178" i="3"/>
  <c r="AC178" i="3"/>
  <c r="G178" i="3"/>
  <c r="H179" i="3"/>
  <c r="AC179" i="3"/>
  <c r="G179" i="3" s="1"/>
  <c r="H180" i="3"/>
  <c r="AC180" i="3"/>
  <c r="G180" i="3" s="1"/>
  <c r="H181" i="3"/>
  <c r="AC181" i="3"/>
  <c r="H182" i="3"/>
  <c r="AC182" i="3"/>
  <c r="G182" i="3"/>
  <c r="H183" i="3"/>
  <c r="AC183" i="3"/>
  <c r="G183" i="3" s="1"/>
  <c r="H184" i="3"/>
  <c r="AC184" i="3"/>
  <c r="G184" i="3" s="1"/>
  <c r="H185" i="3"/>
  <c r="AC185" i="3"/>
  <c r="H186" i="3"/>
  <c r="AC186" i="3"/>
  <c r="G186" i="3"/>
  <c r="H187" i="3"/>
  <c r="AC187" i="3"/>
  <c r="G187" i="3" s="1"/>
  <c r="H188" i="3"/>
  <c r="AC188" i="3"/>
  <c r="G188" i="3" s="1"/>
  <c r="H189" i="3"/>
  <c r="AC189" i="3"/>
  <c r="H190" i="3"/>
  <c r="AC190" i="3"/>
  <c r="G190" i="3"/>
  <c r="H191" i="3"/>
  <c r="AC191" i="3"/>
  <c r="G191" i="3" s="1"/>
  <c r="H192" i="3"/>
  <c r="AC192" i="3"/>
  <c r="G192" i="3" s="1"/>
  <c r="H193" i="3"/>
  <c r="AC193" i="3"/>
  <c r="H194" i="3"/>
  <c r="AC194" i="3"/>
  <c r="G194" i="3"/>
  <c r="H195" i="3"/>
  <c r="AC195" i="3"/>
  <c r="G195" i="3" s="1"/>
  <c r="H196" i="3"/>
  <c r="AC196" i="3"/>
  <c r="G196" i="3" s="1"/>
  <c r="H197" i="3"/>
  <c r="AC197" i="3"/>
  <c r="H198" i="3"/>
  <c r="AC198" i="3"/>
  <c r="G198" i="3"/>
  <c r="H199" i="3"/>
  <c r="AC199" i="3"/>
  <c r="G199" i="3" s="1"/>
  <c r="H200" i="3"/>
  <c r="AC200" i="3"/>
  <c r="G200" i="3" s="1"/>
  <c r="H201" i="3"/>
  <c r="AC201" i="3"/>
  <c r="H202" i="3"/>
  <c r="AC202" i="3"/>
  <c r="G202" i="3"/>
  <c r="H203" i="3"/>
  <c r="AC203" i="3"/>
  <c r="G203" i="3" s="1"/>
  <c r="H204" i="3"/>
  <c r="AC204" i="3"/>
  <c r="G204" i="3" s="1"/>
  <c r="H205" i="3"/>
  <c r="AC205" i="3"/>
  <c r="H206" i="3"/>
  <c r="AC206" i="3"/>
  <c r="G206" i="3"/>
  <c r="H207" i="3"/>
  <c r="AC207" i="3"/>
  <c r="G207" i="3" s="1"/>
  <c r="H208" i="3"/>
  <c r="AC208" i="3"/>
  <c r="G208" i="3" s="1"/>
  <c r="H209" i="3"/>
  <c r="AC209" i="3"/>
  <c r="H210" i="3"/>
  <c r="AC210" i="3"/>
  <c r="G210" i="3"/>
  <c r="H211" i="3"/>
  <c r="AC211" i="3"/>
  <c r="G211" i="3" s="1"/>
  <c r="H212" i="3"/>
  <c r="AC212" i="3"/>
  <c r="G212" i="3" s="1"/>
  <c r="H213" i="3"/>
  <c r="AC213" i="3"/>
  <c r="H214" i="3"/>
  <c r="AC214" i="3"/>
  <c r="G214" i="3"/>
  <c r="H215" i="3"/>
  <c r="AC215" i="3"/>
  <c r="G215" i="3" s="1"/>
  <c r="H216" i="3"/>
  <c r="AC216" i="3"/>
  <c r="G216" i="3" s="1"/>
  <c r="H217" i="3"/>
  <c r="AC217" i="3"/>
  <c r="H218" i="3"/>
  <c r="AC218" i="3"/>
  <c r="G218" i="3"/>
  <c r="H219" i="3"/>
  <c r="AC219" i="3"/>
  <c r="G219" i="3" s="1"/>
  <c r="H220" i="3"/>
  <c r="AC220" i="3"/>
  <c r="G220" i="3" s="1"/>
  <c r="H221" i="3"/>
  <c r="AC221" i="3"/>
  <c r="H222" i="3"/>
  <c r="AC222" i="3"/>
  <c r="G222" i="3"/>
  <c r="H223" i="3"/>
  <c r="AC223" i="3"/>
  <c r="G223" i="3" s="1"/>
  <c r="H224" i="3"/>
  <c r="AC224" i="3"/>
  <c r="G224" i="3" s="1"/>
  <c r="H225" i="3"/>
  <c r="AC225" i="3"/>
  <c r="H226" i="3"/>
  <c r="AC226" i="3"/>
  <c r="G226" i="3"/>
  <c r="H227" i="3"/>
  <c r="AC227" i="3"/>
  <c r="G227" i="3" s="1"/>
  <c r="H228" i="3"/>
  <c r="AC228" i="3"/>
  <c r="G228" i="3" s="1"/>
  <c r="H229" i="3"/>
  <c r="AC229" i="3"/>
  <c r="H230" i="3"/>
  <c r="AC230" i="3"/>
  <c r="G230" i="3"/>
  <c r="H231" i="3"/>
  <c r="AC231" i="3"/>
  <c r="G231" i="3" s="1"/>
  <c r="H232" i="3"/>
  <c r="AC232" i="3"/>
  <c r="G232" i="3" s="1"/>
  <c r="H233" i="3"/>
  <c r="AC233" i="3"/>
  <c r="H234" i="3"/>
  <c r="AC234" i="3"/>
  <c r="G234" i="3"/>
  <c r="H235" i="3"/>
  <c r="AC235" i="3"/>
  <c r="G235" i="3" s="1"/>
  <c r="H236" i="3"/>
  <c r="AC236" i="3"/>
  <c r="G236" i="3" s="1"/>
  <c r="H237" i="3"/>
  <c r="AC237" i="3"/>
  <c r="H238" i="3"/>
  <c r="AC238" i="3"/>
  <c r="G238" i="3"/>
  <c r="H239" i="3"/>
  <c r="AC239" i="3"/>
  <c r="G239" i="3" s="1"/>
  <c r="H240" i="3"/>
  <c r="AC240" i="3"/>
  <c r="G240" i="3" s="1"/>
  <c r="H241" i="3"/>
  <c r="AC241" i="3"/>
  <c r="H242" i="3"/>
  <c r="AC242" i="3"/>
  <c r="G242" i="3"/>
  <c r="H243" i="3"/>
  <c r="AC243" i="3"/>
  <c r="G243" i="3" s="1"/>
  <c r="H244" i="3"/>
  <c r="AC244" i="3"/>
  <c r="G244" i="3" s="1"/>
  <c r="H245" i="3"/>
  <c r="AC245" i="3"/>
  <c r="H246" i="3"/>
  <c r="AC246" i="3"/>
  <c r="G246" i="3"/>
  <c r="H247" i="3"/>
  <c r="AC247" i="3"/>
  <c r="G247" i="3" s="1"/>
  <c r="H248" i="3"/>
  <c r="AC248" i="3"/>
  <c r="G248" i="3" s="1"/>
  <c r="H249" i="3"/>
  <c r="AC249" i="3"/>
  <c r="H250" i="3"/>
  <c r="AC250" i="3"/>
  <c r="G250" i="3"/>
  <c r="H251" i="3"/>
  <c r="AC251" i="3"/>
  <c r="G251" i="3" s="1"/>
  <c r="H252" i="3"/>
  <c r="AC252" i="3"/>
  <c r="G252" i="3" s="1"/>
  <c r="H253" i="3"/>
  <c r="AC253" i="3"/>
  <c r="H254" i="3"/>
  <c r="AC254" i="3"/>
  <c r="G254" i="3"/>
  <c r="H255" i="3"/>
  <c r="AC255" i="3"/>
  <c r="G255" i="3" s="1"/>
  <c r="H256" i="3"/>
  <c r="AC256" i="3"/>
  <c r="G256" i="3" s="1"/>
  <c r="H257" i="3"/>
  <c r="AC257" i="3"/>
  <c r="H258" i="3"/>
  <c r="AC258" i="3"/>
  <c r="G258" i="3"/>
  <c r="H259" i="3"/>
  <c r="AC259" i="3"/>
  <c r="G259" i="3" s="1"/>
  <c r="H260" i="3"/>
  <c r="AC260" i="3"/>
  <c r="G260" i="3" s="1"/>
  <c r="H261" i="3"/>
  <c r="AC261" i="3"/>
  <c r="H262" i="3"/>
  <c r="AC262" i="3"/>
  <c r="G262" i="3"/>
  <c r="H263" i="3"/>
  <c r="AC263" i="3"/>
  <c r="G263" i="3" s="1"/>
  <c r="H264" i="3"/>
  <c r="AC264" i="3"/>
  <c r="G264" i="3" s="1"/>
  <c r="H265" i="3"/>
  <c r="AC265" i="3"/>
  <c r="H266" i="3"/>
  <c r="AC266" i="3"/>
  <c r="G266" i="3"/>
  <c r="H267" i="3"/>
  <c r="AC267" i="3"/>
  <c r="G267" i="3" s="1"/>
  <c r="H268" i="3"/>
  <c r="AC268" i="3"/>
  <c r="G268" i="3" s="1"/>
  <c r="H269" i="3"/>
  <c r="AC269" i="3"/>
  <c r="H270" i="3"/>
  <c r="AC270" i="3"/>
  <c r="G270" i="3"/>
  <c r="H271" i="3"/>
  <c r="AC271" i="3"/>
  <c r="G271" i="3" s="1"/>
  <c r="H272" i="3"/>
  <c r="AC272" i="3"/>
  <c r="G272" i="3" s="1"/>
  <c r="H273" i="3"/>
  <c r="AC273" i="3"/>
  <c r="H274" i="3"/>
  <c r="AC274" i="3"/>
  <c r="G274" i="3"/>
  <c r="H275" i="3"/>
  <c r="AC275" i="3"/>
  <c r="G275" i="3" s="1"/>
  <c r="H276" i="3"/>
  <c r="AC276" i="3"/>
  <c r="G276" i="3" s="1"/>
  <c r="H277" i="3"/>
  <c r="AC277" i="3"/>
  <c r="H278" i="3"/>
  <c r="AC278" i="3"/>
  <c r="G278" i="3"/>
  <c r="H279" i="3"/>
  <c r="AC279" i="3"/>
  <c r="G279" i="3" s="1"/>
  <c r="H280" i="3"/>
  <c r="AC280" i="3"/>
  <c r="G280" i="3" s="1"/>
  <c r="H281" i="3"/>
  <c r="AC281" i="3"/>
  <c r="H282" i="3"/>
  <c r="AC282" i="3"/>
  <c r="G282" i="3"/>
  <c r="H283" i="3"/>
  <c r="AC283" i="3"/>
  <c r="G283" i="3" s="1"/>
  <c r="H284" i="3"/>
  <c r="AC284" i="3"/>
  <c r="G284" i="3" s="1"/>
  <c r="H285" i="3"/>
  <c r="AC285" i="3"/>
  <c r="H286" i="3"/>
  <c r="AC286" i="3"/>
  <c r="G286" i="3"/>
  <c r="H287" i="3"/>
  <c r="AC287" i="3"/>
  <c r="G287" i="3" s="1"/>
  <c r="H288" i="3"/>
  <c r="AC288" i="3"/>
  <c r="G288" i="3" s="1"/>
  <c r="H289" i="3"/>
  <c r="AC289" i="3"/>
  <c r="H290" i="3"/>
  <c r="AC290" i="3"/>
  <c r="G290" i="3"/>
  <c r="H291" i="3"/>
  <c r="AC291" i="3"/>
  <c r="G291" i="3" s="1"/>
  <c r="H292" i="3"/>
  <c r="AC292" i="3"/>
  <c r="G292" i="3" s="1"/>
  <c r="H293" i="3"/>
  <c r="AC293" i="3"/>
  <c r="H294" i="3"/>
  <c r="AC294" i="3"/>
  <c r="G294" i="3"/>
  <c r="H295" i="3"/>
  <c r="AC295" i="3"/>
  <c r="G295" i="3" s="1"/>
  <c r="H296" i="3"/>
  <c r="AC296" i="3"/>
  <c r="G296" i="3" s="1"/>
  <c r="H297" i="3"/>
  <c r="AC297" i="3"/>
  <c r="H298" i="3"/>
  <c r="AC298" i="3"/>
  <c r="G298" i="3"/>
  <c r="H299" i="3"/>
  <c r="AC299" i="3"/>
  <c r="G299" i="3" s="1"/>
  <c r="H300" i="3"/>
  <c r="AC300" i="3"/>
  <c r="G300" i="3" s="1"/>
  <c r="H301" i="3"/>
  <c r="AC301" i="3"/>
  <c r="H302" i="3"/>
  <c r="AC302" i="3"/>
  <c r="G302" i="3"/>
  <c r="H303" i="3"/>
  <c r="AC303" i="3"/>
  <c r="G303" i="3" s="1"/>
  <c r="H304" i="3"/>
  <c r="AC304" i="3"/>
  <c r="G304" i="3" s="1"/>
  <c r="H305" i="3"/>
  <c r="AC305" i="3"/>
  <c r="H306" i="3"/>
  <c r="AC306" i="3"/>
  <c r="G306" i="3"/>
  <c r="H307" i="3"/>
  <c r="AC307" i="3"/>
  <c r="G307" i="3" s="1"/>
  <c r="H308" i="3"/>
  <c r="AC308" i="3"/>
  <c r="G308" i="3" s="1"/>
  <c r="H309" i="3"/>
  <c r="AC309" i="3"/>
  <c r="H310" i="3"/>
  <c r="AC310" i="3"/>
  <c r="G310" i="3"/>
  <c r="H311" i="3"/>
  <c r="AC311" i="3"/>
  <c r="G311" i="3" s="1"/>
  <c r="H312" i="3"/>
  <c r="AC312" i="3"/>
  <c r="G312" i="3" s="1"/>
  <c r="H313" i="3"/>
  <c r="AC313" i="3"/>
  <c r="H314" i="3"/>
  <c r="AC314" i="3"/>
  <c r="G314" i="3"/>
  <c r="H315" i="3"/>
  <c r="AC315" i="3"/>
  <c r="G315" i="3" s="1"/>
  <c r="H316" i="3"/>
  <c r="AC316" i="3"/>
  <c r="G316" i="3" s="1"/>
  <c r="H317" i="3"/>
  <c r="AC317" i="3"/>
  <c r="H318" i="3"/>
  <c r="AC318" i="3"/>
  <c r="G318" i="3"/>
  <c r="H319" i="3"/>
  <c r="AC319" i="3"/>
  <c r="G319" i="3" s="1"/>
  <c r="H320" i="3"/>
  <c r="AC320" i="3"/>
  <c r="G320" i="3" s="1"/>
  <c r="H321" i="3"/>
  <c r="AC321" i="3"/>
  <c r="H322" i="3"/>
  <c r="AC322" i="3"/>
  <c r="G322" i="3"/>
  <c r="H323" i="3"/>
  <c r="AC323" i="3"/>
  <c r="G323" i="3" s="1"/>
  <c r="H324" i="3"/>
  <c r="AC324" i="3"/>
  <c r="G324" i="3" s="1"/>
  <c r="H325" i="3"/>
  <c r="AC325" i="3"/>
  <c r="H326" i="3"/>
  <c r="AC326" i="3"/>
  <c r="G326" i="3"/>
  <c r="H327" i="3"/>
  <c r="AC327" i="3"/>
  <c r="G327" i="3" s="1"/>
  <c r="H328" i="3"/>
  <c r="AC328" i="3"/>
  <c r="G328" i="3" s="1"/>
  <c r="H329" i="3"/>
  <c r="AC329" i="3"/>
  <c r="H330" i="3"/>
  <c r="AC330" i="3"/>
  <c r="G330" i="3"/>
  <c r="H331" i="3"/>
  <c r="AC331" i="3"/>
  <c r="G331" i="3" s="1"/>
  <c r="H332" i="3"/>
  <c r="AC332" i="3"/>
  <c r="G332" i="3" s="1"/>
  <c r="H333" i="3"/>
  <c r="AC333" i="3"/>
  <c r="H334" i="3"/>
  <c r="AC334" i="3"/>
  <c r="G334" i="3"/>
  <c r="H335" i="3"/>
  <c r="AC335" i="3"/>
  <c r="G335" i="3" s="1"/>
  <c r="H336" i="3"/>
  <c r="AC336" i="3"/>
  <c r="G336" i="3" s="1"/>
  <c r="H337" i="3"/>
  <c r="AC337" i="3"/>
  <c r="H338" i="3"/>
  <c r="AC338" i="3"/>
  <c r="G338" i="3"/>
  <c r="H339" i="3"/>
  <c r="AC339" i="3"/>
  <c r="G339" i="3" s="1"/>
  <c r="H340" i="3"/>
  <c r="AC340" i="3"/>
  <c r="G340" i="3" s="1"/>
  <c r="H341" i="3"/>
  <c r="AC341" i="3"/>
  <c r="H342" i="3"/>
  <c r="AC342" i="3"/>
  <c r="G342" i="3"/>
  <c r="H343" i="3"/>
  <c r="AC343" i="3"/>
  <c r="G343" i="3" s="1"/>
  <c r="H344" i="3"/>
  <c r="AC344" i="3"/>
  <c r="G344" i="3" s="1"/>
  <c r="H345" i="3"/>
  <c r="AC345" i="3"/>
  <c r="H346" i="3"/>
  <c r="AC346" i="3"/>
  <c r="G346" i="3"/>
  <c r="H347" i="3"/>
  <c r="AC347" i="3"/>
  <c r="G347" i="3" s="1"/>
  <c r="H348" i="3"/>
  <c r="AC348" i="3"/>
  <c r="G348" i="3" s="1"/>
  <c r="H349" i="3"/>
  <c r="AC349" i="3"/>
  <c r="H350" i="3"/>
  <c r="AC350" i="3"/>
  <c r="G350" i="3"/>
  <c r="H351" i="3"/>
  <c r="AC351" i="3"/>
  <c r="G351" i="3" s="1"/>
  <c r="H352" i="3"/>
  <c r="AC352" i="3"/>
  <c r="G352" i="3" s="1"/>
  <c r="H353" i="3"/>
  <c r="AC353" i="3"/>
  <c r="H354" i="3"/>
  <c r="AC354" i="3"/>
  <c r="G354" i="3"/>
  <c r="H355" i="3"/>
  <c r="AC355" i="3"/>
  <c r="G355" i="3" s="1"/>
  <c r="H356" i="3"/>
  <c r="AC356" i="3"/>
  <c r="G356" i="3" s="1"/>
  <c r="H357" i="3"/>
  <c r="AC357" i="3"/>
  <c r="H358" i="3"/>
  <c r="AC358" i="3"/>
  <c r="G358" i="3"/>
  <c r="H359" i="3"/>
  <c r="AC359" i="3"/>
  <c r="G359" i="3" s="1"/>
  <c r="H360" i="3"/>
  <c r="AC360" i="3"/>
  <c r="G360" i="3" s="1"/>
  <c r="H361" i="3"/>
  <c r="AC361" i="3"/>
  <c r="H362" i="3"/>
  <c r="AC362" i="3"/>
  <c r="G362" i="3"/>
  <c r="H363" i="3"/>
  <c r="AC363" i="3"/>
  <c r="G363" i="3" s="1"/>
  <c r="H364" i="3"/>
  <c r="AC364" i="3"/>
  <c r="G364" i="3" s="1"/>
  <c r="H365" i="3"/>
  <c r="AC365" i="3"/>
  <c r="H366" i="3"/>
  <c r="AC366" i="3"/>
  <c r="G366" i="3"/>
  <c r="H367" i="3"/>
  <c r="AC367" i="3"/>
  <c r="G367" i="3" s="1"/>
  <c r="H368" i="3"/>
  <c r="AC368" i="3"/>
  <c r="G368" i="3" s="1"/>
  <c r="H369" i="3"/>
  <c r="AC369" i="3"/>
  <c r="H370" i="3"/>
  <c r="AC370" i="3"/>
  <c r="G370" i="3"/>
  <c r="H371" i="3"/>
  <c r="AC371" i="3"/>
  <c r="G371" i="3" s="1"/>
  <c r="H372" i="3"/>
  <c r="AC372" i="3"/>
  <c r="G372" i="3" s="1"/>
  <c r="H373" i="3"/>
  <c r="AC373" i="3"/>
  <c r="H374" i="3"/>
  <c r="AC374" i="3"/>
  <c r="G374" i="3"/>
  <c r="H375" i="3"/>
  <c r="AC375" i="3"/>
  <c r="G375" i="3" s="1"/>
  <c r="H376" i="3"/>
  <c r="AC376" i="3"/>
  <c r="G376" i="3" s="1"/>
  <c r="H377" i="3"/>
  <c r="AC377" i="3"/>
  <c r="H378" i="3"/>
  <c r="AC378" i="3"/>
  <c r="G378" i="3"/>
  <c r="H379" i="3"/>
  <c r="AC379" i="3"/>
  <c r="G379" i="3" s="1"/>
  <c r="H380" i="3"/>
  <c r="AC380" i="3"/>
  <c r="G380" i="3" s="1"/>
  <c r="H381" i="3"/>
  <c r="AC381" i="3"/>
  <c r="H382" i="3"/>
  <c r="AC382" i="3"/>
  <c r="G382" i="3"/>
  <c r="H383" i="3"/>
  <c r="AC383" i="3"/>
  <c r="G383" i="3" s="1"/>
  <c r="H384" i="3"/>
  <c r="AC384" i="3"/>
  <c r="G384" i="3" s="1"/>
  <c r="H385" i="3"/>
  <c r="AC385" i="3"/>
  <c r="H386" i="3"/>
  <c r="AC386" i="3"/>
  <c r="G386" i="3"/>
  <c r="H387" i="3"/>
  <c r="AC387" i="3"/>
  <c r="G387" i="3" s="1"/>
  <c r="H388" i="3"/>
  <c r="AC388" i="3"/>
  <c r="G388" i="3" s="1"/>
  <c r="H389" i="3"/>
  <c r="AC389" i="3"/>
  <c r="H390" i="3"/>
  <c r="AC390" i="3"/>
  <c r="G390" i="3"/>
  <c r="H391" i="3"/>
  <c r="AC391" i="3"/>
  <c r="G391" i="3" s="1"/>
  <c r="H392" i="3"/>
  <c r="AC392" i="3"/>
  <c r="G392" i="3" s="1"/>
  <c r="H393" i="3"/>
  <c r="AC393" i="3"/>
  <c r="H394" i="3"/>
  <c r="AC394" i="3"/>
  <c r="G394" i="3"/>
  <c r="H395" i="3"/>
  <c r="AC395" i="3"/>
  <c r="G395" i="3" s="1"/>
  <c r="H396" i="3"/>
  <c r="AC396" i="3"/>
  <c r="G396" i="3" s="1"/>
  <c r="H397" i="3"/>
  <c r="AC397" i="3"/>
  <c r="H398" i="3"/>
  <c r="AC398" i="3"/>
  <c r="G398" i="3"/>
  <c r="H399" i="3"/>
  <c r="AC399" i="3"/>
  <c r="G399" i="3" s="1"/>
  <c r="H400" i="3"/>
  <c r="AC400" i="3"/>
  <c r="G400" i="3" s="1"/>
  <c r="H401" i="3"/>
  <c r="AC401" i="3"/>
  <c r="H402" i="3"/>
  <c r="AC402" i="3"/>
  <c r="G402" i="3"/>
  <c r="H403" i="3"/>
  <c r="AC403" i="3"/>
  <c r="G403" i="3" s="1"/>
  <c r="H404" i="3"/>
  <c r="AC404" i="3"/>
  <c r="G404" i="3" s="1"/>
  <c r="H405" i="3"/>
  <c r="AC405" i="3"/>
  <c r="H406" i="3"/>
  <c r="AC406" i="3"/>
  <c r="G406" i="3"/>
  <c r="H407" i="3"/>
  <c r="AC407" i="3"/>
  <c r="G407" i="3" s="1"/>
  <c r="H408" i="3"/>
  <c r="AC408" i="3"/>
  <c r="G408" i="3" s="1"/>
  <c r="H409" i="3"/>
  <c r="AC409" i="3"/>
  <c r="H410" i="3"/>
  <c r="AC410" i="3"/>
  <c r="G410" i="3"/>
  <c r="H411" i="3"/>
  <c r="AC411" i="3"/>
  <c r="G411" i="3" s="1"/>
  <c r="H412" i="3"/>
  <c r="AC412" i="3"/>
  <c r="G412" i="3" s="1"/>
  <c r="H413" i="3"/>
  <c r="AC413" i="3"/>
  <c r="H414" i="3"/>
  <c r="AC414" i="3"/>
  <c r="G414" i="3"/>
  <c r="H415" i="3"/>
  <c r="AC415" i="3"/>
  <c r="G415" i="3" s="1"/>
  <c r="H416" i="3"/>
  <c r="AC416" i="3"/>
  <c r="G416" i="3" s="1"/>
  <c r="H417" i="3"/>
  <c r="AC417" i="3"/>
  <c r="H418" i="3"/>
  <c r="AC418" i="3"/>
  <c r="G418" i="3"/>
  <c r="H419" i="3"/>
  <c r="AC419" i="3"/>
  <c r="G419" i="3" s="1"/>
  <c r="H420" i="3"/>
  <c r="AC420" i="3"/>
  <c r="G420" i="3" s="1"/>
  <c r="H421" i="3"/>
  <c r="AC421" i="3"/>
  <c r="H422" i="3"/>
  <c r="AC422" i="3"/>
  <c r="G422" i="3"/>
  <c r="H423" i="3"/>
  <c r="AC423" i="3"/>
  <c r="G423" i="3" s="1"/>
  <c r="H424" i="3"/>
  <c r="AC424" i="3"/>
  <c r="G424" i="3" s="1"/>
  <c r="H425" i="3"/>
  <c r="AC425" i="3"/>
  <c r="H426" i="3"/>
  <c r="AC426" i="3"/>
  <c r="G426" i="3"/>
  <c r="H427" i="3"/>
  <c r="AC427" i="3"/>
  <c r="G427" i="3" s="1"/>
  <c r="H428" i="3"/>
  <c r="AC428" i="3"/>
  <c r="G428" i="3" s="1"/>
  <c r="H429" i="3"/>
  <c r="AC429" i="3"/>
  <c r="H430" i="3"/>
  <c r="AC430" i="3"/>
  <c r="G430" i="3"/>
  <c r="H431" i="3"/>
  <c r="AC431" i="3"/>
  <c r="G431" i="3" s="1"/>
  <c r="H432" i="3"/>
  <c r="AC432" i="3"/>
  <c r="G432" i="3" s="1"/>
  <c r="H433" i="3"/>
  <c r="AC433" i="3"/>
  <c r="H434" i="3"/>
  <c r="AC434" i="3"/>
  <c r="G434" i="3"/>
  <c r="H435" i="3"/>
  <c r="AC435" i="3"/>
  <c r="G435" i="3" s="1"/>
  <c r="H436" i="3"/>
  <c r="AC436" i="3"/>
  <c r="G436" i="3" s="1"/>
  <c r="H437" i="3"/>
  <c r="AC437" i="3"/>
  <c r="H438" i="3"/>
  <c r="AC438" i="3"/>
  <c r="G438" i="3"/>
  <c r="H439" i="3"/>
  <c r="AC439" i="3"/>
  <c r="G439" i="3" s="1"/>
  <c r="H440" i="3"/>
  <c r="AC440" i="3"/>
  <c r="G440" i="3" s="1"/>
  <c r="H441" i="3"/>
  <c r="AC441" i="3"/>
  <c r="H442" i="3"/>
  <c r="AC442" i="3"/>
  <c r="G442" i="3"/>
  <c r="H443" i="3"/>
  <c r="AC443" i="3"/>
  <c r="G443" i="3" s="1"/>
  <c r="H444" i="3"/>
  <c r="AC444" i="3"/>
  <c r="G444" i="3" s="1"/>
  <c r="H445" i="3"/>
  <c r="AC445" i="3"/>
  <c r="H446" i="3"/>
  <c r="AC446" i="3"/>
  <c r="G446" i="3"/>
  <c r="H447" i="3"/>
  <c r="AC447" i="3"/>
  <c r="G447" i="3" s="1"/>
  <c r="H448" i="3"/>
  <c r="AC448" i="3"/>
  <c r="G448" i="3" s="1"/>
  <c r="H449" i="3"/>
  <c r="AC449" i="3"/>
  <c r="H450" i="3"/>
  <c r="AC450" i="3"/>
  <c r="G450" i="3"/>
  <c r="H451" i="3"/>
  <c r="AC451" i="3"/>
  <c r="G451" i="3" s="1"/>
  <c r="H452" i="3"/>
  <c r="AC452" i="3"/>
  <c r="G452" i="3" s="1"/>
  <c r="H453" i="3"/>
  <c r="AC453" i="3"/>
  <c r="H454" i="3"/>
  <c r="AC454" i="3"/>
  <c r="G454" i="3"/>
  <c r="H455" i="3"/>
  <c r="AC455" i="3"/>
  <c r="G455" i="3" s="1"/>
  <c r="H456" i="3"/>
  <c r="AC456" i="3"/>
  <c r="G456" i="3" s="1"/>
  <c r="H457" i="3"/>
  <c r="AC457" i="3"/>
  <c r="H458" i="3"/>
  <c r="AC458" i="3"/>
  <c r="G458" i="3"/>
  <c r="H459" i="3"/>
  <c r="AC459" i="3"/>
  <c r="G459" i="3" s="1"/>
  <c r="H460" i="3"/>
  <c r="AC460" i="3"/>
  <c r="G460" i="3" s="1"/>
  <c r="H461" i="3"/>
  <c r="AC461" i="3"/>
  <c r="H462" i="3"/>
  <c r="AC462" i="3"/>
  <c r="G462" i="3"/>
  <c r="H463" i="3"/>
  <c r="AC463" i="3"/>
  <c r="G463" i="3" s="1"/>
  <c r="H464" i="3"/>
  <c r="AC464" i="3"/>
  <c r="G464" i="3" s="1"/>
  <c r="H465" i="3"/>
  <c r="AC465" i="3"/>
  <c r="H466" i="3"/>
  <c r="AC466" i="3"/>
  <c r="G466" i="3"/>
  <c r="H467" i="3"/>
  <c r="AC467" i="3"/>
  <c r="G467" i="3" s="1"/>
  <c r="H468" i="3"/>
  <c r="AC468" i="3"/>
  <c r="G468" i="3" s="1"/>
  <c r="H469" i="3"/>
  <c r="AC469" i="3"/>
  <c r="H470" i="3"/>
  <c r="AC470" i="3"/>
  <c r="G470" i="3"/>
  <c r="H471" i="3"/>
  <c r="AC471" i="3"/>
  <c r="G471" i="3" s="1"/>
  <c r="H472" i="3"/>
  <c r="AC472" i="3"/>
  <c r="G472" i="3" s="1"/>
  <c r="H473" i="3"/>
  <c r="AC473" i="3"/>
  <c r="H474" i="3"/>
  <c r="AC474" i="3"/>
  <c r="G474" i="3"/>
  <c r="H475" i="3"/>
  <c r="AC475" i="3"/>
  <c r="G475" i="3" s="1"/>
  <c r="H476" i="3"/>
  <c r="AC476" i="3"/>
  <c r="G476" i="3" s="1"/>
  <c r="H477" i="3"/>
  <c r="AC477" i="3"/>
  <c r="H478" i="3"/>
  <c r="AC478" i="3"/>
  <c r="G478" i="3"/>
  <c r="H479" i="3"/>
  <c r="AC479" i="3"/>
  <c r="G479" i="3" s="1"/>
  <c r="H480" i="3"/>
  <c r="AC480" i="3"/>
  <c r="G480" i="3" s="1"/>
  <c r="H481" i="3"/>
  <c r="AC481" i="3"/>
  <c r="H482" i="3"/>
  <c r="AC482" i="3"/>
  <c r="G482" i="3"/>
  <c r="H483" i="3"/>
  <c r="AC483" i="3"/>
  <c r="G483" i="3" s="1"/>
  <c r="H484" i="3"/>
  <c r="AC484" i="3"/>
  <c r="G484" i="3" s="1"/>
  <c r="H485" i="3"/>
  <c r="AC485" i="3"/>
  <c r="H486" i="3"/>
  <c r="AC486" i="3"/>
  <c r="G486" i="3"/>
  <c r="H487" i="3"/>
  <c r="AC487" i="3"/>
  <c r="G487" i="3" s="1"/>
  <c r="H488" i="3"/>
  <c r="AC488" i="3"/>
  <c r="G488" i="3" s="1"/>
  <c r="H489" i="3"/>
  <c r="AC489" i="3"/>
  <c r="H490" i="3"/>
  <c r="AC490" i="3"/>
  <c r="G490" i="3"/>
  <c r="H491" i="3"/>
  <c r="AC491" i="3"/>
  <c r="G491" i="3" s="1"/>
  <c r="H492" i="3"/>
  <c r="AC492" i="3"/>
  <c r="G492" i="3" s="1"/>
  <c r="H493" i="3"/>
  <c r="AC493" i="3"/>
  <c r="H494" i="3"/>
  <c r="AC494" i="3"/>
  <c r="G494" i="3"/>
  <c r="H495" i="3"/>
  <c r="AC495" i="3"/>
  <c r="G495" i="3" s="1"/>
  <c r="H496" i="3"/>
  <c r="AC496" i="3"/>
  <c r="G496" i="3" s="1"/>
  <c r="H497" i="3"/>
  <c r="AC497" i="3"/>
  <c r="H498" i="3"/>
  <c r="AC498" i="3"/>
  <c r="G498" i="3"/>
  <c r="H499" i="3"/>
  <c r="AC499" i="3"/>
  <c r="G499" i="3" s="1"/>
  <c r="H500" i="3"/>
  <c r="AC500" i="3"/>
  <c r="G500" i="3" s="1"/>
  <c r="H501" i="3"/>
  <c r="AC501" i="3"/>
  <c r="H502" i="3"/>
  <c r="AC502" i="3"/>
  <c r="G502" i="3"/>
  <c r="H503" i="3"/>
  <c r="AC503" i="3"/>
  <c r="G503" i="3" s="1"/>
  <c r="H504" i="3"/>
  <c r="AC504" i="3"/>
  <c r="G504" i="3" s="1"/>
  <c r="H505" i="3"/>
  <c r="AC505" i="3"/>
  <c r="H506" i="3"/>
  <c r="AC506" i="3"/>
  <c r="G506" i="3"/>
  <c r="H507" i="3"/>
  <c r="AC507" i="3"/>
  <c r="G507" i="3" s="1"/>
  <c r="H508" i="3"/>
  <c r="AC508" i="3"/>
  <c r="G508" i="3" s="1"/>
  <c r="H509" i="3"/>
  <c r="AC509" i="3"/>
  <c r="H510" i="3"/>
  <c r="AC510" i="3"/>
  <c r="G510" i="3"/>
  <c r="H511" i="3"/>
  <c r="AC511" i="3"/>
  <c r="G511" i="3" s="1"/>
  <c r="H512" i="3"/>
  <c r="AC512" i="3"/>
  <c r="G512" i="3" s="1"/>
  <c r="H513" i="3"/>
  <c r="AC513" i="3"/>
  <c r="H514" i="3"/>
  <c r="AC514" i="3"/>
  <c r="G514" i="3"/>
  <c r="H515" i="3"/>
  <c r="AC515" i="3"/>
  <c r="G515" i="3" s="1"/>
  <c r="H516" i="3"/>
  <c r="AC516" i="3"/>
  <c r="G516" i="3" s="1"/>
  <c r="H517" i="3"/>
  <c r="AC517" i="3"/>
  <c r="H518" i="3"/>
  <c r="AC518" i="3"/>
  <c r="G518" i="3"/>
  <c r="H519" i="3"/>
  <c r="AC519" i="3"/>
  <c r="G519" i="3" s="1"/>
  <c r="H520" i="3"/>
  <c r="AC520" i="3"/>
  <c r="G520" i="3" s="1"/>
  <c r="H521" i="3"/>
  <c r="AC521" i="3"/>
  <c r="H522" i="3"/>
  <c r="AC522" i="3"/>
  <c r="G522" i="3"/>
  <c r="H523" i="3"/>
  <c r="AC523" i="3"/>
  <c r="G523" i="3" s="1"/>
  <c r="H524" i="3"/>
  <c r="AC524" i="3"/>
  <c r="G524" i="3" s="1"/>
  <c r="H525" i="3"/>
  <c r="AC525" i="3"/>
  <c r="H526" i="3"/>
  <c r="AC526" i="3"/>
  <c r="G526" i="3"/>
  <c r="H527" i="3"/>
  <c r="AC527" i="3"/>
  <c r="G527" i="3" s="1"/>
  <c r="H528" i="3"/>
  <c r="AC528" i="3"/>
  <c r="G528" i="3" s="1"/>
  <c r="H529" i="3"/>
  <c r="AC529" i="3"/>
  <c r="H530" i="3"/>
  <c r="AC530" i="3"/>
  <c r="G530" i="3"/>
  <c r="H531" i="3"/>
  <c r="AC531" i="3"/>
  <c r="G531" i="3" s="1"/>
  <c r="H532" i="3"/>
  <c r="AC532" i="3"/>
  <c r="G532" i="3" s="1"/>
  <c r="H533" i="3"/>
  <c r="AC533" i="3"/>
  <c r="H534" i="3"/>
  <c r="AC534" i="3"/>
  <c r="G534" i="3"/>
  <c r="H535" i="3"/>
  <c r="AC535" i="3"/>
  <c r="G535" i="3" s="1"/>
  <c r="H536" i="3"/>
  <c r="AC536" i="3"/>
  <c r="G536" i="3" s="1"/>
  <c r="H537" i="3"/>
  <c r="AC537" i="3"/>
  <c r="H538" i="3"/>
  <c r="AC538" i="3"/>
  <c r="G538" i="3"/>
  <c r="H539" i="3"/>
  <c r="AC539" i="3"/>
  <c r="G539" i="3" s="1"/>
  <c r="H540" i="3"/>
  <c r="AC540" i="3"/>
  <c r="G540" i="3" s="1"/>
  <c r="H541" i="3"/>
  <c r="AC541" i="3"/>
  <c r="H542" i="3"/>
  <c r="AC542" i="3"/>
  <c r="G542" i="3"/>
  <c r="H543" i="3"/>
  <c r="AC543" i="3"/>
  <c r="G543" i="3" s="1"/>
  <c r="H544" i="3"/>
  <c r="AC544" i="3"/>
  <c r="G544" i="3" s="1"/>
  <c r="H545" i="3"/>
  <c r="AC545" i="3"/>
  <c r="H546" i="3"/>
  <c r="AC546" i="3"/>
  <c r="G546" i="3"/>
  <c r="H547" i="3"/>
  <c r="AC547" i="3"/>
  <c r="G547" i="3" s="1"/>
  <c r="H548" i="3"/>
  <c r="AC548" i="3"/>
  <c r="G548" i="3" s="1"/>
  <c r="H549" i="3"/>
  <c r="AC549" i="3"/>
  <c r="G549" i="3" s="1"/>
  <c r="H550" i="3"/>
  <c r="AC550" i="3"/>
  <c r="G550" i="3" s="1"/>
  <c r="H551" i="3"/>
  <c r="AC551" i="3"/>
  <c r="H552" i="3"/>
  <c r="AC552" i="3"/>
  <c r="G552" i="3"/>
  <c r="H553" i="3"/>
  <c r="AC553" i="3"/>
  <c r="G553" i="3" s="1"/>
  <c r="H554" i="3"/>
  <c r="AC554" i="3"/>
  <c r="G554" i="3" s="1"/>
  <c r="H555" i="3"/>
  <c r="AC555" i="3"/>
  <c r="H556" i="3"/>
  <c r="AC556" i="3"/>
  <c r="G556" i="3"/>
  <c r="H557" i="3"/>
  <c r="AC557" i="3"/>
  <c r="G557" i="3" s="1"/>
  <c r="H558" i="3"/>
  <c r="AC558" i="3"/>
  <c r="G558" i="3" s="1"/>
  <c r="H559" i="3"/>
  <c r="AC559" i="3"/>
  <c r="H560" i="3"/>
  <c r="AC560" i="3"/>
  <c r="G560" i="3"/>
  <c r="H561" i="3"/>
  <c r="AC561" i="3"/>
  <c r="G561" i="3" s="1"/>
  <c r="H562" i="3"/>
  <c r="AC562" i="3"/>
  <c r="G562" i="3" s="1"/>
  <c r="H563" i="3"/>
  <c r="AC563" i="3"/>
  <c r="H564" i="3"/>
  <c r="AC564" i="3"/>
  <c r="G564" i="3"/>
  <c r="H565" i="3"/>
  <c r="AC565" i="3"/>
  <c r="G565" i="3" s="1"/>
  <c r="H566" i="3"/>
  <c r="AC566" i="3"/>
  <c r="G566" i="3" s="1"/>
  <c r="H567" i="3"/>
  <c r="AC567" i="3"/>
  <c r="H568" i="3"/>
  <c r="AC568" i="3"/>
  <c r="G568" i="3"/>
  <c r="H569" i="3"/>
  <c r="AC569" i="3"/>
  <c r="G569" i="3" s="1"/>
  <c r="H570" i="3"/>
  <c r="AC570" i="3"/>
  <c r="G570" i="3" s="1"/>
  <c r="H571" i="3"/>
  <c r="AC571" i="3"/>
  <c r="H572" i="3"/>
  <c r="AC572" i="3"/>
  <c r="G572" i="3"/>
  <c r="H573" i="3"/>
  <c r="AC573" i="3"/>
  <c r="G573" i="3" s="1"/>
  <c r="H574" i="3"/>
  <c r="AC574" i="3"/>
  <c r="G574" i="3" s="1"/>
  <c r="H575" i="3"/>
  <c r="AC575" i="3"/>
  <c r="H576" i="3"/>
  <c r="AC576" i="3"/>
  <c r="G576" i="3"/>
  <c r="H577" i="3"/>
  <c r="AC577" i="3"/>
  <c r="G577" i="3" s="1"/>
  <c r="H578" i="3"/>
  <c r="AC578" i="3"/>
  <c r="G578" i="3" s="1"/>
  <c r="H579" i="3"/>
  <c r="AC579" i="3"/>
  <c r="H580" i="3"/>
  <c r="AC580" i="3"/>
  <c r="G580" i="3"/>
  <c r="H581" i="3"/>
  <c r="AC581" i="3"/>
  <c r="G581" i="3" s="1"/>
  <c r="H582" i="3"/>
  <c r="AC582" i="3"/>
  <c r="G582" i="3" s="1"/>
  <c r="H583" i="3"/>
  <c r="AC583" i="3"/>
  <c r="H584" i="3"/>
  <c r="AC584" i="3"/>
  <c r="G584" i="3"/>
  <c r="H585" i="3"/>
  <c r="AC585" i="3"/>
  <c r="G585" i="3" s="1"/>
  <c r="H586" i="3"/>
  <c r="AC586" i="3"/>
  <c r="G586" i="3" s="1"/>
  <c r="H587" i="3"/>
  <c r="AC587" i="3"/>
  <c r="AT5" i="3"/>
  <c r="AD7" i="71"/>
  <c r="AG7" i="71"/>
  <c r="AH7" i="71"/>
  <c r="AE7" i="71"/>
  <c r="AF7" i="71" s="1"/>
  <c r="X6" i="71"/>
  <c r="AB6" i="71"/>
  <c r="AA6" i="71"/>
  <c r="Y6" i="71"/>
  <c r="Z6" i="71" s="1"/>
  <c r="T7" i="71"/>
  <c r="S7" i="71"/>
  <c r="V7" i="71"/>
  <c r="U7" i="71"/>
  <c r="AB7" i="71"/>
  <c r="Y7" i="71"/>
  <c r="Z7" i="71"/>
  <c r="X7" i="71"/>
  <c r="AA7"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B60" i="72" s="1"/>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65" i="72"/>
  <c r="B59" i="72"/>
  <c r="B58" i="72"/>
  <c r="B67" i="72"/>
  <c r="B66" i="72"/>
  <c r="B10" i="72"/>
  <c r="C53" i="10"/>
  <c r="B51" i="10"/>
  <c r="B19" i="72"/>
  <c r="A18" i="51"/>
  <c r="B13" i="72" s="1"/>
  <c r="C8" i="68"/>
  <c r="B49" i="48"/>
  <c r="B5" i="72" s="1"/>
  <c r="I19" i="43"/>
  <c r="D72" i="71"/>
  <c r="F71" i="71"/>
  <c r="F70" i="71" s="1"/>
  <c r="F69" i="71" s="1"/>
  <c r="E71" i="71"/>
  <c r="E70" i="71" s="1"/>
  <c r="E69" i="71" s="1"/>
  <c r="C71" i="71"/>
  <c r="D71" i="71" s="1"/>
  <c r="B71" i="71"/>
  <c r="B70" i="71"/>
  <c r="B69" i="71" s="1"/>
  <c r="D68" i="71"/>
  <c r="F67" i="71"/>
  <c r="F66" i="71" s="1"/>
  <c r="F65" i="71" s="1"/>
  <c r="E67" i="71"/>
  <c r="E66" i="71" s="1"/>
  <c r="E65" i="71" s="1"/>
  <c r="C67" i="71"/>
  <c r="D67" i="71" s="1"/>
  <c r="B67" i="71"/>
  <c r="B66" i="7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s="1"/>
  <c r="E51" i="71"/>
  <c r="P51" i="71" s="1"/>
  <c r="C51" i="71"/>
  <c r="B51" i="71"/>
  <c r="S51"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P36" i="71"/>
  <c r="E37" i="71" s="1"/>
  <c r="E38" i="71" s="1"/>
  <c r="E39" i="71" s="1"/>
  <c r="U39" i="71" s="1"/>
  <c r="N36" i="71"/>
  <c r="B37" i="71" s="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Y22" i="71"/>
  <c r="Z22" i="71" s="1"/>
  <c r="X22" i="71"/>
  <c r="AB21" i="71"/>
  <c r="Y21" i="71"/>
  <c r="Z21" i="71" s="1"/>
  <c r="V23" i="71"/>
  <c r="AB19" i="71"/>
  <c r="Y19" i="71"/>
  <c r="Z19" i="71" s="1"/>
  <c r="AB18" i="71"/>
  <c r="Y18" i="71"/>
  <c r="Z18" i="71" s="1"/>
  <c r="AB17" i="71"/>
  <c r="Y17" i="71"/>
  <c r="Z17" i="71" s="1"/>
  <c r="V19" i="71"/>
  <c r="AB15" i="71"/>
  <c r="Y15" i="71"/>
  <c r="Z15" i="71" s="1"/>
  <c r="AB14" i="71"/>
  <c r="Y14" i="71"/>
  <c r="Z14" i="71" s="1"/>
  <c r="AB13" i="71"/>
  <c r="Y13" i="71"/>
  <c r="Z13" i="71" s="1"/>
  <c r="V15" i="71"/>
  <c r="S15" i="71"/>
  <c r="X12" i="71"/>
  <c r="AA12" i="71"/>
  <c r="S19" i="71"/>
  <c r="X16" i="71"/>
  <c r="S23" i="71"/>
  <c r="X20" i="71"/>
  <c r="AA20" i="71"/>
  <c r="N51" i="71"/>
  <c r="AA16" i="71"/>
  <c r="Y12" i="71"/>
  <c r="Z12" i="71" s="1"/>
  <c r="AB12" i="71"/>
  <c r="X13" i="71"/>
  <c r="AA13" i="71"/>
  <c r="X14" i="71"/>
  <c r="AA14" i="71"/>
  <c r="X15" i="71"/>
  <c r="AA15" i="71"/>
  <c r="Y16" i="71"/>
  <c r="Z16" i="71" s="1"/>
  <c r="AB16" i="71"/>
  <c r="X17" i="71"/>
  <c r="AA17" i="71"/>
  <c r="X18" i="71"/>
  <c r="AA18" i="71"/>
  <c r="X19" i="71"/>
  <c r="AA19" i="71"/>
  <c r="Y20" i="71"/>
  <c r="Z20" i="71" s="1"/>
  <c r="AB20" i="71"/>
  <c r="X21" i="71"/>
  <c r="AA21" i="71"/>
  <c r="F34" i="71"/>
  <c r="F35" i="71"/>
  <c r="V35" i="71" s="1"/>
  <c r="Y3" i="71"/>
  <c r="Z3" i="71" s="1"/>
  <c r="Y8" i="71"/>
  <c r="Z8" i="71" s="1"/>
  <c r="Y9" i="71"/>
  <c r="Z9" i="71" s="1"/>
  <c r="Y10" i="71"/>
  <c r="Z10" i="71" s="1"/>
  <c r="Y11" i="71"/>
  <c r="Z11" i="71" s="1"/>
  <c r="X8" i="71"/>
  <c r="X9" i="71"/>
  <c r="X10" i="71"/>
  <c r="X3" i="71"/>
  <c r="X11" i="71"/>
  <c r="E46" i="71"/>
  <c r="E47" i="71" s="1"/>
  <c r="U47" i="71" s="1"/>
  <c r="U51" i="71"/>
  <c r="E50" i="71"/>
  <c r="P50" i="71" s="1"/>
  <c r="C46" i="71"/>
  <c r="D46" i="71" s="1"/>
  <c r="D45" i="71"/>
  <c r="N50" i="71"/>
  <c r="B49" i="71"/>
  <c r="N49" i="71" s="1"/>
  <c r="T51" i="71"/>
  <c r="O51" i="71"/>
  <c r="D51" i="71"/>
  <c r="C50" i="71"/>
  <c r="C49" i="71" s="1"/>
  <c r="Q51" i="71"/>
  <c r="C54" i="71"/>
  <c r="C53" i="71" s="1"/>
  <c r="D53" i="71" s="1"/>
  <c r="E54" i="71"/>
  <c r="E53" i="71"/>
  <c r="D55" i="71"/>
  <c r="C58" i="71"/>
  <c r="D58" i="71" s="1"/>
  <c r="E58" i="71"/>
  <c r="E57" i="71"/>
  <c r="D59" i="71"/>
  <c r="C62" i="71"/>
  <c r="D62" i="71" s="1"/>
  <c r="E62" i="71"/>
  <c r="E61" i="71"/>
  <c r="D63" i="71"/>
  <c r="C66" i="71"/>
  <c r="C65" i="71" s="1"/>
  <c r="D65" i="71" s="1"/>
  <c r="C70" i="71"/>
  <c r="T11" i="71"/>
  <c r="S11" i="71"/>
  <c r="AB3" i="71"/>
  <c r="AB8" i="71"/>
  <c r="AB9" i="71"/>
  <c r="AB10" i="71"/>
  <c r="AB11" i="71"/>
  <c r="AA3" i="71"/>
  <c r="AA8" i="71"/>
  <c r="AA9" i="71"/>
  <c r="AA10" i="71"/>
  <c r="AA11" i="71"/>
  <c r="O50" i="71"/>
  <c r="C47" i="71"/>
  <c r="D47" i="71" s="1"/>
  <c r="D66" i="71"/>
  <c r="N48" i="71"/>
  <c r="D70" i="71"/>
  <c r="C69" i="71"/>
  <c r="D69" i="71"/>
  <c r="D54" i="71"/>
  <c r="E49" i="71"/>
  <c r="P49" i="71" s="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D81" i="21"/>
  <c r="G20" i="20"/>
  <c r="B86" i="43"/>
  <c r="C22" i="20"/>
  <c r="C29" i="80" s="1"/>
  <c r="B75" i="43"/>
  <c r="B55" i="43"/>
  <c r="B66" i="43"/>
  <c r="C25" i="40"/>
  <c r="C29" i="39"/>
  <c r="S25" i="40"/>
  <c r="S18" i="36"/>
  <c r="U18" i="36"/>
  <c r="S21" i="34"/>
  <c r="F94" i="40"/>
  <c r="H25" i="40"/>
  <c r="G94" i="40"/>
  <c r="J25" i="40"/>
  <c r="AC25" i="40" s="1"/>
  <c r="J18" i="36"/>
  <c r="H18" i="35"/>
  <c r="U18" i="35" s="1"/>
  <c r="S18" i="35"/>
  <c r="J18" i="35"/>
  <c r="AC18" i="35" s="1"/>
  <c r="H21" i="37"/>
  <c r="F21" i="37"/>
  <c r="S21" i="37" s="1"/>
  <c r="H21" i="34"/>
  <c r="U21" i="34" s="1"/>
  <c r="H21" i="33"/>
  <c r="AB21" i="33" s="1"/>
  <c r="F21" i="33"/>
  <c r="H1" i="69"/>
  <c r="W25" i="40"/>
  <c r="AB25" i="40"/>
  <c r="U25" i="40"/>
  <c r="AC18" i="36"/>
  <c r="W18" i="36"/>
  <c r="AB21" i="37"/>
  <c r="U21" i="37"/>
  <c r="AB21" i="34"/>
  <c r="AA21" i="33"/>
  <c r="S21" i="33"/>
  <c r="AB18" i="35"/>
  <c r="W18" i="35"/>
  <c r="J21" i="37"/>
  <c r="J21" i="34"/>
  <c r="J21" i="33"/>
  <c r="F38" i="69"/>
  <c r="E37" i="69"/>
  <c r="F36" i="69"/>
  <c r="F35" i="69"/>
  <c r="F21" i="69"/>
  <c r="C21" i="69" s="1"/>
  <c r="C30" i="69" s="1"/>
  <c r="F20" i="69"/>
  <c r="E10" i="69"/>
  <c r="E9" i="69"/>
  <c r="F7" i="69"/>
  <c r="AC21" i="37"/>
  <c r="W21" i="37"/>
  <c r="AC21" i="34"/>
  <c r="W21" i="34"/>
  <c r="AC21" i="33"/>
  <c r="W21" i="33"/>
  <c r="F38" i="68"/>
  <c r="E37" i="68"/>
  <c r="F36" i="68"/>
  <c r="F35" i="68"/>
  <c r="F21" i="68"/>
  <c r="C21" i="68" s="1"/>
  <c r="F20" i="68"/>
  <c r="E10" i="68"/>
  <c r="E9" i="68"/>
  <c r="F7" i="68"/>
  <c r="C7" i="68" s="1"/>
  <c r="C5" i="68" s="1"/>
  <c r="Q72" i="67"/>
  <c r="Q59" i="67"/>
  <c r="Q58" i="67"/>
  <c r="Q51" i="67"/>
  <c r="J50"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G11" i="1" s="1"/>
  <c r="F12" i="1"/>
  <c r="F13" i="1"/>
  <c r="D6" i="1"/>
  <c r="D9" i="1"/>
  <c r="D10" i="1"/>
  <c r="D11" i="1"/>
  <c r="D12" i="1"/>
  <c r="D13" i="1"/>
  <c r="D7" i="1"/>
  <c r="D8" i="1"/>
  <c r="A7" i="1"/>
  <c r="B7" i="1" s="1"/>
  <c r="E7" i="1" s="1"/>
  <c r="A8" i="1"/>
  <c r="B8" i="1"/>
  <c r="E8" i="1" s="1"/>
  <c r="A9" i="1"/>
  <c r="A10" i="1"/>
  <c r="K10" i="1" s="1"/>
  <c r="M10" i="1" s="1"/>
  <c r="A11" i="1"/>
  <c r="B11" i="1" s="1"/>
  <c r="E11" i="1" s="1"/>
  <c r="A12" i="1"/>
  <c r="A13" i="1"/>
  <c r="A6" i="1"/>
  <c r="F3" i="35" s="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L22" i="4"/>
  <c r="B61" i="72"/>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B17" i="72"/>
  <c r="B15" i="72"/>
  <c r="A3" i="51"/>
  <c r="C8" i="11"/>
  <c r="B2" i="49"/>
  <c r="B23" i="49" s="1"/>
  <c r="B40" i="48"/>
  <c r="B3" i="72" s="1"/>
  <c r="I2" i="43"/>
  <c r="N1" i="43" s="1"/>
  <c r="F35" i="4"/>
  <c r="J55" i="80" s="1"/>
  <c r="J55" i="39"/>
  <c r="H34" i="43"/>
  <c r="H35" i="43"/>
  <c r="H36" i="43"/>
  <c r="H37" i="43"/>
  <c r="H38" i="43"/>
  <c r="H39" i="43"/>
  <c r="A7" i="43"/>
  <c r="F33" i="15"/>
  <c r="F61" i="15" s="1"/>
  <c r="M19" i="15"/>
  <c r="O10" i="1"/>
  <c r="B22" i="1"/>
  <c r="B23" i="1"/>
  <c r="B24" i="1"/>
  <c r="B43" i="1"/>
  <c r="D78" i="9" s="1"/>
  <c r="E19" i="6"/>
  <c r="E20" i="6"/>
  <c r="E21" i="6"/>
  <c r="K8" i="1"/>
  <c r="M8" i="1" s="1"/>
  <c r="F23" i="15"/>
  <c r="D24" i="15" s="1"/>
  <c r="O8" i="1"/>
  <c r="P8" i="1"/>
  <c r="M13" i="1"/>
  <c r="O13" i="1"/>
  <c r="P13" i="1"/>
  <c r="E22" i="6"/>
  <c r="E23" i="6"/>
  <c r="E24" i="6"/>
  <c r="E25" i="6"/>
  <c r="E26" i="6"/>
  <c r="BC10" i="3"/>
  <c r="BD10" i="3"/>
  <c r="BB10"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F30" i="40" s="1"/>
  <c r="AA30" i="40" s="1"/>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F36" i="39" s="1"/>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B114" i="39"/>
  <c r="J37" i="39"/>
  <c r="D109" i="39"/>
  <c r="D107" i="39"/>
  <c r="E107" i="39" s="1"/>
  <c r="D105" i="39"/>
  <c r="E105" i="39" s="1"/>
  <c r="D101" i="39"/>
  <c r="E101" i="39" s="1"/>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s="1"/>
  <c r="AC23" i="39" s="1"/>
  <c r="D95" i="39"/>
  <c r="E95" i="39" s="1"/>
  <c r="F95" i="39" s="1"/>
  <c r="D93" i="39"/>
  <c r="E93" i="39"/>
  <c r="F93" i="39" s="1"/>
  <c r="G93" i="39" s="1"/>
  <c r="D91" i="39"/>
  <c r="E91" i="39"/>
  <c r="F91" i="39" s="1"/>
  <c r="G91" i="39" s="1"/>
  <c r="D89" i="39"/>
  <c r="E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C16" i="20"/>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F39"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1" i="21"/>
  <c r="D77" i="21"/>
  <c r="E77" i="21" s="1"/>
  <c r="B130" i="21"/>
  <c r="B128" i="21"/>
  <c r="J45" i="21" s="1"/>
  <c r="W45" i="21" s="1"/>
  <c r="B126" i="21"/>
  <c r="B98" i="21"/>
  <c r="H31" i="21" s="1"/>
  <c r="B96" i="21"/>
  <c r="B94" i="21"/>
  <c r="J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c r="J34" i="21"/>
  <c r="W34" i="21" s="1"/>
  <c r="H36" i="21"/>
  <c r="U36" i="21" s="1"/>
  <c r="F35" i="21"/>
  <c r="AA35" i="21" s="1"/>
  <c r="J10" i="21"/>
  <c r="AC10" i="21" s="1"/>
  <c r="H26" i="21"/>
  <c r="AB26" i="21" s="1"/>
  <c r="J12" i="21"/>
  <c r="AC12" i="21" s="1"/>
  <c r="H12" i="21"/>
  <c r="AB12" i="21" s="1"/>
  <c r="J26" i="21"/>
  <c r="W26" i="21" s="1"/>
  <c r="F26" i="21"/>
  <c r="S26" i="21" s="1"/>
  <c r="AB41" i="21"/>
  <c r="S41" i="21"/>
  <c r="AA41" i="21"/>
  <c r="F45" i="39"/>
  <c r="S45" i="39" s="1"/>
  <c r="H36" i="39"/>
  <c r="AB36" i="39" s="1"/>
  <c r="J35" i="39"/>
  <c r="AC35" i="39" s="1"/>
  <c r="F35" i="39"/>
  <c r="AA35" i="39" s="1"/>
  <c r="W40" i="39"/>
  <c r="U30" i="37"/>
  <c r="W31" i="37"/>
  <c r="E103" i="37"/>
  <c r="F103" i="37" s="1"/>
  <c r="G103" i="37" s="1"/>
  <c r="H103" i="37" s="1"/>
  <c r="I103" i="37" s="1"/>
  <c r="J103" i="37" s="1"/>
  <c r="K103" i="37" s="1"/>
  <c r="L103" i="37" s="1"/>
  <c r="M103" i="37" s="1"/>
  <c r="F39" i="37"/>
  <c r="S39" i="37" s="1"/>
  <c r="F29" i="36"/>
  <c r="AA29" i="36"/>
  <c r="W8" i="36"/>
  <c r="F16" i="36"/>
  <c r="AA16" i="36" s="1"/>
  <c r="U9" i="36"/>
  <c r="W28" i="36"/>
  <c r="S30" i="36"/>
  <c r="AA31" i="36"/>
  <c r="W31" i="36"/>
  <c r="U31" i="36"/>
  <c r="J33" i="36"/>
  <c r="W33" i="36" s="1"/>
  <c r="H22" i="35"/>
  <c r="AB22" i="35" s="1"/>
  <c r="AC27" i="35"/>
  <c r="U31" i="35"/>
  <c r="W22" i="35"/>
  <c r="S31" i="35"/>
  <c r="F36" i="34"/>
  <c r="J35" i="34"/>
  <c r="S34" i="34"/>
  <c r="U34" i="34"/>
  <c r="H39" i="33"/>
  <c r="AB39" i="33"/>
  <c r="F26" i="33"/>
  <c r="AA26" i="33"/>
  <c r="U33" i="33"/>
  <c r="S40" i="33"/>
  <c r="W39" i="33"/>
  <c r="F11" i="40"/>
  <c r="AA11" i="40" s="1"/>
  <c r="H11" i="40"/>
  <c r="AB11" i="40" s="1"/>
  <c r="W8" i="40"/>
  <c r="AC40" i="40"/>
  <c r="AA9" i="40"/>
  <c r="AC9" i="40"/>
  <c r="S34" i="40"/>
  <c r="S40" i="40"/>
  <c r="U34" i="40"/>
  <c r="U40" i="40"/>
  <c r="F41" i="39"/>
  <c r="S41" i="39" s="1"/>
  <c r="H40" i="39"/>
  <c r="AB40" i="39" s="1"/>
  <c r="E109" i="39"/>
  <c r="F34" i="39" s="1"/>
  <c r="H19" i="39"/>
  <c r="AB19" i="39" s="1"/>
  <c r="F19" i="39"/>
  <c r="AA19" i="39" s="1"/>
  <c r="H17" i="39"/>
  <c r="AB17" i="39" s="1"/>
  <c r="F17" i="39"/>
  <c r="AA17" i="39" s="1"/>
  <c r="J23" i="40"/>
  <c r="AC23" i="40" s="1"/>
  <c r="F21" i="40"/>
  <c r="AA21" i="40" s="1"/>
  <c r="J21" i="40"/>
  <c r="W21" i="40" s="1"/>
  <c r="J34" i="39"/>
  <c r="AC34" i="39" s="1"/>
  <c r="J19" i="39"/>
  <c r="AC19" i="39"/>
  <c r="J17" i="39"/>
  <c r="U34" i="21"/>
  <c r="C21" i="39"/>
  <c r="S40" i="39"/>
  <c r="H32" i="33"/>
  <c r="AB32" i="33"/>
  <c r="H37" i="40"/>
  <c r="U37" i="40"/>
  <c r="H36" i="40"/>
  <c r="AB36" i="40"/>
  <c r="F35" i="40"/>
  <c r="AA35" i="40"/>
  <c r="H23" i="40"/>
  <c r="AB23" i="40"/>
  <c r="H17" i="40"/>
  <c r="U17" i="40"/>
  <c r="J15" i="40"/>
  <c r="W15" i="40" s="1"/>
  <c r="J11" i="40"/>
  <c r="W11" i="40" s="1"/>
  <c r="AB12" i="33"/>
  <c r="AC12" i="34"/>
  <c r="AB12" i="35"/>
  <c r="AB12" i="36"/>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AC15" i="34" s="1"/>
  <c r="H15" i="34"/>
  <c r="AB15" i="34"/>
  <c r="W8" i="34"/>
  <c r="F41" i="33"/>
  <c r="AA41" i="33"/>
  <c r="E113" i="33"/>
  <c r="F113" i="33" s="1"/>
  <c r="G113" i="33" s="1"/>
  <c r="H113" i="33" s="1"/>
  <c r="I113" i="33" s="1"/>
  <c r="J113" i="33" s="1"/>
  <c r="K113" i="33" s="1"/>
  <c r="L113" i="33" s="1"/>
  <c r="M113" i="33" s="1"/>
  <c r="F32" i="33"/>
  <c r="AA32" i="33"/>
  <c r="J19" i="33"/>
  <c r="AC19" i="33"/>
  <c r="J15" i="33"/>
  <c r="AC15" i="33"/>
  <c r="F11" i="33"/>
  <c r="AA11" i="33"/>
  <c r="S26"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AA14" i="33"/>
  <c r="J36" i="37"/>
  <c r="AC36" i="37"/>
  <c r="G105" i="37"/>
  <c r="AB11" i="36"/>
  <c r="J10" i="36"/>
  <c r="AC10" i="36" s="1"/>
  <c r="AB26" i="33"/>
  <c r="AB30" i="21"/>
  <c r="AA14" i="37"/>
  <c r="W31" i="34"/>
  <c r="W13" i="36"/>
  <c r="W11" i="36"/>
  <c r="AB46" i="34"/>
  <c r="AA14" i="34"/>
  <c r="AB45" i="33"/>
  <c r="U31" i="33"/>
  <c r="U13" i="33"/>
  <c r="S44" i="34"/>
  <c r="J41" i="39"/>
  <c r="W41" i="39" s="1"/>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23" i="35"/>
  <c r="W14" i="37"/>
  <c r="U33" i="37"/>
  <c r="W26" i="37"/>
  <c r="AC8" i="37"/>
  <c r="U26" i="37"/>
  <c r="W47" i="34"/>
  <c r="AB13" i="34"/>
  <c r="W37" i="34"/>
  <c r="AB37" i="34"/>
  <c r="AA13" i="33"/>
  <c r="AC45" i="33"/>
  <c r="U11" i="33"/>
  <c r="AB38" i="21"/>
  <c r="F43" i="33"/>
  <c r="AA43" i="33" s="1"/>
  <c r="W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c r="F12" i="39"/>
  <c r="S12" i="39" s="1"/>
  <c r="H21" i="40"/>
  <c r="AB21" i="40" s="1"/>
  <c r="H31" i="37"/>
  <c r="U31" i="37" s="1"/>
  <c r="F71" i="37"/>
  <c r="G71" i="37" s="1"/>
  <c r="J15" i="37"/>
  <c r="W15" i="37" s="1"/>
  <c r="U12" i="37"/>
  <c r="AT6" i="3"/>
  <c r="H5" i="3"/>
  <c r="H19" i="40"/>
  <c r="U19" i="40"/>
  <c r="F88" i="40"/>
  <c r="G88" i="40"/>
  <c r="F19" i="40"/>
  <c r="S19" i="40"/>
  <c r="S14" i="40"/>
  <c r="AC13" i="40"/>
  <c r="AB33" i="40"/>
  <c r="W23" i="39"/>
  <c r="H37" i="39"/>
  <c r="AB37" i="39" s="1"/>
  <c r="AC37" i="39"/>
  <c r="W37" i="39"/>
  <c r="H41" i="39"/>
  <c r="AB41" i="39" s="1"/>
  <c r="U40" i="39"/>
  <c r="W9" i="39"/>
  <c r="W8" i="39"/>
  <c r="J19" i="40"/>
  <c r="AC19" i="40" s="1"/>
  <c r="J50" i="40"/>
  <c r="B54" i="72"/>
  <c r="H103" i="9"/>
  <c r="D8" i="53" s="1"/>
  <c r="B16" i="53"/>
  <c r="B33" i="72" s="1"/>
  <c r="C7" i="37"/>
  <c r="C7" i="34"/>
  <c r="C7" i="36"/>
  <c r="A118" i="9"/>
  <c r="A4" i="52"/>
  <c r="B41" i="72" s="1"/>
  <c r="A12" i="52"/>
  <c r="B56" i="72" s="1"/>
  <c r="G4" i="4"/>
  <c r="I4" i="4"/>
  <c r="K5" i="4"/>
  <c r="B47" i="48" s="1"/>
  <c r="A2" i="9"/>
  <c r="N2" i="43"/>
  <c r="F59" i="43"/>
  <c r="H62" i="43" s="1"/>
  <c r="BO5" i="3"/>
  <c r="BM5" i="3"/>
  <c r="F29" i="6" s="1"/>
  <c r="BJ5" i="3"/>
  <c r="BH5" i="3"/>
  <c r="BF5" i="3"/>
  <c r="BD5" i="3"/>
  <c r="BQ5" i="3"/>
  <c r="AC5" i="3"/>
  <c r="BS5" i="3"/>
  <c r="BP5" i="3"/>
  <c r="G29" i="6" s="1"/>
  <c r="BN5" i="3"/>
  <c r="BK5" i="3"/>
  <c r="BI5" i="3"/>
  <c r="BG5" i="3"/>
  <c r="BE5" i="3"/>
  <c r="BC5" i="3"/>
  <c r="BT5" i="3"/>
  <c r="BB5" i="3"/>
  <c r="E15" i="6" s="1"/>
  <c r="E65" i="80" s="1"/>
  <c r="BR5" i="3"/>
  <c r="G28" i="6" s="1"/>
  <c r="E8" i="6"/>
  <c r="E51" i="40" s="1"/>
  <c r="U36" i="40"/>
  <c r="F81" i="43"/>
  <c r="H83" i="43" s="1"/>
  <c r="F48" i="43"/>
  <c r="H52" i="43" s="1"/>
  <c r="N7" i="43"/>
  <c r="F70" i="43"/>
  <c r="H73" i="43"/>
  <c r="M11" i="43"/>
  <c r="E17" i="43"/>
  <c r="F6" i="1"/>
  <c r="U17" i="39"/>
  <c r="S14" i="35"/>
  <c r="AC35" i="21"/>
  <c r="U10" i="21"/>
  <c r="G8" i="1"/>
  <c r="G9" i="1"/>
  <c r="G10" i="1"/>
  <c r="F48" i="9"/>
  <c r="O52" i="9" s="1"/>
  <c r="W37" i="37"/>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E97" i="39"/>
  <c r="F97" i="39" s="1"/>
  <c r="G97" i="39" s="1"/>
  <c r="C40" i="11"/>
  <c r="H75" i="43"/>
  <c r="H74" i="43"/>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K9" i="1"/>
  <c r="M9" i="1" s="1"/>
  <c r="O9" i="1"/>
  <c r="P9" i="1"/>
  <c r="AE9" i="1"/>
  <c r="D93" i="9"/>
  <c r="K6" i="1"/>
  <c r="M6" i="1" s="1"/>
  <c r="AC26" i="33"/>
  <c r="W26" i="33"/>
  <c r="W27" i="34"/>
  <c r="AC27" i="34"/>
  <c r="AB34" i="36"/>
  <c r="U34" i="36"/>
  <c r="AB33" i="36"/>
  <c r="U33" i="36"/>
  <c r="AC39" i="40"/>
  <c r="W39" i="40"/>
  <c r="AA32" i="36"/>
  <c r="S32" i="36"/>
  <c r="AA39" i="34"/>
  <c r="F28" i="6"/>
  <c r="U30" i="33"/>
  <c r="AC13" i="34"/>
  <c r="AA47" i="34"/>
  <c r="W28" i="37"/>
  <c r="S19" i="39"/>
  <c r="F12" i="33"/>
  <c r="S12" i="33" s="1"/>
  <c r="H12" i="39"/>
  <c r="AB12" i="39" s="1"/>
  <c r="F39" i="40"/>
  <c r="AA39" i="40" s="1"/>
  <c r="S12" i="1"/>
  <c r="AQ12" i="1" s="1"/>
  <c r="R12" i="1"/>
  <c r="B12" i="1"/>
  <c r="E12" i="1" s="1"/>
  <c r="S10" i="1"/>
  <c r="AQ10" i="1" s="1"/>
  <c r="R10" i="1"/>
  <c r="B10" i="1"/>
  <c r="E10" i="1" s="1"/>
  <c r="K12" i="1"/>
  <c r="M12" i="1" s="1"/>
  <c r="O12" i="1"/>
  <c r="P12" i="1"/>
  <c r="S13" i="1"/>
  <c r="AR13" i="1" s="1"/>
  <c r="R13" i="1"/>
  <c r="S11" i="1"/>
  <c r="AQ11" i="1" s="1"/>
  <c r="R11" i="1"/>
  <c r="S9" i="1"/>
  <c r="AR9" i="1" s="1"/>
  <c r="R9" i="1"/>
  <c r="J51" i="67"/>
  <c r="C42" i="1"/>
  <c r="C77" i="9" s="1"/>
  <c r="C74" i="9" s="1"/>
  <c r="H100" i="43"/>
  <c r="C30" i="66"/>
  <c r="E26" i="66" s="1"/>
  <c r="AA34" i="33"/>
  <c r="B41" i="1"/>
  <c r="F53" i="9" s="1"/>
  <c r="J100" i="43"/>
  <c r="AB37" i="40"/>
  <c r="S35" i="40"/>
  <c r="U35" i="40"/>
  <c r="AC36" i="40"/>
  <c r="W38" i="40"/>
  <c r="AA32" i="40"/>
  <c r="S17" i="40"/>
  <c r="S23" i="40"/>
  <c r="AC17" i="40"/>
  <c r="AC15" i="40"/>
  <c r="AB27" i="40"/>
  <c r="AA19" i="40"/>
  <c r="S28" i="40"/>
  <c r="U21" i="40"/>
  <c r="AB19" i="40"/>
  <c r="U37" i="39"/>
  <c r="S43" i="39"/>
  <c r="S37" i="39"/>
  <c r="U35" i="39"/>
  <c r="J21" i="39"/>
  <c r="W21" i="39" s="1"/>
  <c r="F21" i="39"/>
  <c r="S21" i="39" s="1"/>
  <c r="G95" i="39"/>
  <c r="H21" i="39"/>
  <c r="U21" i="39" s="1"/>
  <c r="W19" i="39"/>
  <c r="U19" i="39"/>
  <c r="S17" i="39"/>
  <c r="AA12" i="39"/>
  <c r="S9" i="39"/>
  <c r="U14" i="39"/>
  <c r="AC13" i="39"/>
  <c r="U12" i="39"/>
  <c r="S23" i="36"/>
  <c r="U13" i="36"/>
  <c r="AC27" i="36"/>
  <c r="AB27" i="36"/>
  <c r="U26" i="36"/>
  <c r="S33"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B10" i="35"/>
  <c r="AA11" i="35"/>
  <c r="S8" i="35"/>
  <c r="AC12" i="35"/>
  <c r="W13" i="35"/>
  <c r="F9" i="35"/>
  <c r="H9" i="35"/>
  <c r="AB9" i="35" s="1"/>
  <c r="F26" i="35"/>
  <c r="AA26" i="35" s="1"/>
  <c r="J26" i="35"/>
  <c r="W26" i="35" s="1"/>
  <c r="H26" i="35"/>
  <c r="AB40" i="37"/>
  <c r="W27" i="37"/>
  <c r="S26" i="37"/>
  <c r="AC9" i="37"/>
  <c r="AC29" i="37"/>
  <c r="U29" i="37"/>
  <c r="W30" i="37"/>
  <c r="S36" i="37"/>
  <c r="AA38" i="37"/>
  <c r="U32" i="37"/>
  <c r="W38" i="37"/>
  <c r="AC35" i="37"/>
  <c r="W39" i="37"/>
  <c r="S30" i="37"/>
  <c r="S37" i="37"/>
  <c r="J17" i="37"/>
  <c r="W17" i="37" s="1"/>
  <c r="G73" i="37"/>
  <c r="F17" i="37"/>
  <c r="AA17" i="37" s="1"/>
  <c r="AB17" i="37"/>
  <c r="F75" i="37"/>
  <c r="F19" i="37"/>
  <c r="AA19" i="37" s="1"/>
  <c r="F79" i="37"/>
  <c r="F23" i="37"/>
  <c r="S23" i="37" s="1"/>
  <c r="U23" i="37"/>
  <c r="U15" i="37"/>
  <c r="AC13" i="37"/>
  <c r="U9" i="37"/>
  <c r="AA13" i="37"/>
  <c r="AA12" i="37"/>
  <c r="H10" i="37"/>
  <c r="AB10" i="37" s="1"/>
  <c r="H60" i="37"/>
  <c r="F11" i="37"/>
  <c r="S11" i="37" s="1"/>
  <c r="S27" i="34"/>
  <c r="W25" i="34"/>
  <c r="AB8" i="34"/>
  <c r="AA33" i="34"/>
  <c r="U44" i="34"/>
  <c r="U43" i="34"/>
  <c r="AC39" i="34"/>
  <c r="W41" i="34"/>
  <c r="AC42"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J23" i="33"/>
  <c r="AC23" i="33" s="1"/>
  <c r="F85" i="33"/>
  <c r="H23" i="33"/>
  <c r="AB23" i="33" s="1"/>
  <c r="F81" i="33"/>
  <c r="F19" i="33"/>
  <c r="S19" i="33" s="1"/>
  <c r="W19" i="33"/>
  <c r="J17" i="33"/>
  <c r="F79" i="33"/>
  <c r="S15" i="33"/>
  <c r="W15" i="33"/>
  <c r="U9" i="33"/>
  <c r="J10" i="33"/>
  <c r="H10" i="33"/>
  <c r="U10" i="33" s="1"/>
  <c r="AA10" i="33"/>
  <c r="AC11" i="33"/>
  <c r="AB14" i="33"/>
  <c r="W43" i="21"/>
  <c r="W36" i="21"/>
  <c r="W41" i="21"/>
  <c r="AA43" i="21"/>
  <c r="AA38" i="21"/>
  <c r="AA36" i="21"/>
  <c r="AC40" i="21"/>
  <c r="E85" i="21"/>
  <c r="AA14" i="21"/>
  <c r="AB8" i="21"/>
  <c r="S8" i="21"/>
  <c r="M3" i="43"/>
  <c r="N10" i="43"/>
  <c r="M1" i="43"/>
  <c r="M8" i="43"/>
  <c r="N8" i="43"/>
  <c r="N9" i="43"/>
  <c r="C18" i="9"/>
  <c r="D18" i="9" s="1"/>
  <c r="F34" i="67"/>
  <c r="F62" i="67" s="1"/>
  <c r="M20" i="67"/>
  <c r="F34" i="15"/>
  <c r="F62" i="15" s="1"/>
  <c r="E10" i="6"/>
  <c r="J56" i="9"/>
  <c r="J57" i="9" s="1"/>
  <c r="J59" i="9" s="1"/>
  <c r="J61" i="9" s="1"/>
  <c r="A24" i="51"/>
  <c r="B18" i="72" s="1"/>
  <c r="U29" i="34"/>
  <c r="E5" i="6"/>
  <c r="D9" i="11" s="1"/>
  <c r="C9" i="11" s="1"/>
  <c r="P10" i="1"/>
  <c r="E32" i="6"/>
  <c r="G1" i="68"/>
  <c r="K1" i="12"/>
  <c r="AR12" i="1"/>
  <c r="T12" i="1"/>
  <c r="E19" i="69"/>
  <c r="E19" i="68"/>
  <c r="E19" i="11"/>
  <c r="E1" i="73"/>
  <c r="G41" i="69"/>
  <c r="G22" i="69"/>
  <c r="G41" i="68"/>
  <c r="G22" i="68"/>
  <c r="G27" i="12"/>
  <c r="G26" i="12"/>
  <c r="G41" i="11"/>
  <c r="G22" i="11"/>
  <c r="G25" i="12"/>
  <c r="E81" i="43"/>
  <c r="B79" i="43" s="1"/>
  <c r="E48" i="43"/>
  <c r="B46" i="43" s="1"/>
  <c r="E70" i="43"/>
  <c r="B68" i="43" s="1"/>
  <c r="F100" i="43"/>
  <c r="G6" i="1"/>
  <c r="H81" i="43"/>
  <c r="H53" i="43"/>
  <c r="H54" i="43"/>
  <c r="H78" i="43"/>
  <c r="H70" i="43"/>
  <c r="H71" i="43"/>
  <c r="M7" i="43"/>
  <c r="N6" i="43"/>
  <c r="M2" i="43"/>
  <c r="M10" i="43"/>
  <c r="N3" i="43"/>
  <c r="N11" i="43"/>
  <c r="M9" i="43"/>
  <c r="N12" i="43"/>
  <c r="N5" i="43"/>
  <c r="M5" i="43"/>
  <c r="M12" i="43"/>
  <c r="M4" i="43"/>
  <c r="B19" i="53"/>
  <c r="B37" i="72" s="1"/>
  <c r="C7" i="39"/>
  <c r="C68" i="39" s="1"/>
  <c r="C7" i="35"/>
  <c r="C48" i="35" s="1"/>
  <c r="C7" i="33"/>
  <c r="C58" i="33" s="1"/>
  <c r="C7" i="21"/>
  <c r="C58" i="21" s="1"/>
  <c r="D58" i="21" s="1"/>
  <c r="E58" i="21" s="1"/>
  <c r="F58" i="21" s="1"/>
  <c r="G58" i="21" s="1"/>
  <c r="H58" i="21" s="1"/>
  <c r="I58" i="21" s="1"/>
  <c r="J58" i="21" s="1"/>
  <c r="K58" i="21" s="1"/>
  <c r="L58" i="21" s="1"/>
  <c r="M58" i="21" s="1"/>
  <c r="N58" i="21" s="1"/>
  <c r="O58" i="21" s="1"/>
  <c r="C7" i="40"/>
  <c r="C63" i="40" s="1"/>
  <c r="M47" i="9"/>
  <c r="T35" i="4"/>
  <c r="A19" i="51" s="1"/>
  <c r="B14" i="72" s="1"/>
  <c r="C46" i="36"/>
  <c r="D46" i="36" s="1"/>
  <c r="C59" i="34"/>
  <c r="D59" i="34" s="1"/>
  <c r="E59" i="34" s="1"/>
  <c r="F59" i="34" s="1"/>
  <c r="G59" i="34" s="1"/>
  <c r="H59" i="34" s="1"/>
  <c r="C52" i="37"/>
  <c r="D52" i="37" s="1"/>
  <c r="E52" i="37" s="1"/>
  <c r="F52" i="37" s="1"/>
  <c r="G52" i="37" s="1"/>
  <c r="A4" i="51"/>
  <c r="B6" i="72" s="1"/>
  <c r="C94" i="9"/>
  <c r="C4" i="12"/>
  <c r="C92" i="9"/>
  <c r="H66" i="43"/>
  <c r="H65" i="43"/>
  <c r="H64" i="43"/>
  <c r="H63" i="43"/>
  <c r="H55" i="43"/>
  <c r="H51" i="43"/>
  <c r="H56" i="43"/>
  <c r="H76" i="43"/>
  <c r="H72" i="43"/>
  <c r="H77" i="43"/>
  <c r="L20" i="6"/>
  <c r="E56" i="39"/>
  <c r="B6" i="1"/>
  <c r="E6" i="1" s="1"/>
  <c r="S8" i="1"/>
  <c r="AR8" i="1" s="1"/>
  <c r="K11" i="1"/>
  <c r="M11" i="1" s="1"/>
  <c r="O11" i="1"/>
  <c r="P11" i="1"/>
  <c r="AP6" i="1"/>
  <c r="B9" i="1"/>
  <c r="E9" i="1" s="1"/>
  <c r="K7" i="1"/>
  <c r="M7" i="1" s="1"/>
  <c r="G1" i="15"/>
  <c r="G1" i="69"/>
  <c r="G1" i="67"/>
  <c r="W23" i="40"/>
  <c r="U32" i="40"/>
  <c r="AB31" i="40"/>
  <c r="S37" i="40"/>
  <c r="AB28" i="40"/>
  <c r="W28" i="40"/>
  <c r="W34" i="40"/>
  <c r="W27" i="40"/>
  <c r="S36" i="40"/>
  <c r="W37" i="40"/>
  <c r="AC14" i="40"/>
  <c r="S13" i="40"/>
  <c r="S33" i="40"/>
  <c r="AA15" i="40"/>
  <c r="U11" i="40"/>
  <c r="S31" i="40"/>
  <c r="AB13" i="40"/>
  <c r="U15" i="40"/>
  <c r="AB17" i="40"/>
  <c r="U8" i="40"/>
  <c r="S8" i="40"/>
  <c r="AB23" i="39"/>
  <c r="U13" i="39"/>
  <c r="AB13" i="39"/>
  <c r="AA13" i="39"/>
  <c r="S13" i="39"/>
  <c r="S14" i="39"/>
  <c r="AA14" i="39"/>
  <c r="U43" i="39"/>
  <c r="AB43" i="39"/>
  <c r="W17" i="39"/>
  <c r="AC17" i="39"/>
  <c r="AA45" i="39"/>
  <c r="W34"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J33" i="21"/>
  <c r="W33" i="21" s="1"/>
  <c r="H33" i="21"/>
  <c r="AB33" i="21" s="1"/>
  <c r="F37" i="21"/>
  <c r="AA37" i="21" s="1"/>
  <c r="AA26" i="21"/>
  <c r="AB14" i="21"/>
  <c r="AB46" i="21"/>
  <c r="U40" i="21"/>
  <c r="AB31" i="21"/>
  <c r="U31" i="21"/>
  <c r="W8" i="21"/>
  <c r="AB37" i="21"/>
  <c r="J37" i="21"/>
  <c r="W37" i="21" s="1"/>
  <c r="AC14" i="21"/>
  <c r="W30" i="21"/>
  <c r="S46" i="21"/>
  <c r="H45" i="21"/>
  <c r="U45" i="21" s="1"/>
  <c r="F29" i="21"/>
  <c r="S29" i="21" s="1"/>
  <c r="F13" i="21"/>
  <c r="AA13" i="21" s="1"/>
  <c r="AC38" i="21"/>
  <c r="H32" i="21"/>
  <c r="AB32" i="21" s="1"/>
  <c r="H9" i="21"/>
  <c r="U9" i="21" s="1"/>
  <c r="J9" i="21"/>
  <c r="AC9" i="21" s="1"/>
  <c r="J32" i="21"/>
  <c r="AC32" i="21" s="1"/>
  <c r="F32" i="21"/>
  <c r="S32" i="21" s="1"/>
  <c r="AA31" i="21"/>
  <c r="S9" i="21"/>
  <c r="AA9" i="21"/>
  <c r="K141" i="21"/>
  <c r="K144" i="21"/>
  <c r="K143" i="21"/>
  <c r="U27" i="21"/>
  <c r="AB25" i="21"/>
  <c r="AB44" i="21"/>
  <c r="AA30" i="21"/>
  <c r="W13" i="21"/>
  <c r="W42" i="21"/>
  <c r="AC45" i="21"/>
  <c r="F10" i="21"/>
  <c r="S10" i="21" s="1"/>
  <c r="K145" i="21"/>
  <c r="W25" i="21"/>
  <c r="W31" i="21"/>
  <c r="S27" i="21"/>
  <c r="AC26" i="21"/>
  <c r="AB29" i="21"/>
  <c r="S28" i="21"/>
  <c r="AC34" i="21"/>
  <c r="W10" i="21"/>
  <c r="W12" i="21"/>
  <c r="AB36" i="21"/>
  <c r="W30" i="40"/>
  <c r="C19" i="39"/>
  <c r="C15" i="40"/>
  <c r="C17" i="40"/>
  <c r="C23" i="40"/>
  <c r="C21" i="40"/>
  <c r="U30" i="40"/>
  <c r="B52" i="43"/>
  <c r="B63" i="43"/>
  <c r="B67" i="43"/>
  <c r="D23" i="15"/>
  <c r="D22" i="15"/>
  <c r="AQ13" i="1"/>
  <c r="O6" i="1"/>
  <c r="P6" i="1"/>
  <c r="F30" i="68"/>
  <c r="F30" i="11"/>
  <c r="C48" i="11" s="1"/>
  <c r="F28" i="67"/>
  <c r="F31" i="12"/>
  <c r="F52" i="9"/>
  <c r="M18" i="67"/>
  <c r="F32" i="67"/>
  <c r="F60" i="67" s="1"/>
  <c r="F30" i="69"/>
  <c r="F32" i="15"/>
  <c r="F60" i="15" s="1"/>
  <c r="M18" i="15"/>
  <c r="F28" i="15"/>
  <c r="AR11" i="1"/>
  <c r="T13" i="1"/>
  <c r="S7" i="1"/>
  <c r="AQ7" i="1" s="1"/>
  <c r="E7" i="70"/>
  <c r="S39" i="40"/>
  <c r="AA12" i="33"/>
  <c r="D68" i="9"/>
  <c r="F54" i="9"/>
  <c r="S26" i="35"/>
  <c r="U9" i="35"/>
  <c r="AA9" i="35"/>
  <c r="S9" i="35"/>
  <c r="AC26" i="35"/>
  <c r="AB26" i="35"/>
  <c r="U26" i="35"/>
  <c r="AC17" i="37"/>
  <c r="S17" i="37"/>
  <c r="J19" i="37"/>
  <c r="W19" i="37" s="1"/>
  <c r="G75" i="37"/>
  <c r="S19" i="37"/>
  <c r="AA23" i="37"/>
  <c r="J23" i="37"/>
  <c r="G79" i="37"/>
  <c r="J10" i="37"/>
  <c r="I60" i="37"/>
  <c r="H11" i="37"/>
  <c r="AB11" i="37" s="1"/>
  <c r="U10" i="37"/>
  <c r="G70" i="34"/>
  <c r="H11" i="34"/>
  <c r="AB11" i="34" s="1"/>
  <c r="AB10" i="34"/>
  <c r="U10" i="34"/>
  <c r="J10" i="34"/>
  <c r="I67" i="34"/>
  <c r="AB41" i="33"/>
  <c r="U41"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U33" i="21"/>
  <c r="S37" i="21"/>
  <c r="S13" i="21"/>
  <c r="O14" i="1"/>
  <c r="P14" i="1"/>
  <c r="AP7" i="1"/>
  <c r="O7" i="1"/>
  <c r="S33" i="21"/>
  <c r="AA33" i="21"/>
  <c r="W9" i="21"/>
  <c r="U32" i="21"/>
  <c r="F31" i="15"/>
  <c r="M17" i="15"/>
  <c r="F59" i="67"/>
  <c r="F59" i="15"/>
  <c r="F31" i="67"/>
  <c r="M17" i="67"/>
  <c r="A18" i="62"/>
  <c r="B64" i="72" s="1"/>
  <c r="W23" i="37"/>
  <c r="AC23" i="37"/>
  <c r="U11" i="37"/>
  <c r="J11" i="37"/>
  <c r="W10" i="37"/>
  <c r="AC10" i="37"/>
  <c r="U11" i="34"/>
  <c r="AC10" i="34"/>
  <c r="W10" i="34"/>
  <c r="H70" i="34"/>
  <c r="I70" i="34" s="1"/>
  <c r="J70" i="34" s="1"/>
  <c r="K70" i="34" s="1"/>
  <c r="L70" i="34" s="1"/>
  <c r="M70" i="34" s="1"/>
  <c r="J11" i="34"/>
  <c r="W11" i="34" s="1"/>
  <c r="AC36" i="33"/>
  <c r="W36" i="33"/>
  <c r="AC27" i="33"/>
  <c r="AA23" i="33"/>
  <c r="S23" i="33"/>
  <c r="U19" i="33"/>
  <c r="U17" i="33"/>
  <c r="AB17" i="33"/>
  <c r="P7" i="1"/>
  <c r="F1" i="15"/>
  <c r="Q52" i="15"/>
  <c r="F1" i="67"/>
  <c r="Q52" i="67"/>
  <c r="AC11" i="37"/>
  <c r="W11" i="37"/>
  <c r="R7" i="1"/>
  <c r="F34" i="11"/>
  <c r="F11" i="12"/>
  <c r="C23" i="12" s="1"/>
  <c r="F34" i="68"/>
  <c r="R8" i="1"/>
  <c r="AE7" i="1"/>
  <c r="AE8" i="1"/>
  <c r="AG6" i="1"/>
  <c r="H109" i="9"/>
  <c r="M49" i="9" s="1"/>
  <c r="D16" i="53"/>
  <c r="B34" i="72" s="1"/>
  <c r="H112" i="9"/>
  <c r="D21" i="53" s="1"/>
  <c r="B39" i="72" s="1"/>
  <c r="H111" i="9"/>
  <c r="D126" i="9" s="1"/>
  <c r="D19" i="53"/>
  <c r="D20" i="53" s="1"/>
  <c r="B40" i="72" s="1"/>
  <c r="D59" i="9"/>
  <c r="M55" i="9" s="1"/>
  <c r="B38" i="72"/>
  <c r="AD3" i="71"/>
  <c r="D9" i="68"/>
  <c r="F8" i="15"/>
  <c r="E8" i="76"/>
  <c r="M28" i="67"/>
  <c r="F26" i="15"/>
  <c r="M24" i="15"/>
  <c r="D9" i="69"/>
  <c r="F13" i="67"/>
  <c r="F6" i="73"/>
  <c r="M8" i="15"/>
  <c r="F37" i="15"/>
  <c r="D2" i="33"/>
  <c r="M6" i="15"/>
  <c r="F38" i="67"/>
  <c r="M22" i="15"/>
  <c r="F37" i="67"/>
  <c r="E2" i="68"/>
  <c r="M27" i="15"/>
  <c r="E9" i="76"/>
  <c r="B12" i="76"/>
  <c r="F5" i="73"/>
  <c r="F3" i="73"/>
  <c r="D34" i="9"/>
  <c r="M8" i="67"/>
  <c r="L47" i="15"/>
  <c r="M29" i="15"/>
  <c r="F27" i="69"/>
  <c r="M27" i="67"/>
  <c r="M9" i="67"/>
  <c r="E7" i="76"/>
  <c r="F26" i="67"/>
  <c r="AO10" i="1"/>
  <c r="F7" i="73"/>
  <c r="L47" i="67"/>
  <c r="F6" i="67"/>
  <c r="M21" i="67"/>
  <c r="B10" i="76"/>
  <c r="AO9" i="1"/>
  <c r="F9" i="15"/>
  <c r="F8" i="67"/>
  <c r="C76" i="15"/>
  <c r="F35" i="67"/>
  <c r="M21" i="15"/>
  <c r="D2" i="35"/>
  <c r="B13" i="76"/>
  <c r="J15" i="67"/>
  <c r="AO11" i="1"/>
  <c r="J15" i="15"/>
  <c r="M26" i="15"/>
  <c r="B8" i="76"/>
  <c r="E10" i="76"/>
  <c r="M23" i="15"/>
  <c r="D35" i="9"/>
  <c r="F42" i="67"/>
  <c r="F36" i="67"/>
  <c r="L48" i="67"/>
  <c r="M28" i="15"/>
  <c r="M26" i="67"/>
  <c r="F13" i="15"/>
  <c r="F16" i="67"/>
  <c r="F4" i="73"/>
  <c r="F16" i="15"/>
  <c r="B9" i="76"/>
  <c r="F9" i="67"/>
  <c r="B7" i="76"/>
  <c r="C36" i="69"/>
  <c r="F40" i="15"/>
  <c r="D2" i="37"/>
  <c r="F7" i="67"/>
  <c r="E13" i="76"/>
  <c r="M9" i="15"/>
  <c r="F41" i="15"/>
  <c r="F36" i="15"/>
  <c r="D2" i="36"/>
  <c r="F35" i="15"/>
  <c r="M22" i="67"/>
  <c r="F20" i="31"/>
  <c r="F42" i="15"/>
  <c r="M6" i="67"/>
  <c r="AO12" i="1"/>
  <c r="F40" i="67"/>
  <c r="E11" i="76"/>
  <c r="C76" i="67"/>
  <c r="B11" i="76"/>
  <c r="F38" i="15"/>
  <c r="D2" i="21"/>
  <c r="L48" i="15"/>
  <c r="F43" i="67"/>
  <c r="AO7" i="1"/>
  <c r="M24" i="67"/>
  <c r="D2" i="34"/>
  <c r="E2" i="69"/>
  <c r="F43" i="15"/>
  <c r="AO13" i="1"/>
  <c r="AO8" i="1"/>
  <c r="F41" i="67"/>
  <c r="F7" i="15"/>
  <c r="M23" i="67"/>
  <c r="M29" i="67"/>
  <c r="E12" i="76"/>
  <c r="F6" i="15"/>
  <c r="H39" i="21" l="1"/>
  <c r="U39" i="21" s="1"/>
  <c r="C9" i="68"/>
  <c r="AQ8" i="1"/>
  <c r="D9" i="53"/>
  <c r="B25" i="72" s="1"/>
  <c r="B24" i="72"/>
  <c r="AA28" i="34"/>
  <c r="S28" i="34"/>
  <c r="W12" i="33"/>
  <c r="AC12" i="33"/>
  <c r="W12" i="39"/>
  <c r="AC12" i="39"/>
  <c r="U44" i="39"/>
  <c r="AB44" i="39"/>
  <c r="W9" i="35"/>
  <c r="AC9" i="35"/>
  <c r="U25" i="37"/>
  <c r="AB25" i="37"/>
  <c r="W43" i="39"/>
  <c r="AC43" i="39"/>
  <c r="AB45" i="39"/>
  <c r="U45" i="39"/>
  <c r="F101" i="39"/>
  <c r="F27" i="39"/>
  <c r="W33" i="40"/>
  <c r="AC33" i="40"/>
  <c r="S36" i="39"/>
  <c r="AA36" i="39"/>
  <c r="S22" i="31"/>
  <c r="R22" i="31" s="1"/>
  <c r="B21" i="31" s="1"/>
  <c r="D17" i="53"/>
  <c r="B36" i="72" s="1"/>
  <c r="H110" i="9"/>
  <c r="D18" i="53" s="1"/>
  <c r="B35" i="72" s="1"/>
  <c r="C36" i="11"/>
  <c r="AC11" i="34"/>
  <c r="S17" i="33"/>
  <c r="AC25" i="33"/>
  <c r="AB36" i="33"/>
  <c r="AC19" i="37"/>
  <c r="AC33" i="21"/>
  <c r="T8" i="1"/>
  <c r="AA19" i="33"/>
  <c r="D19" i="12"/>
  <c r="C19" i="12" s="1"/>
  <c r="W33" i="34"/>
  <c r="S20" i="36"/>
  <c r="S23" i="39"/>
  <c r="W19" i="40"/>
  <c r="H67" i="43"/>
  <c r="H59" i="43"/>
  <c r="H60" i="43"/>
  <c r="H61" i="43"/>
  <c r="H88" i="43"/>
  <c r="T10" i="1"/>
  <c r="E14" i="6"/>
  <c r="E64" i="39" s="1"/>
  <c r="E11" i="6"/>
  <c r="E56" i="40" s="1"/>
  <c r="D120" i="9"/>
  <c r="AB35" i="34"/>
  <c r="AA9" i="37"/>
  <c r="AC15" i="37"/>
  <c r="AB31" i="37"/>
  <c r="AA10" i="35"/>
  <c r="AA36" i="35"/>
  <c r="AA26" i="36"/>
  <c r="AA27" i="40"/>
  <c r="AC34" i="33"/>
  <c r="E12" i="6"/>
  <c r="H87" i="43"/>
  <c r="W35" i="40"/>
  <c r="W14" i="39"/>
  <c r="AC12" i="37"/>
  <c r="W40" i="37"/>
  <c r="W44" i="33"/>
  <c r="AC31" i="33"/>
  <c r="AC36" i="34"/>
  <c r="AB28" i="37"/>
  <c r="AC32" i="36"/>
  <c r="W29" i="33"/>
  <c r="S45" i="33"/>
  <c r="AC30" i="34"/>
  <c r="W11" i="35"/>
  <c r="S11" i="36"/>
  <c r="AB11" i="35"/>
  <c r="U46" i="33"/>
  <c r="U30" i="35"/>
  <c r="S8" i="33"/>
  <c r="S38" i="33"/>
  <c r="J28" i="34"/>
  <c r="AA39" i="37"/>
  <c r="U8" i="35"/>
  <c r="AB8" i="36"/>
  <c r="AC16" i="36"/>
  <c r="AB8" i="39"/>
  <c r="W31" i="40"/>
  <c r="U38" i="40"/>
  <c r="U9" i="40"/>
  <c r="S27" i="35"/>
  <c r="H39" i="37"/>
  <c r="W33" i="33"/>
  <c r="U35" i="33"/>
  <c r="S9" i="33"/>
  <c r="W28" i="35"/>
  <c r="J36" i="39"/>
  <c r="J44" i="39"/>
  <c r="J45" i="39"/>
  <c r="C17" i="39"/>
  <c r="C17" i="80"/>
  <c r="B71" i="43"/>
  <c r="C21" i="80"/>
  <c r="B74" i="43"/>
  <c r="C27" i="80"/>
  <c r="F9" i="34"/>
  <c r="F25" i="37"/>
  <c r="J25" i="37"/>
  <c r="F44" i="39"/>
  <c r="H39" i="40"/>
  <c r="K100" i="43"/>
  <c r="G100" i="43"/>
  <c r="L100" i="43"/>
  <c r="I10" i="66"/>
  <c r="U21" i="33"/>
  <c r="AA21" i="37"/>
  <c r="B70" i="43"/>
  <c r="C15" i="80"/>
  <c r="B59" i="43"/>
  <c r="C19" i="80"/>
  <c r="B77" i="43"/>
  <c r="C25" i="80"/>
  <c r="C61" i="71"/>
  <c r="D61" i="71" s="1"/>
  <c r="C57" i="71"/>
  <c r="D57" i="71" s="1"/>
  <c r="F38" i="71"/>
  <c r="F39" i="71" s="1"/>
  <c r="V39" i="71" s="1"/>
  <c r="G587" i="3"/>
  <c r="G583" i="3"/>
  <c r="G579" i="3"/>
  <c r="G575" i="3"/>
  <c r="G571" i="3"/>
  <c r="G567" i="3"/>
  <c r="G563" i="3"/>
  <c r="G559" i="3"/>
  <c r="G555" i="3"/>
  <c r="G551"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G297" i="3"/>
  <c r="G293" i="3"/>
  <c r="G289" i="3"/>
  <c r="G285"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443" i="3"/>
  <c r="BA443" i="3"/>
  <c r="AZ443" i="3" s="1"/>
  <c r="BA587" i="3"/>
  <c r="AZ587" i="3" s="1"/>
  <c r="BL586" i="3"/>
  <c r="AZ586" i="3" s="1"/>
  <c r="BA585" i="3"/>
  <c r="AZ585" i="3" s="1"/>
  <c r="BL584" i="3"/>
  <c r="AZ584" i="3" s="1"/>
  <c r="BA583" i="3"/>
  <c r="AZ583" i="3" s="1"/>
  <c r="BL582" i="3"/>
  <c r="AZ582" i="3" s="1"/>
  <c r="BA581" i="3"/>
  <c r="AZ581" i="3" s="1"/>
  <c r="BL580" i="3"/>
  <c r="AZ580" i="3" s="1"/>
  <c r="BA579" i="3"/>
  <c r="AZ579" i="3" s="1"/>
  <c r="BL578" i="3"/>
  <c r="AZ578" i="3" s="1"/>
  <c r="BA577" i="3"/>
  <c r="AZ577" i="3" s="1"/>
  <c r="BL576" i="3"/>
  <c r="AZ576" i="3" s="1"/>
  <c r="BA575" i="3"/>
  <c r="AZ575" i="3" s="1"/>
  <c r="BL574" i="3"/>
  <c r="AZ574" i="3" s="1"/>
  <c r="BA573" i="3"/>
  <c r="AZ573" i="3" s="1"/>
  <c r="BL572" i="3"/>
  <c r="AZ572" i="3" s="1"/>
  <c r="BA571" i="3"/>
  <c r="AZ571" i="3" s="1"/>
  <c r="BL570" i="3"/>
  <c r="AZ570" i="3" s="1"/>
  <c r="BA569" i="3"/>
  <c r="AZ569" i="3" s="1"/>
  <c r="BL568" i="3"/>
  <c r="AZ568" i="3" s="1"/>
  <c r="BA567" i="3"/>
  <c r="AZ567" i="3" s="1"/>
  <c r="BL566" i="3"/>
  <c r="AZ566" i="3" s="1"/>
  <c r="BA565" i="3"/>
  <c r="AZ565" i="3" s="1"/>
  <c r="BL564" i="3"/>
  <c r="AZ564" i="3" s="1"/>
  <c r="BA563" i="3"/>
  <c r="AZ563" i="3" s="1"/>
  <c r="BL562" i="3"/>
  <c r="AZ562" i="3" s="1"/>
  <c r="BA561" i="3"/>
  <c r="AZ561" i="3" s="1"/>
  <c r="BL560" i="3"/>
  <c r="AZ560" i="3" s="1"/>
  <c r="BA559" i="3"/>
  <c r="AZ559" i="3" s="1"/>
  <c r="BL558" i="3"/>
  <c r="AZ558" i="3" s="1"/>
  <c r="BA557" i="3"/>
  <c r="AZ557" i="3" s="1"/>
  <c r="BL556" i="3"/>
  <c r="AZ556" i="3" s="1"/>
  <c r="BA555" i="3"/>
  <c r="AZ555" i="3" s="1"/>
  <c r="BL554" i="3"/>
  <c r="AZ554" i="3" s="1"/>
  <c r="BA553" i="3"/>
  <c r="AZ553" i="3" s="1"/>
  <c r="BL552" i="3"/>
  <c r="AZ552" i="3" s="1"/>
  <c r="BA551" i="3"/>
  <c r="AZ551" i="3" s="1"/>
  <c r="BL550" i="3"/>
  <c r="AZ550" i="3" s="1"/>
  <c r="BA549" i="3"/>
  <c r="AZ549" i="3" s="1"/>
  <c r="BL548" i="3"/>
  <c r="AZ548" i="3" s="1"/>
  <c r="BA547" i="3"/>
  <c r="AZ547" i="3" s="1"/>
  <c r="BL546" i="3"/>
  <c r="AZ546" i="3" s="1"/>
  <c r="BA545" i="3"/>
  <c r="AZ545" i="3" s="1"/>
  <c r="BL544" i="3"/>
  <c r="AZ544" i="3" s="1"/>
  <c r="BA543" i="3"/>
  <c r="AZ543" i="3" s="1"/>
  <c r="BL542" i="3"/>
  <c r="AZ542" i="3" s="1"/>
  <c r="BA541" i="3"/>
  <c r="AZ541" i="3" s="1"/>
  <c r="BL540" i="3"/>
  <c r="AZ540" i="3" s="1"/>
  <c r="BA539" i="3"/>
  <c r="AZ539" i="3" s="1"/>
  <c r="BL538" i="3"/>
  <c r="AZ538" i="3" s="1"/>
  <c r="BA537" i="3"/>
  <c r="AZ537" i="3" s="1"/>
  <c r="BL536" i="3"/>
  <c r="AZ536" i="3" s="1"/>
  <c r="BA535" i="3"/>
  <c r="AZ535" i="3" s="1"/>
  <c r="BL534" i="3"/>
  <c r="AZ534" i="3" s="1"/>
  <c r="BA529" i="3"/>
  <c r="AZ529" i="3" s="1"/>
  <c r="BL528" i="3"/>
  <c r="AZ528" i="3" s="1"/>
  <c r="BA527" i="3"/>
  <c r="AZ527" i="3" s="1"/>
  <c r="BL526" i="3"/>
  <c r="AZ526" i="3" s="1"/>
  <c r="BA525" i="3"/>
  <c r="AZ525" i="3" s="1"/>
  <c r="BL524" i="3"/>
  <c r="AZ524" i="3" s="1"/>
  <c r="BA523" i="3"/>
  <c r="AZ523" i="3" s="1"/>
  <c r="BL522" i="3"/>
  <c r="AZ522" i="3" s="1"/>
  <c r="BA521" i="3"/>
  <c r="AZ521" i="3" s="1"/>
  <c r="BL520" i="3"/>
  <c r="AZ520" i="3" s="1"/>
  <c r="BA519" i="3"/>
  <c r="AZ519" i="3" s="1"/>
  <c r="BL518" i="3"/>
  <c r="AZ518" i="3" s="1"/>
  <c r="BA517" i="3"/>
  <c r="AZ517" i="3" s="1"/>
  <c r="BL516" i="3"/>
  <c r="AZ516" i="3" s="1"/>
  <c r="BA515" i="3"/>
  <c r="AZ515" i="3" s="1"/>
  <c r="BL514" i="3"/>
  <c r="AZ514" i="3" s="1"/>
  <c r="BA513" i="3"/>
  <c r="AZ513" i="3" s="1"/>
  <c r="BL512" i="3"/>
  <c r="AZ512" i="3" s="1"/>
  <c r="BA511" i="3"/>
  <c r="AZ511" i="3" s="1"/>
  <c r="BL510" i="3"/>
  <c r="AZ510" i="3" s="1"/>
  <c r="BA509" i="3"/>
  <c r="AZ509" i="3" s="1"/>
  <c r="BL508" i="3"/>
  <c r="AZ508" i="3" s="1"/>
  <c r="BA507" i="3"/>
  <c r="AZ507" i="3" s="1"/>
  <c r="BL506" i="3"/>
  <c r="AZ506" i="3" s="1"/>
  <c r="BA505" i="3"/>
  <c r="AZ505" i="3" s="1"/>
  <c r="BL504" i="3"/>
  <c r="AZ504" i="3" s="1"/>
  <c r="BA503" i="3"/>
  <c r="AZ503" i="3" s="1"/>
  <c r="BL502" i="3"/>
  <c r="AZ502" i="3" s="1"/>
  <c r="BA501" i="3"/>
  <c r="AZ501" i="3" s="1"/>
  <c r="BL500" i="3"/>
  <c r="AZ500" i="3" s="1"/>
  <c r="BA499" i="3"/>
  <c r="AZ499" i="3" s="1"/>
  <c r="BL498" i="3"/>
  <c r="AZ498" i="3" s="1"/>
  <c r="BA497" i="3"/>
  <c r="AZ497" i="3" s="1"/>
  <c r="BL496" i="3"/>
  <c r="AZ496" i="3" s="1"/>
  <c r="BA495" i="3"/>
  <c r="AZ495" i="3" s="1"/>
  <c r="BL494" i="3"/>
  <c r="AZ494" i="3" s="1"/>
  <c r="BA493" i="3"/>
  <c r="AZ493" i="3" s="1"/>
  <c r="BL492" i="3"/>
  <c r="AZ492" i="3" s="1"/>
  <c r="BA491" i="3"/>
  <c r="AZ491" i="3" s="1"/>
  <c r="BL490" i="3"/>
  <c r="AZ490" i="3" s="1"/>
  <c r="BA489" i="3"/>
  <c r="AZ489" i="3" s="1"/>
  <c r="BL488" i="3"/>
  <c r="AZ488" i="3" s="1"/>
  <c r="BA487" i="3"/>
  <c r="AZ487" i="3" s="1"/>
  <c r="BL486" i="3"/>
  <c r="AZ486" i="3" s="1"/>
  <c r="BA485" i="3"/>
  <c r="AZ485" i="3" s="1"/>
  <c r="BL484" i="3"/>
  <c r="AZ484" i="3" s="1"/>
  <c r="BA483" i="3"/>
  <c r="AZ483" i="3" s="1"/>
  <c r="BL482" i="3"/>
  <c r="AZ482" i="3" s="1"/>
  <c r="BA481" i="3"/>
  <c r="AZ481" i="3" s="1"/>
  <c r="BL480" i="3"/>
  <c r="AZ480" i="3" s="1"/>
  <c r="BA479" i="3"/>
  <c r="AZ479" i="3" s="1"/>
  <c r="BL478" i="3"/>
  <c r="AZ478" i="3" s="1"/>
  <c r="BA477" i="3"/>
  <c r="AZ477" i="3" s="1"/>
  <c r="BL476" i="3"/>
  <c r="AZ476" i="3" s="1"/>
  <c r="BA475" i="3"/>
  <c r="AZ475" i="3" s="1"/>
  <c r="BL474" i="3"/>
  <c r="AZ474" i="3" s="1"/>
  <c r="BA473" i="3"/>
  <c r="AZ473" i="3" s="1"/>
  <c r="BL472" i="3"/>
  <c r="AZ472" i="3" s="1"/>
  <c r="BA471" i="3"/>
  <c r="AZ471" i="3" s="1"/>
  <c r="BL470" i="3"/>
  <c r="AZ470" i="3" s="1"/>
  <c r="BA469" i="3"/>
  <c r="AZ469" i="3" s="1"/>
  <c r="BL468" i="3"/>
  <c r="AZ468" i="3" s="1"/>
  <c r="BA467" i="3"/>
  <c r="AZ467" i="3" s="1"/>
  <c r="BL466" i="3"/>
  <c r="AZ466" i="3" s="1"/>
  <c r="BA465" i="3"/>
  <c r="AZ465" i="3" s="1"/>
  <c r="BL464" i="3"/>
  <c r="AZ464" i="3" s="1"/>
  <c r="BA463" i="3"/>
  <c r="AZ463" i="3" s="1"/>
  <c r="BL462" i="3"/>
  <c r="AZ462" i="3" s="1"/>
  <c r="BA461" i="3"/>
  <c r="AZ461" i="3" s="1"/>
  <c r="BL460" i="3"/>
  <c r="AZ460" i="3" s="1"/>
  <c r="BA459" i="3"/>
  <c r="AZ459" i="3" s="1"/>
  <c r="BL458" i="3"/>
  <c r="AZ458" i="3" s="1"/>
  <c r="BA457" i="3"/>
  <c r="AZ457" i="3" s="1"/>
  <c r="BL456" i="3"/>
  <c r="AZ456" i="3" s="1"/>
  <c r="BA455" i="3"/>
  <c r="AZ455" i="3" s="1"/>
  <c r="BL454" i="3"/>
  <c r="AZ454" i="3" s="1"/>
  <c r="BA453" i="3"/>
  <c r="AZ453" i="3" s="1"/>
  <c r="BL452" i="3"/>
  <c r="AZ452" i="3" s="1"/>
  <c r="BA451" i="3"/>
  <c r="AZ451" i="3" s="1"/>
  <c r="BL450" i="3"/>
  <c r="AZ450" i="3" s="1"/>
  <c r="BA449" i="3"/>
  <c r="AZ449" i="3" s="1"/>
  <c r="BL448" i="3"/>
  <c r="AZ448" i="3" s="1"/>
  <c r="BA447" i="3"/>
  <c r="AZ447" i="3" s="1"/>
  <c r="BL446" i="3"/>
  <c r="AZ446" i="3" s="1"/>
  <c r="BA445" i="3"/>
  <c r="AZ445" i="3" s="1"/>
  <c r="BL444" i="3"/>
  <c r="AZ444" i="3" s="1"/>
  <c r="BL442" i="3"/>
  <c r="AZ442" i="3" s="1"/>
  <c r="BA441" i="3"/>
  <c r="AZ441" i="3" s="1"/>
  <c r="BL440" i="3"/>
  <c r="AZ440" i="3" s="1"/>
  <c r="BA439" i="3"/>
  <c r="AZ439" i="3" s="1"/>
  <c r="BL438" i="3"/>
  <c r="AZ438" i="3" s="1"/>
  <c r="BA437" i="3"/>
  <c r="AZ437" i="3" s="1"/>
  <c r="BL436" i="3"/>
  <c r="AZ436" i="3" s="1"/>
  <c r="BA435" i="3"/>
  <c r="AZ435" i="3" s="1"/>
  <c r="BL434" i="3"/>
  <c r="AZ434" i="3" s="1"/>
  <c r="BA433" i="3"/>
  <c r="AZ433" i="3" s="1"/>
  <c r="BL432" i="3"/>
  <c r="AZ432" i="3" s="1"/>
  <c r="BA431" i="3"/>
  <c r="AZ431" i="3" s="1"/>
  <c r="BL430" i="3"/>
  <c r="AZ430" i="3" s="1"/>
  <c r="BA429" i="3"/>
  <c r="AZ429" i="3" s="1"/>
  <c r="BL428" i="3"/>
  <c r="AZ428" i="3" s="1"/>
  <c r="BA427" i="3"/>
  <c r="AZ427" i="3" s="1"/>
  <c r="BL426" i="3"/>
  <c r="AZ426" i="3" s="1"/>
  <c r="BA425" i="3"/>
  <c r="AZ425" i="3" s="1"/>
  <c r="BL424" i="3"/>
  <c r="AZ424" i="3" s="1"/>
  <c r="BA423" i="3"/>
  <c r="AZ423" i="3" s="1"/>
  <c r="BL422" i="3"/>
  <c r="AZ422" i="3" s="1"/>
  <c r="BA421" i="3"/>
  <c r="AZ421" i="3" s="1"/>
  <c r="BL420" i="3"/>
  <c r="AZ420" i="3" s="1"/>
  <c r="BA419" i="3"/>
  <c r="AZ419" i="3" s="1"/>
  <c r="BL418" i="3"/>
  <c r="AZ418" i="3" s="1"/>
  <c r="BA417" i="3"/>
  <c r="AZ417" i="3" s="1"/>
  <c r="BL416" i="3"/>
  <c r="AZ416" i="3" s="1"/>
  <c r="BA415" i="3"/>
  <c r="AZ415" i="3" s="1"/>
  <c r="BL414" i="3"/>
  <c r="AZ414" i="3" s="1"/>
  <c r="BA413" i="3"/>
  <c r="AZ413" i="3" s="1"/>
  <c r="BL412" i="3"/>
  <c r="AZ412" i="3" s="1"/>
  <c r="BA411" i="3"/>
  <c r="AZ411" i="3" s="1"/>
  <c r="BL410" i="3"/>
  <c r="AZ410" i="3" s="1"/>
  <c r="BA409" i="3"/>
  <c r="AZ409" i="3" s="1"/>
  <c r="BL408" i="3"/>
  <c r="AZ408" i="3" s="1"/>
  <c r="BA407" i="3"/>
  <c r="AZ407" i="3" s="1"/>
  <c r="BL406" i="3"/>
  <c r="AZ406" i="3" s="1"/>
  <c r="BA405" i="3"/>
  <c r="AZ405" i="3" s="1"/>
  <c r="BL404" i="3"/>
  <c r="AZ404" i="3" s="1"/>
  <c r="BA403" i="3"/>
  <c r="AZ403" i="3" s="1"/>
  <c r="BL402" i="3"/>
  <c r="AZ402" i="3" s="1"/>
  <c r="BA401" i="3"/>
  <c r="AZ401" i="3" s="1"/>
  <c r="BL400" i="3"/>
  <c r="AZ400" i="3" s="1"/>
  <c r="BA399" i="3"/>
  <c r="AZ399" i="3" s="1"/>
  <c r="BL398" i="3"/>
  <c r="AZ398" i="3" s="1"/>
  <c r="BA397" i="3"/>
  <c r="AZ397" i="3" s="1"/>
  <c r="BL396" i="3"/>
  <c r="AZ396" i="3" s="1"/>
  <c r="BA395" i="3"/>
  <c r="AZ395" i="3" s="1"/>
  <c r="BL394" i="3"/>
  <c r="AZ394" i="3" s="1"/>
  <c r="BA393" i="3"/>
  <c r="AZ393" i="3" s="1"/>
  <c r="BL392" i="3"/>
  <c r="AZ392" i="3" s="1"/>
  <c r="BA391" i="3"/>
  <c r="AZ391" i="3" s="1"/>
  <c r="BL390" i="3"/>
  <c r="AZ390" i="3" s="1"/>
  <c r="BA389" i="3"/>
  <c r="AZ389" i="3" s="1"/>
  <c r="BL388" i="3"/>
  <c r="AZ388" i="3" s="1"/>
  <c r="BA387" i="3"/>
  <c r="AZ387" i="3" s="1"/>
  <c r="BL386" i="3"/>
  <c r="AZ386" i="3" s="1"/>
  <c r="BA385" i="3"/>
  <c r="AZ385" i="3" s="1"/>
  <c r="BL384" i="3"/>
  <c r="AZ384" i="3" s="1"/>
  <c r="BA383" i="3"/>
  <c r="AZ383" i="3" s="1"/>
  <c r="BL382" i="3"/>
  <c r="AZ382" i="3" s="1"/>
  <c r="BA381" i="3"/>
  <c r="AZ381" i="3" s="1"/>
  <c r="BL380" i="3"/>
  <c r="AZ380" i="3" s="1"/>
  <c r="BA379" i="3"/>
  <c r="AZ379" i="3" s="1"/>
  <c r="BL378" i="3"/>
  <c r="AZ378" i="3" s="1"/>
  <c r="BA377" i="3"/>
  <c r="AZ377" i="3" s="1"/>
  <c r="BL376" i="3"/>
  <c r="AZ376" i="3" s="1"/>
  <c r="BA375" i="3"/>
  <c r="AZ375" i="3" s="1"/>
  <c r="BL374" i="3"/>
  <c r="AZ374" i="3" s="1"/>
  <c r="BA373" i="3"/>
  <c r="AZ373" i="3" s="1"/>
  <c r="BL372" i="3"/>
  <c r="AZ372" i="3" s="1"/>
  <c r="BA371" i="3"/>
  <c r="AZ371" i="3" s="1"/>
  <c r="BL370" i="3"/>
  <c r="AZ370" i="3" s="1"/>
  <c r="BA369" i="3"/>
  <c r="AZ369" i="3" s="1"/>
  <c r="BL368" i="3"/>
  <c r="AZ368" i="3" s="1"/>
  <c r="BA367" i="3"/>
  <c r="AZ367" i="3" s="1"/>
  <c r="BL366" i="3"/>
  <c r="AZ366" i="3" s="1"/>
  <c r="BA365" i="3"/>
  <c r="AZ365" i="3" s="1"/>
  <c r="BL364" i="3"/>
  <c r="AZ364" i="3" s="1"/>
  <c r="BA363" i="3"/>
  <c r="AZ363" i="3" s="1"/>
  <c r="BL362" i="3"/>
  <c r="AZ362" i="3" s="1"/>
  <c r="BA361" i="3"/>
  <c r="AZ361" i="3" s="1"/>
  <c r="BL360" i="3"/>
  <c r="AZ360" i="3" s="1"/>
  <c r="BA359" i="3"/>
  <c r="AZ359" i="3" s="1"/>
  <c r="BL358" i="3"/>
  <c r="AZ358" i="3" s="1"/>
  <c r="BA357" i="3"/>
  <c r="AZ357" i="3" s="1"/>
  <c r="BL356" i="3"/>
  <c r="AZ356" i="3" s="1"/>
  <c r="BA355" i="3"/>
  <c r="AZ355" i="3" s="1"/>
  <c r="BL354" i="3"/>
  <c r="AZ354" i="3" s="1"/>
  <c r="BA353" i="3"/>
  <c r="AZ353" i="3" s="1"/>
  <c r="BL352" i="3"/>
  <c r="AZ352" i="3" s="1"/>
  <c r="BA351" i="3"/>
  <c r="AZ351" i="3" s="1"/>
  <c r="BL350" i="3"/>
  <c r="AZ350" i="3" s="1"/>
  <c r="BA349" i="3"/>
  <c r="AZ349" i="3" s="1"/>
  <c r="BL348" i="3"/>
  <c r="AZ348" i="3" s="1"/>
  <c r="BA347" i="3"/>
  <c r="AZ347" i="3" s="1"/>
  <c r="BL346" i="3"/>
  <c r="AZ346" i="3" s="1"/>
  <c r="BA345" i="3"/>
  <c r="AZ345" i="3" s="1"/>
  <c r="BL344" i="3"/>
  <c r="AZ344" i="3" s="1"/>
  <c r="BA343" i="3"/>
  <c r="AZ343" i="3" s="1"/>
  <c r="BL342" i="3"/>
  <c r="AZ342" i="3" s="1"/>
  <c r="BA341" i="3"/>
  <c r="AZ341" i="3" s="1"/>
  <c r="BL340" i="3"/>
  <c r="AZ340" i="3" s="1"/>
  <c r="BA339" i="3"/>
  <c r="AZ339" i="3" s="1"/>
  <c r="BL338" i="3"/>
  <c r="AZ338" i="3" s="1"/>
  <c r="BA337" i="3"/>
  <c r="AZ337" i="3" s="1"/>
  <c r="BL336" i="3"/>
  <c r="AZ336" i="3" s="1"/>
  <c r="BA335" i="3"/>
  <c r="AZ335" i="3" s="1"/>
  <c r="BL334" i="3"/>
  <c r="AZ334" i="3" s="1"/>
  <c r="BA333" i="3"/>
  <c r="AZ333" i="3" s="1"/>
  <c r="BL332" i="3"/>
  <c r="AZ332" i="3" s="1"/>
  <c r="BA331" i="3"/>
  <c r="AZ331" i="3" s="1"/>
  <c r="BL330" i="3"/>
  <c r="AZ330" i="3" s="1"/>
  <c r="BA329" i="3"/>
  <c r="AZ329" i="3" s="1"/>
  <c r="BL328" i="3"/>
  <c r="AZ328" i="3" s="1"/>
  <c r="BA327" i="3"/>
  <c r="AZ327" i="3" s="1"/>
  <c r="BL326" i="3"/>
  <c r="BA326" i="3"/>
  <c r="BA322" i="3"/>
  <c r="BA318" i="3"/>
  <c r="BA314" i="3"/>
  <c r="BA310" i="3"/>
  <c r="BA324" i="3"/>
  <c r="BA320" i="3"/>
  <c r="BA316" i="3"/>
  <c r="BA312" i="3"/>
  <c r="BA308" i="3"/>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A186" i="3"/>
  <c r="AZ186" i="3" s="1"/>
  <c r="BL185" i="3"/>
  <c r="AZ185" i="3" s="1"/>
  <c r="BA184" i="3"/>
  <c r="AZ184" i="3" s="1"/>
  <c r="BL183" i="3"/>
  <c r="AZ183" i="3" s="1"/>
  <c r="BA182" i="3"/>
  <c r="AZ182" i="3" s="1"/>
  <c r="BL181" i="3"/>
  <c r="AZ181" i="3" s="1"/>
  <c r="BL178" i="3"/>
  <c r="BA178" i="3"/>
  <c r="BL177" i="3"/>
  <c r="AZ177" i="3" s="1"/>
  <c r="BL174" i="3"/>
  <c r="BA174" i="3"/>
  <c r="AZ174" i="3" s="1"/>
  <c r="BL173" i="3"/>
  <c r="AZ173" i="3" s="1"/>
  <c r="BL170" i="3"/>
  <c r="BA170" i="3"/>
  <c r="BL169" i="3"/>
  <c r="AZ169" i="3" s="1"/>
  <c r="BL166" i="3"/>
  <c r="BA166" i="3"/>
  <c r="AZ166" i="3" s="1"/>
  <c r="BL165" i="3"/>
  <c r="AZ165" i="3" s="1"/>
  <c r="BL162" i="3"/>
  <c r="BA162" i="3"/>
  <c r="BL161" i="3"/>
  <c r="AZ161" i="3" s="1"/>
  <c r="BL158" i="3"/>
  <c r="BA158" i="3"/>
  <c r="AZ158" i="3" s="1"/>
  <c r="BL157" i="3"/>
  <c r="AZ157" i="3" s="1"/>
  <c r="BL154" i="3"/>
  <c r="BA154" i="3"/>
  <c r="BL153" i="3"/>
  <c r="AZ153" i="3" s="1"/>
  <c r="BA151" i="3"/>
  <c r="BA148" i="3"/>
  <c r="BA144" i="3"/>
  <c r="BL140" i="3"/>
  <c r="BL136" i="3"/>
  <c r="BL132" i="3"/>
  <c r="BL128" i="3"/>
  <c r="BL124" i="3"/>
  <c r="BL120" i="3"/>
  <c r="BL116" i="3"/>
  <c r="BL112" i="3"/>
  <c r="BA112" i="3"/>
  <c r="BL111" i="3"/>
  <c r="AZ111" i="3" s="1"/>
  <c r="BL108" i="3"/>
  <c r="BA108" i="3"/>
  <c r="AZ108" i="3" s="1"/>
  <c r="BA325" i="3"/>
  <c r="AZ325" i="3" s="1"/>
  <c r="BL324" i="3"/>
  <c r="AZ324" i="3" s="1"/>
  <c r="BA323" i="3"/>
  <c r="AZ323" i="3" s="1"/>
  <c r="BL322" i="3"/>
  <c r="AZ322" i="3" s="1"/>
  <c r="BA321" i="3"/>
  <c r="AZ321" i="3" s="1"/>
  <c r="BL320" i="3"/>
  <c r="AZ320" i="3" s="1"/>
  <c r="BA319" i="3"/>
  <c r="AZ319" i="3" s="1"/>
  <c r="BL318" i="3"/>
  <c r="AZ318" i="3" s="1"/>
  <c r="BA317" i="3"/>
  <c r="AZ317" i="3" s="1"/>
  <c r="BL316" i="3"/>
  <c r="AZ316" i="3" s="1"/>
  <c r="BA315" i="3"/>
  <c r="AZ315" i="3" s="1"/>
  <c r="BL314" i="3"/>
  <c r="AZ314" i="3" s="1"/>
  <c r="BA313" i="3"/>
  <c r="AZ313" i="3" s="1"/>
  <c r="BL312" i="3"/>
  <c r="AZ312" i="3" s="1"/>
  <c r="BA311" i="3"/>
  <c r="AZ311" i="3" s="1"/>
  <c r="BL310" i="3"/>
  <c r="AZ310" i="3" s="1"/>
  <c r="BA309" i="3"/>
  <c r="AZ309" i="3" s="1"/>
  <c r="BL308" i="3"/>
  <c r="AZ308" i="3" s="1"/>
  <c r="BL304" i="3"/>
  <c r="AZ304" i="3" s="1"/>
  <c r="BA303" i="3"/>
  <c r="AZ303" i="3" s="1"/>
  <c r="BL302" i="3"/>
  <c r="AZ302" i="3" s="1"/>
  <c r="BA301" i="3"/>
  <c r="AZ301" i="3" s="1"/>
  <c r="BL300" i="3"/>
  <c r="AZ300" i="3" s="1"/>
  <c r="BA299" i="3"/>
  <c r="AZ299" i="3" s="1"/>
  <c r="BL298" i="3"/>
  <c r="AZ298" i="3" s="1"/>
  <c r="BA297" i="3"/>
  <c r="AZ297" i="3" s="1"/>
  <c r="BL296" i="3"/>
  <c r="AZ296" i="3" s="1"/>
  <c r="BA295" i="3"/>
  <c r="AZ295" i="3" s="1"/>
  <c r="BL294" i="3"/>
  <c r="AZ294" i="3" s="1"/>
  <c r="BA293" i="3"/>
  <c r="AZ293" i="3" s="1"/>
  <c r="BL292" i="3"/>
  <c r="AZ292" i="3" s="1"/>
  <c r="BA291" i="3"/>
  <c r="AZ291" i="3" s="1"/>
  <c r="BL290" i="3"/>
  <c r="AZ290" i="3" s="1"/>
  <c r="BA289" i="3"/>
  <c r="AZ289" i="3" s="1"/>
  <c r="BL288" i="3"/>
  <c r="AZ288" i="3" s="1"/>
  <c r="BA287" i="3"/>
  <c r="AZ287" i="3" s="1"/>
  <c r="BL286" i="3"/>
  <c r="AZ286" i="3" s="1"/>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180" i="3"/>
  <c r="BA180" i="3"/>
  <c r="AZ180" i="3" s="1"/>
  <c r="BL179" i="3"/>
  <c r="AZ179" i="3" s="1"/>
  <c r="BL176" i="3"/>
  <c r="BA176" i="3"/>
  <c r="BL175" i="3"/>
  <c r="AZ175" i="3" s="1"/>
  <c r="BL172" i="3"/>
  <c r="BA172" i="3"/>
  <c r="AZ172" i="3" s="1"/>
  <c r="BL171" i="3"/>
  <c r="AZ171" i="3" s="1"/>
  <c r="BL168" i="3"/>
  <c r="BA168" i="3"/>
  <c r="BL167" i="3"/>
  <c r="AZ167" i="3" s="1"/>
  <c r="BL164" i="3"/>
  <c r="BA164" i="3"/>
  <c r="AZ164" i="3" s="1"/>
  <c r="BL163" i="3"/>
  <c r="AZ163" i="3" s="1"/>
  <c r="BL160" i="3"/>
  <c r="BA160" i="3"/>
  <c r="BL159" i="3"/>
  <c r="AZ159" i="3" s="1"/>
  <c r="BL156" i="3"/>
  <c r="BA156" i="3"/>
  <c r="AZ156" i="3" s="1"/>
  <c r="BL155" i="3"/>
  <c r="AZ155" i="3" s="1"/>
  <c r="BA152" i="3"/>
  <c r="AZ151" i="3"/>
  <c r="BA149" i="3"/>
  <c r="AZ148" i="3"/>
  <c r="BA146" i="3"/>
  <c r="BA143" i="3"/>
  <c r="AZ143" i="3" s="1"/>
  <c r="BL138" i="3"/>
  <c r="BL134" i="3"/>
  <c r="BL130" i="3"/>
  <c r="BL126" i="3"/>
  <c r="BL122" i="3"/>
  <c r="BL118" i="3"/>
  <c r="BL114" i="3"/>
  <c r="BA114" i="3"/>
  <c r="BL113" i="3"/>
  <c r="AZ113" i="3" s="1"/>
  <c r="BL110" i="3"/>
  <c r="BA110" i="3"/>
  <c r="AZ110" i="3" s="1"/>
  <c r="BL109" i="3"/>
  <c r="AZ109" i="3" s="1"/>
  <c r="BL106" i="3"/>
  <c r="BA106" i="3"/>
  <c r="BL105" i="3"/>
  <c r="AZ105" i="3" s="1"/>
  <c r="BL102" i="3"/>
  <c r="BA102" i="3"/>
  <c r="AZ102" i="3" s="1"/>
  <c r="BL101" i="3"/>
  <c r="AZ101" i="3" s="1"/>
  <c r="BL98" i="3"/>
  <c r="BA98" i="3"/>
  <c r="BL97" i="3"/>
  <c r="AZ97" i="3" s="1"/>
  <c r="BL94" i="3"/>
  <c r="BA94" i="3"/>
  <c r="AZ94" i="3" s="1"/>
  <c r="BL93" i="3"/>
  <c r="AZ93" i="3" s="1"/>
  <c r="BL90" i="3"/>
  <c r="BA90" i="3"/>
  <c r="BL89" i="3"/>
  <c r="AZ89" i="3" s="1"/>
  <c r="BL86" i="3"/>
  <c r="BA86" i="3"/>
  <c r="AZ86" i="3" s="1"/>
  <c r="BL85" i="3"/>
  <c r="AZ85" i="3" s="1"/>
  <c r="BL82" i="3"/>
  <c r="BA82" i="3"/>
  <c r="BL81" i="3"/>
  <c r="AZ81" i="3" s="1"/>
  <c r="BL78" i="3"/>
  <c r="BA78" i="3"/>
  <c r="AZ78" i="3" s="1"/>
  <c r="BL77" i="3"/>
  <c r="AZ77" i="3" s="1"/>
  <c r="BL74" i="3"/>
  <c r="BA74" i="3"/>
  <c r="BL73" i="3"/>
  <c r="AZ73" i="3" s="1"/>
  <c r="BL70" i="3"/>
  <c r="BA70" i="3"/>
  <c r="AZ70" i="3" s="1"/>
  <c r="BL69" i="3"/>
  <c r="AZ69" i="3" s="1"/>
  <c r="BL66" i="3"/>
  <c r="BA66" i="3"/>
  <c r="BL65" i="3"/>
  <c r="AZ65" i="3" s="1"/>
  <c r="BL62" i="3"/>
  <c r="BA62" i="3"/>
  <c r="AZ62" i="3" s="1"/>
  <c r="BL61" i="3"/>
  <c r="AZ61" i="3" s="1"/>
  <c r="BL58" i="3"/>
  <c r="BA58" i="3"/>
  <c r="BL57" i="3"/>
  <c r="AZ57" i="3" s="1"/>
  <c r="BL54" i="3"/>
  <c r="BA54" i="3"/>
  <c r="AZ54" i="3" s="1"/>
  <c r="BL53" i="3"/>
  <c r="BL49" i="3"/>
  <c r="BL45" i="3"/>
  <c r="BL41" i="3"/>
  <c r="BL37" i="3"/>
  <c r="BL33" i="3"/>
  <c r="BL29" i="3"/>
  <c r="BL25" i="3"/>
  <c r="BL21" i="3"/>
  <c r="BL17" i="3"/>
  <c r="BL13" i="3"/>
  <c r="D108" i="43"/>
  <c r="BL107" i="3"/>
  <c r="AZ107" i="3" s="1"/>
  <c r="BL104" i="3"/>
  <c r="BA104" i="3"/>
  <c r="BL103" i="3"/>
  <c r="AZ103" i="3" s="1"/>
  <c r="BL100" i="3"/>
  <c r="BA100" i="3"/>
  <c r="AZ100" i="3" s="1"/>
  <c r="BL99" i="3"/>
  <c r="AZ99" i="3" s="1"/>
  <c r="BL96" i="3"/>
  <c r="BA96" i="3"/>
  <c r="BL95" i="3"/>
  <c r="AZ95" i="3" s="1"/>
  <c r="BL92" i="3"/>
  <c r="BA92" i="3"/>
  <c r="AZ92" i="3" s="1"/>
  <c r="BL91" i="3"/>
  <c r="AZ91" i="3" s="1"/>
  <c r="BL88" i="3"/>
  <c r="BA88" i="3"/>
  <c r="BL87" i="3"/>
  <c r="AZ87" i="3" s="1"/>
  <c r="BL84" i="3"/>
  <c r="BA84" i="3"/>
  <c r="AZ84" i="3" s="1"/>
  <c r="BL83" i="3"/>
  <c r="AZ83" i="3" s="1"/>
  <c r="BL80" i="3"/>
  <c r="BA80" i="3"/>
  <c r="BL79" i="3"/>
  <c r="AZ79" i="3" s="1"/>
  <c r="BL76" i="3"/>
  <c r="BA76" i="3"/>
  <c r="AZ76" i="3" s="1"/>
  <c r="BL75" i="3"/>
  <c r="AZ75" i="3" s="1"/>
  <c r="BL72" i="3"/>
  <c r="BA72" i="3"/>
  <c r="BL71" i="3"/>
  <c r="AZ71" i="3" s="1"/>
  <c r="BL68" i="3"/>
  <c r="BA68" i="3"/>
  <c r="AZ68" i="3" s="1"/>
  <c r="BL67" i="3"/>
  <c r="AZ67" i="3" s="1"/>
  <c r="BL64" i="3"/>
  <c r="BA64" i="3"/>
  <c r="BL63" i="3"/>
  <c r="AZ63" i="3" s="1"/>
  <c r="BL60" i="3"/>
  <c r="BA60" i="3"/>
  <c r="AZ60" i="3" s="1"/>
  <c r="BL59" i="3"/>
  <c r="AZ59" i="3" s="1"/>
  <c r="BL56" i="3"/>
  <c r="BA56" i="3"/>
  <c r="BL55" i="3"/>
  <c r="AZ55" i="3" s="1"/>
  <c r="BL51" i="3"/>
  <c r="BL47" i="3"/>
  <c r="BL43" i="3"/>
  <c r="BL39" i="3"/>
  <c r="BL35" i="3"/>
  <c r="BL31" i="3"/>
  <c r="BL27" i="3"/>
  <c r="BL23" i="3"/>
  <c r="BL19" i="3"/>
  <c r="BL15" i="3"/>
  <c r="E23" i="71"/>
  <c r="U23" i="71" s="1"/>
  <c r="E19" i="71"/>
  <c r="U19" i="71" s="1"/>
  <c r="E15" i="71"/>
  <c r="U15" i="71" s="1"/>
  <c r="AA5" i="71"/>
  <c r="BL152" i="3"/>
  <c r="AZ152" i="3" s="1"/>
  <c r="BL149" i="3"/>
  <c r="AZ149" i="3" s="1"/>
  <c r="BL146" i="3"/>
  <c r="AZ146" i="3" s="1"/>
  <c r="BL144" i="3"/>
  <c r="AZ144" i="3" s="1"/>
  <c r="C22" i="71"/>
  <c r="D22" i="71" s="1"/>
  <c r="C18" i="71"/>
  <c r="D18" i="71" s="1"/>
  <c r="C14" i="71"/>
  <c r="D14" i="71" s="1"/>
  <c r="D58" i="33"/>
  <c r="E58" i="33" s="1"/>
  <c r="F58" i="33" s="1"/>
  <c r="G58" i="33" s="1"/>
  <c r="H58" i="33" s="1"/>
  <c r="I58" i="33" s="1"/>
  <c r="J58" i="33" s="1"/>
  <c r="K58" i="33" s="1"/>
  <c r="L58" i="33" s="1"/>
  <c r="M58" i="33" s="1"/>
  <c r="N58" i="33" s="1"/>
  <c r="O58" i="33" s="1"/>
  <c r="E64" i="80"/>
  <c r="E61" i="39"/>
  <c r="E61" i="80"/>
  <c r="F27" i="6"/>
  <c r="E56" i="80"/>
  <c r="D124" i="9"/>
  <c r="H14" i="74" s="1"/>
  <c r="B7" i="74" s="1"/>
  <c r="T9" i="1"/>
  <c r="AQ9" i="1"/>
  <c r="T11" i="1"/>
  <c r="H84" i="43"/>
  <c r="H85" i="43"/>
  <c r="AR10" i="1"/>
  <c r="H82" i="43"/>
  <c r="M6" i="43"/>
  <c r="N4" i="43"/>
  <c r="AC46" i="21"/>
  <c r="AA10" i="21"/>
  <c r="F7" i="33"/>
  <c r="C28" i="15"/>
  <c r="G19" i="43"/>
  <c r="C7" i="80"/>
  <c r="C68" i="80" s="1"/>
  <c r="F15" i="21"/>
  <c r="F77" i="21"/>
  <c r="G77" i="21" s="1"/>
  <c r="J15" i="21"/>
  <c r="W15" i="21" s="1"/>
  <c r="H15" i="21"/>
  <c r="U15" i="21" s="1"/>
  <c r="T7" i="1"/>
  <c r="Q16" i="1"/>
  <c r="F27" i="11" s="1"/>
  <c r="E60" i="40"/>
  <c r="E65" i="39"/>
  <c r="E13" i="6"/>
  <c r="E63" i="80" s="1"/>
  <c r="G13" i="3"/>
  <c r="O16" i="1"/>
  <c r="AC21" i="39"/>
  <c r="AA41" i="39"/>
  <c r="D22" i="67"/>
  <c r="AC28" i="21"/>
  <c r="B65" i="43"/>
  <c r="B60" i="43"/>
  <c r="J1" i="73"/>
  <c r="C31" i="12"/>
  <c r="C13" i="12"/>
  <c r="G16" i="1"/>
  <c r="H10" i="40" s="1"/>
  <c r="AA32" i="21"/>
  <c r="F85" i="21"/>
  <c r="F23" i="21" s="1"/>
  <c r="S23" i="21" s="1"/>
  <c r="AA21" i="39"/>
  <c r="F89" i="39"/>
  <c r="G89" i="39" s="1"/>
  <c r="H15" i="39"/>
  <c r="F15" i="39"/>
  <c r="J15" i="39"/>
  <c r="B14" i="74"/>
  <c r="AA39" i="21"/>
  <c r="S39" i="21"/>
  <c r="W39" i="21"/>
  <c r="AB39" i="21"/>
  <c r="F109" i="39"/>
  <c r="G109" i="39" s="1"/>
  <c r="H109" i="39" s="1"/>
  <c r="I109" i="39" s="1"/>
  <c r="J109" i="39" s="1"/>
  <c r="K109" i="39" s="1"/>
  <c r="L109" i="39" s="1"/>
  <c r="M109" i="39" s="1"/>
  <c r="H34" i="39"/>
  <c r="F32" i="39"/>
  <c r="F107" i="39"/>
  <c r="H32" i="39"/>
  <c r="C70" i="39"/>
  <c r="D68" i="39"/>
  <c r="C24" i="12"/>
  <c r="C28" i="67"/>
  <c r="C30" i="68"/>
  <c r="J42" i="39"/>
  <c r="H42" i="39"/>
  <c r="F42" i="39"/>
  <c r="S35" i="21"/>
  <c r="AC29" i="21"/>
  <c r="W29" i="21"/>
  <c r="AB13" i="21"/>
  <c r="U13" i="21"/>
  <c r="AA29" i="21"/>
  <c r="P16" i="1"/>
  <c r="C11" i="12" s="1"/>
  <c r="C15" i="12" s="1"/>
  <c r="C30" i="11"/>
  <c r="F99" i="39"/>
  <c r="G99" i="39" s="1"/>
  <c r="F79" i="21"/>
  <c r="G79" i="21" s="1"/>
  <c r="F17" i="21"/>
  <c r="J17" i="21"/>
  <c r="H17" i="21"/>
  <c r="AB21" i="39"/>
  <c r="B56" i="43"/>
  <c r="C25" i="39"/>
  <c r="C15" i="39"/>
  <c r="B54" i="43"/>
  <c r="C27" i="39"/>
  <c r="B49" i="43"/>
  <c r="B13" i="49"/>
  <c r="W44" i="21"/>
  <c r="U43" i="21"/>
  <c r="S40" i="21"/>
  <c r="AB9" i="21"/>
  <c r="U12" i="21"/>
  <c r="AA12" i="21"/>
  <c r="U35" i="21"/>
  <c r="AC37" i="21"/>
  <c r="AC27" i="21"/>
  <c r="S34" i="21"/>
  <c r="W32" i="21"/>
  <c r="U26" i="21"/>
  <c r="AA25" i="21"/>
  <c r="F21" i="21"/>
  <c r="S21" i="21" s="1"/>
  <c r="H21" i="21"/>
  <c r="J21" i="21"/>
  <c r="W21" i="21" s="1"/>
  <c r="F83" i="21"/>
  <c r="G83" i="21" s="1"/>
  <c r="AC21" i="21"/>
  <c r="F69" i="21"/>
  <c r="G69" i="21" s="1"/>
  <c r="H69" i="21" s="1"/>
  <c r="I69" i="21" s="1"/>
  <c r="J69" i="21" s="1"/>
  <c r="K69" i="21" s="1"/>
  <c r="L69" i="21" s="1"/>
  <c r="M69" i="21" s="1"/>
  <c r="B6" i="49"/>
  <c r="C4" i="4" s="1"/>
  <c r="B4" i="62" s="1"/>
  <c r="B71" i="72" s="1"/>
  <c r="B7" i="49"/>
  <c r="C40" i="69"/>
  <c r="C48" i="69" s="1"/>
  <c r="P21" i="43"/>
  <c r="P23" i="43"/>
  <c r="P24" i="43"/>
  <c r="B66" i="40" s="1"/>
  <c r="P25" i="43"/>
  <c r="D125" i="9"/>
  <c r="D11" i="52" s="1"/>
  <c r="D10" i="52"/>
  <c r="L68" i="9"/>
  <c r="M68" i="9" s="1"/>
  <c r="L65" i="9"/>
  <c r="M65" i="9" s="1"/>
  <c r="L66" i="9"/>
  <c r="M66" i="9" s="1"/>
  <c r="L64" i="9"/>
  <c r="M64" i="9" s="1"/>
  <c r="L63" i="9"/>
  <c r="M63" i="9" s="1"/>
  <c r="M69" i="9" s="1"/>
  <c r="N69" i="9" s="1"/>
  <c r="L67" i="9"/>
  <c r="M67" i="9" s="1"/>
  <c r="H52" i="37"/>
  <c r="I52" i="37" s="1"/>
  <c r="J52" i="37" s="1"/>
  <c r="K52" i="37" s="1"/>
  <c r="L52" i="37" s="1"/>
  <c r="M52" i="37" s="1"/>
  <c r="N52" i="37" s="1"/>
  <c r="O52" i="37" s="1"/>
  <c r="E29" i="6"/>
  <c r="F30" i="6"/>
  <c r="F31" i="6" s="1"/>
  <c r="I14" i="74"/>
  <c r="B8" i="74" s="1"/>
  <c r="D127" i="9"/>
  <c r="D13" i="52" s="1"/>
  <c r="D12" i="52"/>
  <c r="I59" i="34"/>
  <c r="J59" i="34" s="1"/>
  <c r="K59" i="34" s="1"/>
  <c r="L59" i="34" s="1"/>
  <c r="M59" i="34" s="1"/>
  <c r="N59" i="34" s="1"/>
  <c r="O59" i="34" s="1"/>
  <c r="E46" i="36"/>
  <c r="F46" i="36" s="1"/>
  <c r="G46" i="36" s="1"/>
  <c r="H46" i="36" s="1"/>
  <c r="I46" i="36" s="1"/>
  <c r="J46" i="36" s="1"/>
  <c r="K46" i="36" s="1"/>
  <c r="L46" i="36" s="1"/>
  <c r="M46" i="36" s="1"/>
  <c r="N46" i="36" s="1"/>
  <c r="O46" i="36" s="1"/>
  <c r="H7" i="36" s="1"/>
  <c r="D63" i="40"/>
  <c r="C65" i="40"/>
  <c r="D48" i="35"/>
  <c r="E48" i="35" s="1"/>
  <c r="F48" i="35" s="1"/>
  <c r="G48" i="35" s="1"/>
  <c r="H48" i="35" s="1"/>
  <c r="I48" i="35" s="1"/>
  <c r="J48" i="35" s="1"/>
  <c r="K48" i="35" s="1"/>
  <c r="L48" i="35" s="1"/>
  <c r="M48" i="35" s="1"/>
  <c r="N48" i="35" s="1"/>
  <c r="O48" i="35" s="1"/>
  <c r="F7" i="35"/>
  <c r="E28" i="6"/>
  <c r="G30" i="6"/>
  <c r="G31" i="6" s="1"/>
  <c r="AB7" i="21"/>
  <c r="F7" i="21"/>
  <c r="S7" i="21" s="1"/>
  <c r="J7" i="21"/>
  <c r="AC7" i="21" s="1"/>
  <c r="J7" i="37"/>
  <c r="AR7" i="1"/>
  <c r="AB45" i="21"/>
  <c r="H16" i="1"/>
  <c r="C48" i="68"/>
  <c r="E16" i="6"/>
  <c r="E59" i="40"/>
  <c r="AA11" i="37"/>
  <c r="S32" i="37"/>
  <c r="S27" i="36"/>
  <c r="S30" i="40"/>
  <c r="S15" i="37"/>
  <c r="AA34" i="39"/>
  <c r="S34" i="39"/>
  <c r="AA12" i="34"/>
  <c r="S12" i="34"/>
  <c r="AB14" i="37"/>
  <c r="U14" i="37"/>
  <c r="S38" i="40"/>
  <c r="AA38" i="40"/>
  <c r="F103" i="39"/>
  <c r="G103" i="39" s="1"/>
  <c r="F29" i="39"/>
  <c r="H29" i="39"/>
  <c r="J29" i="39"/>
  <c r="D25" i="71"/>
  <c r="C26" i="71"/>
  <c r="C30" i="71"/>
  <c r="D30" i="71" s="1"/>
  <c r="D29" i="71"/>
  <c r="C34" i="71"/>
  <c r="D33" i="71"/>
  <c r="C42" i="71"/>
  <c r="D41" i="71"/>
  <c r="AC9" i="34"/>
  <c r="W9" i="34"/>
  <c r="W34" i="35"/>
  <c r="AC34" i="35"/>
  <c r="AC32" i="40"/>
  <c r="W32" i="40"/>
  <c r="O49" i="71"/>
  <c r="O48" i="71"/>
  <c r="D49" i="71"/>
  <c r="C38" i="71"/>
  <c r="D37" i="71"/>
  <c r="G5" i="3"/>
  <c r="B3" i="3" s="1"/>
  <c r="D23" i="67"/>
  <c r="C40" i="68"/>
  <c r="D50" i="71"/>
  <c r="F50" i="71"/>
  <c r="P74" i="67"/>
  <c r="F81" i="21"/>
  <c r="H9" i="34"/>
  <c r="F34" i="35"/>
  <c r="H34" i="35"/>
  <c r="J36" i="35"/>
  <c r="BL532" i="3"/>
  <c r="AZ532" i="3" s="1"/>
  <c r="BA531" i="3"/>
  <c r="AZ531" i="3" s="1"/>
  <c r="BA533" i="3"/>
  <c r="AZ533" i="3" s="1"/>
  <c r="BL530" i="3"/>
  <c r="AZ530" i="3" s="1"/>
  <c r="BA307" i="3"/>
  <c r="AZ307" i="3" s="1"/>
  <c r="BL306" i="3"/>
  <c r="AZ306" i="3" s="1"/>
  <c r="BA305" i="3"/>
  <c r="AZ305"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BL5" i="3" s="1"/>
  <c r="BA13" i="3"/>
  <c r="E8" i="43"/>
  <c r="E10" i="43"/>
  <c r="E9" i="43"/>
  <c r="E11" i="43"/>
  <c r="C5" i="71"/>
  <c r="D5" i="71" s="1"/>
  <c r="D6" i="71"/>
  <c r="C10" i="71"/>
  <c r="D11" i="71"/>
  <c r="U11" i="71" s="1"/>
  <c r="J17" i="43"/>
  <c r="H17" i="43"/>
  <c r="C23" i="71"/>
  <c r="C19" i="71"/>
  <c r="C15" i="71"/>
  <c r="E21" i="49"/>
  <c r="E22" i="49"/>
  <c r="E4" i="49"/>
  <c r="E9" i="49"/>
  <c r="B11" i="49"/>
  <c r="B5" i="49"/>
  <c r="B14" i="49"/>
  <c r="B22" i="49"/>
  <c r="F120" i="39"/>
  <c r="H39" i="39" s="1"/>
  <c r="E11" i="49"/>
  <c r="B8" i="49"/>
  <c r="B4" i="49"/>
  <c r="E5" i="49"/>
  <c r="E10" i="49"/>
  <c r="E8" i="49"/>
  <c r="E16" i="49"/>
  <c r="B9" i="49"/>
  <c r="E6" i="49"/>
  <c r="E7" i="49"/>
  <c r="B16" i="49"/>
  <c r="B10" i="49"/>
  <c r="E4" i="4" s="1"/>
  <c r="B5" i="62" s="1"/>
  <c r="B73" i="72" s="1"/>
  <c r="U7" i="21"/>
  <c r="F105" i="39"/>
  <c r="G105" i="39" s="1"/>
  <c r="H105" i="39" s="1"/>
  <c r="I105" i="39" s="1"/>
  <c r="J105" i="39" s="1"/>
  <c r="K105" i="39" s="1"/>
  <c r="L105" i="39" s="1"/>
  <c r="M105" i="39" s="1"/>
  <c r="J31" i="39"/>
  <c r="H31" i="39"/>
  <c r="F31" i="39"/>
  <c r="U41" i="39"/>
  <c r="AC41" i="39"/>
  <c r="U9" i="39"/>
  <c r="B20" i="31"/>
  <c r="J20" i="67"/>
  <c r="B8" i="70"/>
  <c r="C34" i="15"/>
  <c r="F63" i="15"/>
  <c r="C62" i="15" s="1"/>
  <c r="B7" i="70"/>
  <c r="F69" i="67"/>
  <c r="F69" i="15"/>
  <c r="J20" i="15"/>
  <c r="F63" i="67"/>
  <c r="C62" i="67" s="1"/>
  <c r="C34" i="67"/>
  <c r="C9" i="69"/>
  <c r="F68" i="67"/>
  <c r="F66" i="67"/>
  <c r="C27" i="15"/>
  <c r="N59" i="67"/>
  <c r="M59" i="67"/>
  <c r="L58" i="67"/>
  <c r="L59" i="67"/>
  <c r="F51" i="15"/>
  <c r="F68" i="15"/>
  <c r="L58" i="15"/>
  <c r="L59" i="15"/>
  <c r="M59" i="15"/>
  <c r="N59" i="15"/>
  <c r="F64" i="15"/>
  <c r="F65" i="15"/>
  <c r="I54" i="67"/>
  <c r="J57" i="67"/>
  <c r="J55" i="67" s="1"/>
  <c r="J58" i="67" s="1"/>
  <c r="Q50" i="67" s="1"/>
  <c r="L56" i="67"/>
  <c r="C6" i="15"/>
  <c r="C27" i="67"/>
  <c r="Q71" i="67"/>
  <c r="B10" i="70"/>
  <c r="B11" i="70"/>
  <c r="C47" i="69"/>
  <c r="D45" i="69" s="1"/>
  <c r="C29" i="69"/>
  <c r="D27" i="69" s="1"/>
  <c r="F70" i="67"/>
  <c r="F71" i="15"/>
  <c r="F64" i="67"/>
  <c r="F65" i="67"/>
  <c r="I54" i="15"/>
  <c r="L56" i="15"/>
  <c r="J57" i="15"/>
  <c r="J55" i="15" s="1"/>
  <c r="J58" i="15" s="1"/>
  <c r="Q50" i="15" s="1"/>
  <c r="Q71" i="15"/>
  <c r="F71" i="67"/>
  <c r="M7" i="67"/>
  <c r="J6" i="67" s="1"/>
  <c r="F50" i="67"/>
  <c r="F66" i="15"/>
  <c r="F51" i="67"/>
  <c r="C49" i="67" s="1"/>
  <c r="C6" i="67"/>
  <c r="M7" i="15"/>
  <c r="J6" i="15" s="1"/>
  <c r="F50" i="15"/>
  <c r="B12" i="70"/>
  <c r="B13" i="70"/>
  <c r="B9" i="70"/>
  <c r="I1" i="73"/>
  <c r="B39" i="1" s="1"/>
  <c r="C36" i="68"/>
  <c r="D7" i="73"/>
  <c r="C14" i="15"/>
  <c r="D5" i="73"/>
  <c r="D4" i="73"/>
  <c r="C16" i="67"/>
  <c r="C14" i="67"/>
  <c r="D3" i="73"/>
  <c r="D6" i="73"/>
  <c r="AE6" i="1"/>
  <c r="C17" i="67"/>
  <c r="C17" i="15"/>
  <c r="C16" i="15"/>
  <c r="H7" i="35" l="1"/>
  <c r="J7" i="36"/>
  <c r="J7" i="33"/>
  <c r="J7" i="35"/>
  <c r="F7" i="36"/>
  <c r="H7" i="34"/>
  <c r="I21" i="66"/>
  <c r="D1" i="66"/>
  <c r="E10" i="66" s="1"/>
  <c r="U39" i="40"/>
  <c r="AB39" i="40"/>
  <c r="AC25" i="37"/>
  <c r="W25" i="37"/>
  <c r="AA9" i="34"/>
  <c r="S9" i="34"/>
  <c r="AC44" i="39"/>
  <c r="W44" i="39"/>
  <c r="AB39" i="37"/>
  <c r="U39" i="37"/>
  <c r="W28" i="34"/>
  <c r="AC28" i="34"/>
  <c r="S27" i="39"/>
  <c r="AA27" i="39"/>
  <c r="H7" i="33"/>
  <c r="AZ56" i="3"/>
  <c r="AZ64" i="3"/>
  <c r="AZ72" i="3"/>
  <c r="AZ80" i="3"/>
  <c r="AZ88" i="3"/>
  <c r="AZ96" i="3"/>
  <c r="AZ104" i="3"/>
  <c r="AZ58" i="3"/>
  <c r="AZ66" i="3"/>
  <c r="AZ74" i="3"/>
  <c r="AZ82" i="3"/>
  <c r="AZ90" i="3"/>
  <c r="AZ98" i="3"/>
  <c r="AZ106" i="3"/>
  <c r="AZ114" i="3"/>
  <c r="AZ160" i="3"/>
  <c r="AZ168" i="3"/>
  <c r="AZ176" i="3"/>
  <c r="AZ112" i="3"/>
  <c r="AZ154" i="3"/>
  <c r="AZ162" i="3"/>
  <c r="AZ170" i="3"/>
  <c r="AZ178" i="3"/>
  <c r="AZ326" i="3"/>
  <c r="AA44" i="39"/>
  <c r="S44" i="39"/>
  <c r="AA25" i="37"/>
  <c r="S25" i="37"/>
  <c r="W45" i="39"/>
  <c r="AC45" i="39"/>
  <c r="AC36" i="39"/>
  <c r="W36" i="39"/>
  <c r="E62" i="80"/>
  <c r="E57" i="40"/>
  <c r="E62" i="39"/>
  <c r="D6" i="52"/>
  <c r="K120" i="9"/>
  <c r="D121" i="9"/>
  <c r="D7" i="52" s="1"/>
  <c r="H27" i="39"/>
  <c r="J27" i="39"/>
  <c r="G101" i="39"/>
  <c r="F7" i="34"/>
  <c r="E66" i="80"/>
  <c r="AB15" i="21"/>
  <c r="U11" i="21"/>
  <c r="AC11" i="21"/>
  <c r="F11" i="21"/>
  <c r="AA11" i="21" s="1"/>
  <c r="J10" i="40"/>
  <c r="W10" i="40" s="1"/>
  <c r="F10" i="40"/>
  <c r="AA10" i="40" s="1"/>
  <c r="H10" i="39"/>
  <c r="U10" i="39" s="1"/>
  <c r="J10" i="39"/>
  <c r="W10" i="39" s="1"/>
  <c r="U10" i="40"/>
  <c r="AB10" i="40"/>
  <c r="J7" i="34"/>
  <c r="F10" i="39"/>
  <c r="C70" i="80"/>
  <c r="D68" i="80"/>
  <c r="B71" i="39"/>
  <c r="B71" i="80"/>
  <c r="J10" i="80"/>
  <c r="P22" i="43"/>
  <c r="O19" i="43"/>
  <c r="S7" i="33"/>
  <c r="AA7" i="33"/>
  <c r="R48" i="33" s="1"/>
  <c r="G81" i="21"/>
  <c r="J19" i="21"/>
  <c r="F19" i="21"/>
  <c r="H19" i="21"/>
  <c r="AC15" i="21"/>
  <c r="S15" i="21"/>
  <c r="AA15" i="21"/>
  <c r="K1" i="73"/>
  <c r="I4" i="6"/>
  <c r="G3" i="43" s="1"/>
  <c r="F22" i="43" s="1"/>
  <c r="C11" i="39"/>
  <c r="C16" i="43"/>
  <c r="C5" i="43" s="1"/>
  <c r="C18" i="15"/>
  <c r="C15" i="15"/>
  <c r="F28" i="12"/>
  <c r="C29" i="12" s="1"/>
  <c r="D28" i="12" s="1"/>
  <c r="E58" i="40"/>
  <c r="E63" i="39"/>
  <c r="E66" i="39" s="1"/>
  <c r="E20" i="43"/>
  <c r="M17" i="43" s="1"/>
  <c r="AA23" i="21"/>
  <c r="G85" i="21"/>
  <c r="J23" i="21"/>
  <c r="H23" i="21"/>
  <c r="AA21" i="21"/>
  <c r="F25" i="39"/>
  <c r="S25" i="39" s="1"/>
  <c r="J25" i="39"/>
  <c r="AC25" i="39" s="1"/>
  <c r="H25" i="39"/>
  <c r="U25" i="39" s="1"/>
  <c r="W15" i="39"/>
  <c r="AC15" i="39"/>
  <c r="U15" i="39"/>
  <c r="AB15" i="39"/>
  <c r="AA15" i="39"/>
  <c r="S15" i="39"/>
  <c r="C101" i="43"/>
  <c r="C103" i="43" s="1"/>
  <c r="H38" i="39"/>
  <c r="J38" i="39"/>
  <c r="F38" i="39"/>
  <c r="B113" i="43"/>
  <c r="L101" i="43"/>
  <c r="K101" i="43"/>
  <c r="I101" i="43"/>
  <c r="AD11" i="43"/>
  <c r="AD13" i="43" s="1"/>
  <c r="AI11" i="43"/>
  <c r="AI13" i="43" s="1"/>
  <c r="AA11" i="43"/>
  <c r="AA13" i="43" s="1"/>
  <c r="U34" i="39"/>
  <c r="AB34" i="39"/>
  <c r="G107" i="39"/>
  <c r="H107" i="39" s="1"/>
  <c r="I107" i="39" s="1"/>
  <c r="J107" i="39" s="1"/>
  <c r="K107" i="39" s="1"/>
  <c r="L107" i="39" s="1"/>
  <c r="M107" i="39" s="1"/>
  <c r="J32" i="39"/>
  <c r="AB32" i="39"/>
  <c r="U32" i="39"/>
  <c r="S32" i="39"/>
  <c r="AA32" i="39"/>
  <c r="F7" i="37"/>
  <c r="S7" i="37" s="1"/>
  <c r="S10" i="40"/>
  <c r="D70" i="39"/>
  <c r="E68" i="39"/>
  <c r="AB42" i="39"/>
  <c r="U42" i="39"/>
  <c r="AA42" i="39"/>
  <c r="S42" i="39"/>
  <c r="AC42" i="39"/>
  <c r="W42" i="39"/>
  <c r="C12" i="12"/>
  <c r="AB17" i="21"/>
  <c r="U17" i="21"/>
  <c r="AA17" i="21"/>
  <c r="S17" i="21"/>
  <c r="AC17" i="21"/>
  <c r="W17" i="21"/>
  <c r="U21" i="21"/>
  <c r="AB21" i="21"/>
  <c r="W11" i="21"/>
  <c r="W7" i="21"/>
  <c r="AA7" i="21"/>
  <c r="D19" i="71"/>
  <c r="T19" i="71"/>
  <c r="C102" i="43"/>
  <c r="C7" i="43"/>
  <c r="AZ14" i="3"/>
  <c r="U34" i="35"/>
  <c r="AB34" i="35"/>
  <c r="AB9" i="34"/>
  <c r="U9" i="34"/>
  <c r="E69" i="3"/>
  <c r="E237" i="3"/>
  <c r="E114" i="3"/>
  <c r="E261" i="3"/>
  <c r="E278" i="3"/>
  <c r="E304" i="3"/>
  <c r="E415" i="3"/>
  <c r="E528" i="3"/>
  <c r="E563" i="3"/>
  <c r="E565" i="3"/>
  <c r="E395" i="3"/>
  <c r="E183" i="3"/>
  <c r="E172" i="3"/>
  <c r="E213" i="3"/>
  <c r="E260" i="3"/>
  <c r="E361" i="3"/>
  <c r="E445" i="3"/>
  <c r="E17" i="3"/>
  <c r="E550" i="3"/>
  <c r="E503" i="3"/>
  <c r="E535" i="3"/>
  <c r="E302" i="3"/>
  <c r="E359" i="3"/>
  <c r="E229" i="3"/>
  <c r="E97" i="3"/>
  <c r="E353" i="3"/>
  <c r="E385" i="3"/>
  <c r="E495" i="3"/>
  <c r="E518" i="3"/>
  <c r="E16" i="3"/>
  <c r="E586" i="3"/>
  <c r="E549" i="3"/>
  <c r="E434" i="3"/>
  <c r="E350" i="3"/>
  <c r="E382" i="3"/>
  <c r="E303" i="3"/>
  <c r="E263" i="3"/>
  <c r="E301" i="3"/>
  <c r="E196" i="3"/>
  <c r="E136" i="3"/>
  <c r="E156" i="3"/>
  <c r="E188" i="3"/>
  <c r="E228" i="3"/>
  <c r="E181" i="3"/>
  <c r="E157" i="3"/>
  <c r="E140" i="3"/>
  <c r="E120" i="3"/>
  <c r="E85" i="3"/>
  <c r="E45" i="3"/>
  <c r="E223" i="3"/>
  <c r="E277" i="3"/>
  <c r="E238" i="3"/>
  <c r="E224" i="3"/>
  <c r="E197" i="3"/>
  <c r="E177" i="3"/>
  <c r="E116" i="3"/>
  <c r="E193" i="3"/>
  <c r="E173" i="3"/>
  <c r="E105" i="3"/>
  <c r="E313" i="3"/>
  <c r="E369" i="3"/>
  <c r="E393" i="3"/>
  <c r="E519" i="3"/>
  <c r="K6" i="3"/>
  <c r="E493" i="3"/>
  <c r="Q6" i="3"/>
  <c r="E564" i="3"/>
  <c r="T6" i="3"/>
  <c r="E543" i="3"/>
  <c r="E405" i="3"/>
  <c r="E427" i="3"/>
  <c r="E472" i="3"/>
  <c r="E474" i="3"/>
  <c r="E481" i="3"/>
  <c r="E527" i="3"/>
  <c r="E406" i="3"/>
  <c r="E422" i="3"/>
  <c r="E408" i="3"/>
  <c r="E440" i="3"/>
  <c r="E465" i="3"/>
  <c r="E288" i="3"/>
  <c r="E344" i="3"/>
  <c r="E556" i="3"/>
  <c r="AH6" i="3"/>
  <c r="W6" i="3"/>
  <c r="E497" i="3"/>
  <c r="J6" i="3"/>
  <c r="E13" i="3"/>
  <c r="E537" i="3"/>
  <c r="E429" i="3"/>
  <c r="E450" i="3"/>
  <c r="E468" i="3"/>
  <c r="E471" i="3"/>
  <c r="E496" i="3"/>
  <c r="E433" i="3"/>
  <c r="E454" i="3"/>
  <c r="E475" i="3"/>
  <c r="E55" i="3"/>
  <c r="E72" i="3"/>
  <c r="E106" i="3"/>
  <c r="E54" i="3"/>
  <c r="E73" i="3"/>
  <c r="E111" i="3"/>
  <c r="E146" i="3"/>
  <c r="E198" i="3"/>
  <c r="E119" i="3"/>
  <c r="E171" i="3"/>
  <c r="E202" i="3"/>
  <c r="E256" i="3"/>
  <c r="E279" i="3"/>
  <c r="E214" i="3"/>
  <c r="E257" i="3"/>
  <c r="E274" i="3"/>
  <c r="E351" i="3"/>
  <c r="E315" i="3"/>
  <c r="E357" i="3"/>
  <c r="E394" i="3"/>
  <c r="E356" i="3"/>
  <c r="E372" i="3"/>
  <c r="AL6" i="3"/>
  <c r="E580" i="3"/>
  <c r="E31" i="3"/>
  <c r="E74" i="3"/>
  <c r="E94" i="3"/>
  <c r="E43" i="3"/>
  <c r="E75" i="3"/>
  <c r="E428" i="3"/>
  <c r="E482" i="3"/>
  <c r="E412" i="3"/>
  <c r="E18" i="3"/>
  <c r="E96" i="3"/>
  <c r="E78" i="3"/>
  <c r="E129" i="3"/>
  <c r="E190" i="3"/>
  <c r="E174" i="3"/>
  <c r="E220" i="3"/>
  <c r="E275" i="3"/>
  <c r="E299" i="3"/>
  <c r="E339" i="3"/>
  <c r="E342" i="3"/>
  <c r="E522" i="3"/>
  <c r="E35" i="3"/>
  <c r="E86" i="3"/>
  <c r="E112" i="3"/>
  <c r="E123" i="3"/>
  <c r="E147" i="3"/>
  <c r="E289" i="3"/>
  <c r="E340" i="3"/>
  <c r="E364" i="3"/>
  <c r="E102" i="3"/>
  <c r="E20" i="3"/>
  <c r="E62" i="3"/>
  <c r="E176" i="3"/>
  <c r="E218" i="3"/>
  <c r="E265" i="3"/>
  <c r="E365" i="3"/>
  <c r="E524" i="3"/>
  <c r="E10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AC10" i="40"/>
  <c r="C47" i="11"/>
  <c r="D45" i="11" s="1"/>
  <c r="C29" i="11"/>
  <c r="D27" i="11" s="1"/>
  <c r="E30" i="6"/>
  <c r="K14" i="1"/>
  <c r="AB7" i="35"/>
  <c r="T38" i="35" s="1"/>
  <c r="G38" i="35" s="1"/>
  <c r="U7" i="35"/>
  <c r="E63" i="40"/>
  <c r="D65" i="40"/>
  <c r="AC7" i="36"/>
  <c r="V36" i="36" s="1"/>
  <c r="I36" i="36" s="1"/>
  <c r="W7" i="36"/>
  <c r="AA7" i="34"/>
  <c r="R49" i="34" s="1"/>
  <c r="S7" i="34"/>
  <c r="K15" i="1"/>
  <c r="L19" i="6"/>
  <c r="L27" i="6" s="1"/>
  <c r="H7" i="37"/>
  <c r="D15" i="71"/>
  <c r="T15" i="71"/>
  <c r="D23" i="71"/>
  <c r="T23" i="71"/>
  <c r="C9" i="71"/>
  <c r="D9" i="71" s="1"/>
  <c r="D10" i="71"/>
  <c r="C109" i="43"/>
  <c r="AZ13" i="3"/>
  <c r="AZ5" i="3" s="1"/>
  <c r="BA5" i="3"/>
  <c r="E27" i="6" s="1"/>
  <c r="E31" i="6" s="1"/>
  <c r="AC36" i="35"/>
  <c r="W36" i="35"/>
  <c r="AA34" i="35"/>
  <c r="S34" i="35"/>
  <c r="F49" i="71"/>
  <c r="Q50" i="71"/>
  <c r="AA19" i="21"/>
  <c r="S19" i="21"/>
  <c r="D42" i="71"/>
  <c r="C43" i="71"/>
  <c r="D34" i="71"/>
  <c r="C35" i="71"/>
  <c r="AB29" i="39"/>
  <c r="U29" i="39"/>
  <c r="W7" i="37"/>
  <c r="AC7" i="37"/>
  <c r="V42" i="37" s="1"/>
  <c r="I42" i="37" s="1"/>
  <c r="AB10" i="39"/>
  <c r="AA7" i="35"/>
  <c r="R38" i="35" s="1"/>
  <c r="S7" i="35"/>
  <c r="W7" i="35"/>
  <c r="AC7" i="35"/>
  <c r="V38" i="35" s="1"/>
  <c r="I38" i="35" s="1"/>
  <c r="U7" i="36"/>
  <c r="AB7" i="36"/>
  <c r="T36" i="36" s="1"/>
  <c r="G36" i="36" s="1"/>
  <c r="S7" i="36"/>
  <c r="AA7" i="36"/>
  <c r="R36" i="36" s="1"/>
  <c r="U7" i="34"/>
  <c r="AB7" i="34"/>
  <c r="T49" i="34" s="1"/>
  <c r="G49" i="34" s="1"/>
  <c r="W7" i="34"/>
  <c r="AC7" i="34"/>
  <c r="V49" i="34" s="1"/>
  <c r="I49" i="34" s="1"/>
  <c r="G120" i="39"/>
  <c r="H120" i="39" s="1"/>
  <c r="I120" i="39" s="1"/>
  <c r="J120" i="39" s="1"/>
  <c r="K120" i="39" s="1"/>
  <c r="L120" i="39" s="1"/>
  <c r="M120" i="39" s="1"/>
  <c r="J39" i="39"/>
  <c r="F39" i="39"/>
  <c r="U39" i="39"/>
  <c r="AB39" i="39"/>
  <c r="K4" i="4"/>
  <c r="B46" i="48" s="1"/>
  <c r="B4" i="72" s="1"/>
  <c r="AA31" i="39"/>
  <c r="S31" i="39"/>
  <c r="AC31" i="39"/>
  <c r="W31" i="39"/>
  <c r="AB31" i="39"/>
  <c r="U31" i="39"/>
  <c r="C15" i="67"/>
  <c r="C18" i="67"/>
  <c r="Q61" i="15"/>
  <c r="Q74" i="15"/>
  <c r="Q61" i="67"/>
  <c r="Q74" i="67"/>
  <c r="F11" i="67"/>
  <c r="M11" i="15"/>
  <c r="J10" i="15" s="1"/>
  <c r="J5" i="15" s="1"/>
  <c r="M11" i="67"/>
  <c r="J10" i="67" s="1"/>
  <c r="J5" i="67" s="1"/>
  <c r="F11" i="15"/>
  <c r="Q60" i="15"/>
  <c r="Q73" i="15"/>
  <c r="C49" i="15"/>
  <c r="Q73" i="67"/>
  <c r="Q60" i="67"/>
  <c r="F27" i="68"/>
  <c r="G1" i="73"/>
  <c r="C104" i="43" l="1"/>
  <c r="C105" i="43"/>
  <c r="AE11" i="43"/>
  <c r="AE13" i="43" s="1"/>
  <c r="Z11" i="43"/>
  <c r="Z13" i="43" s="1"/>
  <c r="AH11" i="43"/>
  <c r="AH13" i="43" s="1"/>
  <c r="J101" i="43"/>
  <c r="E101" i="43"/>
  <c r="G101" i="43"/>
  <c r="D101" i="43"/>
  <c r="D102" i="43" s="1"/>
  <c r="G22" i="43"/>
  <c r="D104" i="43"/>
  <c r="AC10" i="39"/>
  <c r="AC7" i="33"/>
  <c r="V48" i="33" s="1"/>
  <c r="I48" i="33" s="1"/>
  <c r="I52" i="33" s="1"/>
  <c r="J52" i="33" s="1"/>
  <c r="W7" i="33"/>
  <c r="S11" i="21"/>
  <c r="AC27" i="39"/>
  <c r="W27" i="39"/>
  <c r="AB7" i="33"/>
  <c r="T48" i="33" s="1"/>
  <c r="G48" i="33" s="1"/>
  <c r="U7" i="33"/>
  <c r="U27" i="39"/>
  <c r="AB27" i="39"/>
  <c r="AA7" i="37"/>
  <c r="R42" i="37" s="1"/>
  <c r="C106" i="43"/>
  <c r="C107" i="43"/>
  <c r="Y11" i="43"/>
  <c r="Y13" i="43" s="1"/>
  <c r="AC11" i="43"/>
  <c r="AC13" i="43" s="1"/>
  <c r="AG11" i="43"/>
  <c r="AG13" i="43" s="1"/>
  <c r="Z7" i="43"/>
  <c r="AB11" i="43"/>
  <c r="AB13" i="43" s="1"/>
  <c r="AF11" i="43"/>
  <c r="AF13" i="43" s="1"/>
  <c r="AJ11" i="43"/>
  <c r="AJ13" i="43" s="1"/>
  <c r="H101" i="43"/>
  <c r="N101" i="43"/>
  <c r="M101" i="43"/>
  <c r="N104" i="46"/>
  <c r="F101" i="43"/>
  <c r="E22" i="43"/>
  <c r="D22" i="43" s="1"/>
  <c r="H22" i="43"/>
  <c r="AB11" i="21"/>
  <c r="E48" i="33"/>
  <c r="R49" i="33"/>
  <c r="AA10" i="80"/>
  <c r="S10" i="80"/>
  <c r="E68" i="80"/>
  <c r="D70" i="80"/>
  <c r="S10" i="39"/>
  <c r="AA10" i="39"/>
  <c r="AB10" i="80"/>
  <c r="U10" i="80"/>
  <c r="AC10" i="80"/>
  <c r="W10" i="80"/>
  <c r="AB19" i="21"/>
  <c r="U19" i="21"/>
  <c r="W19" i="21"/>
  <c r="AC19" i="21"/>
  <c r="C19" i="15"/>
  <c r="C20" i="15" s="1"/>
  <c r="C29" i="68"/>
  <c r="D27" i="68" s="1"/>
  <c r="C47" i="68"/>
  <c r="D45" i="68" s="1"/>
  <c r="AA25" i="39"/>
  <c r="O17" i="43"/>
  <c r="B40" i="1"/>
  <c r="F25" i="12" s="1"/>
  <c r="C26" i="12" s="1"/>
  <c r="D25" i="12" s="1"/>
  <c r="N17" i="43"/>
  <c r="P17" i="43"/>
  <c r="U23" i="21"/>
  <c r="AB23" i="21"/>
  <c r="AC23" i="21"/>
  <c r="W23" i="21"/>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E107" i="43"/>
  <c r="E104" i="43"/>
  <c r="E106" i="43"/>
  <c r="E105" i="43"/>
  <c r="E109" i="43"/>
  <c r="E103" i="43"/>
  <c r="L109" i="43"/>
  <c r="L107" i="43"/>
  <c r="L103" i="43"/>
  <c r="L105" i="43"/>
  <c r="L106" i="43"/>
  <c r="L104" i="43"/>
  <c r="L102" i="43"/>
  <c r="G105" i="43"/>
  <c r="G102" i="43"/>
  <c r="G107" i="43"/>
  <c r="G104" i="43"/>
  <c r="G106" i="43"/>
  <c r="G103" i="43"/>
  <c r="G109" i="43"/>
  <c r="D115" i="43"/>
  <c r="E115" i="43" s="1"/>
  <c r="F115" i="43" s="1"/>
  <c r="G115" i="43" s="1"/>
  <c r="H115" i="43" s="1"/>
  <c r="B115" i="43"/>
  <c r="C115" i="43" s="1"/>
  <c r="B117" i="43"/>
  <c r="C117" i="43" s="1"/>
  <c r="I115" i="43"/>
  <c r="J115" i="43" s="1"/>
  <c r="K115" i="43" s="1"/>
  <c r="L115" i="43" s="1"/>
  <c r="M115" i="43" s="1"/>
  <c r="D117" i="43"/>
  <c r="E117" i="43" s="1"/>
  <c r="F117" i="43" s="1"/>
  <c r="G117" i="43" s="1"/>
  <c r="H117" i="43" s="1"/>
  <c r="I118" i="43"/>
  <c r="J118" i="43" s="1"/>
  <c r="K118" i="43" s="1"/>
  <c r="L118" i="43" s="1"/>
  <c r="M118" i="43" s="1"/>
  <c r="D116" i="43"/>
  <c r="E116" i="43" s="1"/>
  <c r="F116" i="43" s="1"/>
  <c r="G116" i="43" s="1"/>
  <c r="H116" i="43" s="1"/>
  <c r="G118" i="43"/>
  <c r="H118" i="43" s="1"/>
  <c r="B116" i="43"/>
  <c r="C116" i="43" s="1"/>
  <c r="B118" i="43"/>
  <c r="C118" i="43" s="1"/>
  <c r="I116" i="43"/>
  <c r="J116" i="43" s="1"/>
  <c r="K116" i="43" s="1"/>
  <c r="L116" i="43" s="1"/>
  <c r="M116" i="43" s="1"/>
  <c r="I117" i="43"/>
  <c r="J117" i="43" s="1"/>
  <c r="K117" i="43" s="1"/>
  <c r="L117" i="43" s="1"/>
  <c r="M117" i="43" s="1"/>
  <c r="D118" i="43"/>
  <c r="E118" i="43" s="1"/>
  <c r="F118" i="43" s="1"/>
  <c r="W38" i="39"/>
  <c r="AC38" i="39"/>
  <c r="H6" i="3"/>
  <c r="W32" i="39"/>
  <c r="AC32" i="39"/>
  <c r="F68" i="39"/>
  <c r="E70" i="39"/>
  <c r="R48" i="21"/>
  <c r="I42" i="35"/>
  <c r="J42" i="35" s="1"/>
  <c r="I46" i="37"/>
  <c r="J46" i="37" s="1"/>
  <c r="T35" i="71"/>
  <c r="D35" i="71"/>
  <c r="T43" i="71"/>
  <c r="D43" i="71"/>
  <c r="AB7" i="37"/>
  <c r="T42" i="37" s="1"/>
  <c r="G42" i="37" s="1"/>
  <c r="U7" i="37"/>
  <c r="R50" i="34"/>
  <c r="E49" i="34"/>
  <c r="I40" i="36"/>
  <c r="J40" i="36" s="1"/>
  <c r="F63" i="40"/>
  <c r="E65" i="40"/>
  <c r="G42" i="35"/>
  <c r="H42" i="35" s="1"/>
  <c r="G43" i="35"/>
  <c r="H43" i="35" s="1"/>
  <c r="K19" i="6"/>
  <c r="K16" i="1"/>
  <c r="M14" i="1"/>
  <c r="K20" i="6"/>
  <c r="M20" i="6" s="1"/>
  <c r="I20" i="6" s="1"/>
  <c r="S20" i="6" s="1"/>
  <c r="K23" i="6"/>
  <c r="M23" i="6" s="1"/>
  <c r="I23" i="6" s="1"/>
  <c r="S23" i="6" s="1"/>
  <c r="K21" i="6"/>
  <c r="M21" i="6" s="1"/>
  <c r="I21" i="6" s="1"/>
  <c r="S21" i="6" s="1"/>
  <c r="R43" i="37"/>
  <c r="E42" i="37"/>
  <c r="I53" i="34"/>
  <c r="J53" i="34" s="1"/>
  <c r="G54" i="34"/>
  <c r="H54" i="34" s="1"/>
  <c r="G53" i="34"/>
  <c r="H53" i="34" s="1"/>
  <c r="E36" i="36"/>
  <c r="R37" i="36"/>
  <c r="G40" i="36"/>
  <c r="H40" i="36" s="1"/>
  <c r="G41" i="36"/>
  <c r="H41" i="36" s="1"/>
  <c r="R39" i="35"/>
  <c r="E38" i="35"/>
  <c r="I43" i="35" s="1"/>
  <c r="J43" i="35" s="1"/>
  <c r="Q49" i="71"/>
  <c r="Q48" i="71"/>
  <c r="E3" i="6"/>
  <c r="AY6" i="3"/>
  <c r="K22" i="6"/>
  <c r="M22" i="6" s="1"/>
  <c r="I22" i="6" s="1"/>
  <c r="S22" i="6" s="1"/>
  <c r="K26" i="6"/>
  <c r="M26" i="6" s="1"/>
  <c r="I26" i="6" s="1"/>
  <c r="S26" i="6" s="1"/>
  <c r="K24" i="6"/>
  <c r="M24" i="6" s="1"/>
  <c r="I24" i="6" s="1"/>
  <c r="S24" i="6" s="1"/>
  <c r="K25" i="6"/>
  <c r="M25" i="6" s="1"/>
  <c r="I25" i="6" s="1"/>
  <c r="S25" i="6" s="1"/>
  <c r="T27" i="71"/>
  <c r="D27" i="71"/>
  <c r="T39" i="71"/>
  <c r="D39" i="71"/>
  <c r="AC6" i="3"/>
  <c r="M20" i="43"/>
  <c r="C19" i="43" s="1"/>
  <c r="W39" i="39"/>
  <c r="AC39" i="39"/>
  <c r="S39" i="39"/>
  <c r="AA39" i="39"/>
  <c r="C19" i="67"/>
  <c r="C20" i="67" s="1"/>
  <c r="C26" i="67" s="1"/>
  <c r="J18" i="67"/>
  <c r="J26" i="67"/>
  <c r="J29" i="67" s="1"/>
  <c r="J24" i="67"/>
  <c r="J18" i="15"/>
  <c r="J26" i="15"/>
  <c r="J29" i="15" s="1"/>
  <c r="J24" i="15"/>
  <c r="C53" i="67"/>
  <c r="C48" i="67" s="1"/>
  <c r="C10" i="67"/>
  <c r="C5" i="67" s="1"/>
  <c r="C53" i="15"/>
  <c r="C48" i="15" s="1"/>
  <c r="C10" i="15"/>
  <c r="C5" i="15" s="1"/>
  <c r="D105" i="43" l="1"/>
  <c r="D109" i="43"/>
  <c r="D107" i="43"/>
  <c r="D106" i="43"/>
  <c r="D103" i="43"/>
  <c r="G52" i="33"/>
  <c r="H52" i="33" s="1"/>
  <c r="G53" i="33"/>
  <c r="H53" i="33" s="1"/>
  <c r="V48" i="21"/>
  <c r="I48" i="21" s="1"/>
  <c r="I52" i="21" s="1"/>
  <c r="J52" i="21" s="1"/>
  <c r="C49" i="33"/>
  <c r="C48" i="33"/>
  <c r="E70" i="80"/>
  <c r="F68" i="80"/>
  <c r="E52" i="33"/>
  <c r="F52" i="33" s="1"/>
  <c r="E53" i="33"/>
  <c r="F53" i="33" s="1"/>
  <c r="I53" i="33"/>
  <c r="J53" i="33" s="1"/>
  <c r="T48" i="21"/>
  <c r="G48" i="21" s="1"/>
  <c r="G52" i="21" s="1"/>
  <c r="H52" i="21" s="1"/>
  <c r="AA11" i="39"/>
  <c r="S11" i="39"/>
  <c r="U11" i="80"/>
  <c r="AB11" i="80"/>
  <c r="W11" i="80"/>
  <c r="AC11" i="80"/>
  <c r="W11" i="39"/>
  <c r="AC11" i="39"/>
  <c r="AB11" i="39"/>
  <c r="U11" i="39"/>
  <c r="AA11" i="80"/>
  <c r="S11" i="80"/>
  <c r="C23" i="43"/>
  <c r="C21" i="43" s="1"/>
  <c r="F24" i="15"/>
  <c r="C24" i="15" s="1"/>
  <c r="F22" i="69"/>
  <c r="C44" i="69" s="1"/>
  <c r="D41" i="69" s="1"/>
  <c r="F22" i="68"/>
  <c r="C23" i="68" s="1"/>
  <c r="F24" i="67"/>
  <c r="C24" i="67" s="1"/>
  <c r="F22" i="11"/>
  <c r="C44" i="11" s="1"/>
  <c r="D41" i="11" s="1"/>
  <c r="E6" i="3"/>
  <c r="S6" i="43"/>
  <c r="S7" i="43"/>
  <c r="S4" i="43"/>
  <c r="T4" i="43" s="1"/>
  <c r="V4" i="43" s="1"/>
  <c r="S3" i="43"/>
  <c r="T3" i="43" s="1"/>
  <c r="V3" i="43" s="1"/>
  <c r="S5" i="43"/>
  <c r="T5" i="43" s="1"/>
  <c r="V5" i="43" s="1"/>
  <c r="S2" i="43"/>
  <c r="T2" i="43" s="1"/>
  <c r="V2" i="43" s="1"/>
  <c r="D113" i="43"/>
  <c r="J22" i="43" s="1"/>
  <c r="G68" i="39"/>
  <c r="F70" i="39"/>
  <c r="E48" i="21"/>
  <c r="C36" i="43"/>
  <c r="C34" i="43"/>
  <c r="C33" i="43"/>
  <c r="C35" i="43"/>
  <c r="C39" i="43"/>
  <c r="C29" i="43"/>
  <c r="T16" i="43"/>
  <c r="V16" i="43" s="1"/>
  <c r="T12" i="43"/>
  <c r="V12" i="43" s="1"/>
  <c r="T15" i="43"/>
  <c r="V15" i="43" s="1"/>
  <c r="T10" i="43"/>
  <c r="V10" i="43" s="1"/>
  <c r="T6" i="43"/>
  <c r="V6" i="43" s="1"/>
  <c r="C38" i="43"/>
  <c r="C37" i="43"/>
  <c r="T11" i="43"/>
  <c r="V11" i="43" s="1"/>
  <c r="T14" i="43"/>
  <c r="V14" i="43" s="1"/>
  <c r="T9" i="43"/>
  <c r="V9" i="43" s="1"/>
  <c r="T7" i="43"/>
  <c r="V7" i="43" s="1"/>
  <c r="T8" i="43"/>
  <c r="V8" i="43" s="1"/>
  <c r="T13" i="43"/>
  <c r="V13" i="43" s="1"/>
  <c r="M18" i="9"/>
  <c r="B118" i="9" s="1"/>
  <c r="D3" i="34"/>
  <c r="D3" i="33"/>
  <c r="B2" i="33" s="1"/>
  <c r="B3" i="33" s="1"/>
  <c r="E6" i="6"/>
  <c r="C17" i="4"/>
  <c r="B4" i="52" s="1"/>
  <c r="B43" i="72" s="1"/>
  <c r="D3" i="37"/>
  <c r="D3" i="21"/>
  <c r="D19" i="11"/>
  <c r="C19" i="11" s="1"/>
  <c r="D37" i="11"/>
  <c r="C37" i="11" s="1"/>
  <c r="D14" i="12"/>
  <c r="C39" i="35"/>
  <c r="B2" i="35" s="1"/>
  <c r="B3" i="35" s="1"/>
  <c r="C38" i="35"/>
  <c r="E40" i="36"/>
  <c r="F40" i="36" s="1"/>
  <c r="E41" i="36"/>
  <c r="F41" i="36" s="1"/>
  <c r="C43" i="37"/>
  <c r="C42" i="37"/>
  <c r="E54" i="34"/>
  <c r="F54" i="34" s="1"/>
  <c r="E53" i="34"/>
  <c r="F53" i="34"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43" i="35"/>
  <c r="F43" i="35" s="1"/>
  <c r="E42" i="35"/>
  <c r="F42" i="35" s="1"/>
  <c r="C37" i="36"/>
  <c r="B2" i="36" s="1"/>
  <c r="B3" i="36" s="1"/>
  <c r="C36" i="36"/>
  <c r="I54" i="34"/>
  <c r="J54" i="34" s="1"/>
  <c r="E47" i="37"/>
  <c r="F47" i="37" s="1"/>
  <c r="E46" i="37"/>
  <c r="F46" i="37" s="1"/>
  <c r="M16" i="1"/>
  <c r="K27" i="6"/>
  <c r="M19" i="6"/>
  <c r="S6" i="1"/>
  <c r="G63" i="40"/>
  <c r="F65" i="40"/>
  <c r="I41" i="36"/>
  <c r="J41" i="36" s="1"/>
  <c r="C49" i="34"/>
  <c r="C50" i="34"/>
  <c r="G46" i="37"/>
  <c r="H46" i="37" s="1"/>
  <c r="G47" i="37"/>
  <c r="H47" i="37" s="1"/>
  <c r="I47" i="37"/>
  <c r="J47" i="37" s="1"/>
  <c r="C26" i="15"/>
  <c r="C60" i="15"/>
  <c r="C66" i="15"/>
  <c r="C32" i="67"/>
  <c r="C38" i="67"/>
  <c r="C32" i="15"/>
  <c r="C38" i="15"/>
  <c r="C60" i="67"/>
  <c r="C66" i="67"/>
  <c r="D10" i="69"/>
  <c r="C34" i="69"/>
  <c r="B2" i="37" l="1"/>
  <c r="B3" i="37" s="1"/>
  <c r="R49" i="21"/>
  <c r="C49" i="21" s="1"/>
  <c r="N16" i="82" s="1"/>
  <c r="F70" i="80"/>
  <c r="G68" i="80"/>
  <c r="G53" i="21"/>
  <c r="H53" i="21" s="1"/>
  <c r="C26" i="69"/>
  <c r="D22" i="69" s="1"/>
  <c r="C26" i="11"/>
  <c r="D22" i="11" s="1"/>
  <c r="C44" i="68"/>
  <c r="D41" i="68" s="1"/>
  <c r="C23" i="15"/>
  <c r="C29" i="15" s="1"/>
  <c r="C23" i="67"/>
  <c r="C29" i="67" s="1"/>
  <c r="J59" i="67" s="1"/>
  <c r="J60" i="67" s="1"/>
  <c r="L46" i="67" s="1"/>
  <c r="C26" i="68"/>
  <c r="D22" i="68" s="1"/>
  <c r="C23" i="11"/>
  <c r="H68" i="39"/>
  <c r="G70" i="39"/>
  <c r="I53" i="21"/>
  <c r="J53" i="21" s="1"/>
  <c r="E53" i="21"/>
  <c r="F53" i="21" s="1"/>
  <c r="E52" i="21"/>
  <c r="F52" i="21" s="1"/>
  <c r="C10" i="69"/>
  <c r="C8" i="69" s="1"/>
  <c r="D19" i="69"/>
  <c r="C19" i="69" s="1"/>
  <c r="C35" i="69"/>
  <c r="C38" i="69"/>
  <c r="AQ6" i="1"/>
  <c r="AR6" i="1"/>
  <c r="E6" i="70"/>
  <c r="E2" i="70" s="1"/>
  <c r="T6" i="1"/>
  <c r="T16" i="1" s="1"/>
  <c r="S16" i="1"/>
  <c r="D10" i="11"/>
  <c r="C10" i="11" s="1"/>
  <c r="D20" i="12"/>
  <c r="C20" i="12" s="1"/>
  <c r="C18" i="12" s="1"/>
  <c r="G37" i="43"/>
  <c r="I37" i="43" s="1"/>
  <c r="E37" i="43"/>
  <c r="G39" i="43"/>
  <c r="I39" i="43" s="1"/>
  <c r="E39" i="43"/>
  <c r="G33" i="43"/>
  <c r="I33" i="43" s="1"/>
  <c r="E33" i="43"/>
  <c r="G36" i="43"/>
  <c r="I36" i="43" s="1"/>
  <c r="E36" i="43"/>
  <c r="B2" i="34"/>
  <c r="B3" i="34" s="1"/>
  <c r="H63" i="40"/>
  <c r="G65" i="40"/>
  <c r="M27" i="6"/>
  <c r="I19" i="6"/>
  <c r="L18" i="9" s="1"/>
  <c r="N16" i="1"/>
  <c r="C34" i="11"/>
  <c r="L16" i="1"/>
  <c r="D19" i="6"/>
  <c r="M19" i="9" s="1"/>
  <c r="C118" i="9" s="1"/>
  <c r="D26" i="6"/>
  <c r="C18" i="4"/>
  <c r="D8" i="6"/>
  <c r="D23" i="6"/>
  <c r="D14" i="6"/>
  <c r="D5" i="6"/>
  <c r="D12" i="6"/>
  <c r="D11" i="6"/>
  <c r="D13" i="6"/>
  <c r="D28" i="6"/>
  <c r="E61" i="40"/>
  <c r="H23" i="6"/>
  <c r="H26" i="6"/>
  <c r="H20" i="6"/>
  <c r="D25" i="6"/>
  <c r="D15" i="6"/>
  <c r="D22" i="6"/>
  <c r="D21" i="6"/>
  <c r="D24" i="6"/>
  <c r="D20" i="6"/>
  <c r="R20" i="6" s="1"/>
  <c r="D6" i="6"/>
  <c r="D9" i="6"/>
  <c r="D10" i="6"/>
  <c r="D29" i="6"/>
  <c r="H25" i="6"/>
  <c r="H22" i="6"/>
  <c r="H21" i="6"/>
  <c r="H24" i="6"/>
  <c r="D17" i="12"/>
  <c r="C17" i="12" s="1"/>
  <c r="C14" i="12"/>
  <c r="C16" i="12" s="1"/>
  <c r="C20" i="11"/>
  <c r="C25" i="11" s="1"/>
  <c r="C24" i="11"/>
  <c r="C7" i="74"/>
  <c r="C8" i="74"/>
  <c r="G38" i="43"/>
  <c r="I38" i="43" s="1"/>
  <c r="E38" i="43"/>
  <c r="C30" i="43"/>
  <c r="E30" i="43" s="1"/>
  <c r="E29" i="43"/>
  <c r="G35" i="43"/>
  <c r="I35" i="43" s="1"/>
  <c r="E35" i="43"/>
  <c r="G34" i="43"/>
  <c r="I34" i="43" s="1"/>
  <c r="E34" i="43"/>
  <c r="D10" i="68"/>
  <c r="C34" i="68"/>
  <c r="H19" i="6" l="1"/>
  <c r="C26" i="43"/>
  <c r="C48" i="21"/>
  <c r="G70" i="80"/>
  <c r="H68" i="80"/>
  <c r="C27" i="43"/>
  <c r="Q49" i="67"/>
  <c r="C28" i="11"/>
  <c r="C27" i="11" s="1"/>
  <c r="J14" i="67"/>
  <c r="J22" i="67" s="1"/>
  <c r="C13" i="67"/>
  <c r="C56" i="67" s="1"/>
  <c r="C65" i="67" s="1"/>
  <c r="C57" i="67"/>
  <c r="C64" i="67" s="1"/>
  <c r="C57" i="15"/>
  <c r="C61" i="15" s="1"/>
  <c r="C59" i="15" s="1"/>
  <c r="Q49" i="15"/>
  <c r="C33" i="15"/>
  <c r="C31" i="15" s="1"/>
  <c r="J14" i="15"/>
  <c r="J22" i="15" s="1"/>
  <c r="C13" i="15"/>
  <c r="C56" i="15" s="1"/>
  <c r="C65" i="15" s="1"/>
  <c r="J19" i="15"/>
  <c r="J17" i="15" s="1"/>
  <c r="C36" i="15"/>
  <c r="J59" i="15"/>
  <c r="J60" i="15" s="1"/>
  <c r="L46" i="15" s="1"/>
  <c r="J19" i="67"/>
  <c r="J17" i="67" s="1"/>
  <c r="C33" i="67"/>
  <c r="C31" i="67" s="1"/>
  <c r="C36" i="67"/>
  <c r="H27" i="6"/>
  <c r="L19" i="9"/>
  <c r="I68" i="39"/>
  <c r="H70" i="39"/>
  <c r="B2" i="21"/>
  <c r="C22" i="11"/>
  <c r="C31" i="11" s="1"/>
  <c r="C21" i="12"/>
  <c r="C22" i="12" s="1"/>
  <c r="C30" i="12" s="1"/>
  <c r="C28" i="12" s="1"/>
  <c r="R21" i="6"/>
  <c r="D30" i="6"/>
  <c r="R23" i="6"/>
  <c r="A7" i="51"/>
  <c r="B7" i="72" s="1"/>
  <c r="A10" i="51"/>
  <c r="B9" i="72" s="1"/>
  <c r="C4" i="52"/>
  <c r="B45" i="72" s="1"/>
  <c r="R19" i="6"/>
  <c r="D27" i="6"/>
  <c r="D31" i="6" s="1"/>
  <c r="C38" i="68"/>
  <c r="C35" i="68"/>
  <c r="C38" i="11"/>
  <c r="C35" i="11"/>
  <c r="I27" i="6"/>
  <c r="S19" i="6"/>
  <c r="S27" i="6" s="1"/>
  <c r="C24" i="69"/>
  <c r="D37" i="69"/>
  <c r="C37" i="69" s="1"/>
  <c r="D48" i="69" s="1"/>
  <c r="B2" i="43"/>
  <c r="R24" i="6"/>
  <c r="R22" i="6"/>
  <c r="R25" i="6"/>
  <c r="D16" i="6"/>
  <c r="R26" i="6"/>
  <c r="D7" i="74"/>
  <c r="D8" i="74"/>
  <c r="F50" i="11"/>
  <c r="F50" i="68"/>
  <c r="F50" i="69"/>
  <c r="I63" i="40"/>
  <c r="H65" i="40"/>
  <c r="C10" i="68"/>
  <c r="D19" i="68"/>
  <c r="Q48" i="67"/>
  <c r="B6" i="76"/>
  <c r="D19" i="9"/>
  <c r="E6" i="76"/>
  <c r="H70" i="80" l="1"/>
  <c r="I68" i="80"/>
  <c r="C61" i="67"/>
  <c r="C59" i="67" s="1"/>
  <c r="C58" i="67" s="1"/>
  <c r="C67" i="67" s="1"/>
  <c r="C68" i="67" s="1"/>
  <c r="C71" i="67" s="1"/>
  <c r="E2" i="76"/>
  <c r="C75" i="15"/>
  <c r="Q70" i="67"/>
  <c r="C75" i="67"/>
  <c r="C37" i="67"/>
  <c r="C30" i="67" s="1"/>
  <c r="C39" i="67" s="1"/>
  <c r="Q69" i="67" s="1"/>
  <c r="J13" i="67"/>
  <c r="J23" i="67" s="1"/>
  <c r="J16" i="67" s="1"/>
  <c r="J25" i="67" s="1"/>
  <c r="Q70" i="15"/>
  <c r="C37" i="15"/>
  <c r="C30" i="15" s="1"/>
  <c r="C39" i="15" s="1"/>
  <c r="Q69" i="15" s="1"/>
  <c r="C64" i="15"/>
  <c r="C58" i="15" s="1"/>
  <c r="C67" i="15" s="1"/>
  <c r="C68" i="15" s="1"/>
  <c r="C71" i="15" s="1"/>
  <c r="J13" i="15"/>
  <c r="J23" i="15" s="1"/>
  <c r="J16" i="15" s="1"/>
  <c r="J25" i="15" s="1"/>
  <c r="Q48" i="15"/>
  <c r="I70" i="39"/>
  <c r="J68" i="39"/>
  <c r="C33" i="69"/>
  <c r="D102" i="9"/>
  <c r="D21" i="9"/>
  <c r="B3" i="21"/>
  <c r="D20" i="9" s="1"/>
  <c r="C27" i="12"/>
  <c r="C25" i="12" s="1"/>
  <c r="C32" i="12" s="1"/>
  <c r="B2" i="12" s="1"/>
  <c r="B3" i="12" s="1"/>
  <c r="C33" i="11"/>
  <c r="C42" i="11" s="1"/>
  <c r="B2" i="76"/>
  <c r="C39" i="11"/>
  <c r="C43" i="11" s="1"/>
  <c r="D37" i="68"/>
  <c r="C37" i="68" s="1"/>
  <c r="C33" i="68" s="1"/>
  <c r="C19" i="68"/>
  <c r="B3" i="43"/>
  <c r="R6" i="1"/>
  <c r="R16" i="1" s="1"/>
  <c r="R27" i="6"/>
  <c r="J63" i="40"/>
  <c r="I65" i="40"/>
  <c r="I6" i="6"/>
  <c r="I5" i="6"/>
  <c r="Q68" i="67" l="1"/>
  <c r="I70" i="80"/>
  <c r="J68" i="80"/>
  <c r="B3" i="76"/>
  <c r="C40" i="67"/>
  <c r="C45" i="67" s="1"/>
  <c r="C46" i="67" s="1"/>
  <c r="C40" i="15"/>
  <c r="C46" i="15" s="1"/>
  <c r="C80" i="15"/>
  <c r="C79" i="15" s="1"/>
  <c r="Q68" i="15"/>
  <c r="C80" i="67"/>
  <c r="C79" i="67" s="1"/>
  <c r="J70" i="39"/>
  <c r="K68" i="39"/>
  <c r="C42" i="69"/>
  <c r="C39" i="69"/>
  <c r="C43" i="69" s="1"/>
  <c r="C46" i="11"/>
  <c r="C45" i="11" s="1"/>
  <c r="C41" i="11"/>
  <c r="C39" i="68"/>
  <c r="C42" i="68"/>
  <c r="J65" i="40"/>
  <c r="K63" i="40"/>
  <c r="C20" i="68"/>
  <c r="C24" i="68"/>
  <c r="Q47" i="15"/>
  <c r="Q53" i="15" s="1"/>
  <c r="L51" i="15"/>
  <c r="L51" i="67"/>
  <c r="K68" i="80" l="1"/>
  <c r="J70" i="80"/>
  <c r="Q67" i="15"/>
  <c r="L57" i="15"/>
  <c r="L60" i="15" s="1"/>
  <c r="Q66" i="15" s="1"/>
  <c r="L57" i="67"/>
  <c r="L60" i="67" s="1"/>
  <c r="Q66" i="67" s="1"/>
  <c r="Q67" i="67"/>
  <c r="C83" i="67"/>
  <c r="C82" i="67" s="1"/>
  <c r="Q65" i="15"/>
  <c r="Q65" i="67"/>
  <c r="D2" i="67"/>
  <c r="B3" i="67" s="1"/>
  <c r="Q56" i="67"/>
  <c r="C43" i="67"/>
  <c r="Q47" i="67"/>
  <c r="Q53" i="67" s="1"/>
  <c r="C43" i="15"/>
  <c r="B2" i="15"/>
  <c r="B3" i="15" s="1"/>
  <c r="C83" i="15"/>
  <c r="C82" i="15" s="1"/>
  <c r="Q56" i="15"/>
  <c r="L68" i="39"/>
  <c r="K70" i="39"/>
  <c r="C41" i="69"/>
  <c r="C46" i="69"/>
  <c r="C45" i="69" s="1"/>
  <c r="C49" i="11"/>
  <c r="C51" i="11" s="1"/>
  <c r="C52" i="11" s="1"/>
  <c r="B2" i="11" s="1"/>
  <c r="B3" i="11" s="1"/>
  <c r="L63" i="40"/>
  <c r="K65" i="40"/>
  <c r="C28" i="68"/>
  <c r="C27" i="68" s="1"/>
  <c r="C25" i="68"/>
  <c r="C22" i="68" s="1"/>
  <c r="C46" i="68"/>
  <c r="C45" i="68" s="1"/>
  <c r="C43" i="68"/>
  <c r="C41" i="68" s="1"/>
  <c r="Q75" i="15" l="1"/>
  <c r="K70" i="80"/>
  <c r="L68" i="80"/>
  <c r="Q57" i="15"/>
  <c r="Q62" i="15" s="1"/>
  <c r="Q75" i="67"/>
  <c r="Q57" i="67"/>
  <c r="Q62" i="67" s="1"/>
  <c r="B2" i="67"/>
  <c r="L70" i="39"/>
  <c r="M68" i="39"/>
  <c r="C49" i="69"/>
  <c r="C51" i="69" s="1"/>
  <c r="C49" i="68"/>
  <c r="C51" i="68" s="1"/>
  <c r="C31" i="68"/>
  <c r="C56" i="11"/>
  <c r="C57" i="11" s="1"/>
  <c r="M63" i="40"/>
  <c r="L65" i="40"/>
  <c r="L70" i="80" l="1"/>
  <c r="M68" i="80"/>
  <c r="M70" i="39"/>
  <c r="N68" i="39"/>
  <c r="C52" i="68"/>
  <c r="B2" i="68" s="1"/>
  <c r="M65" i="40"/>
  <c r="N63" i="40"/>
  <c r="B3" i="68"/>
  <c r="N68" i="80" l="1"/>
  <c r="M70" i="80"/>
  <c r="O68" i="39"/>
  <c r="O70" i="39" s="1"/>
  <c r="N70" i="39"/>
  <c r="H7" i="39" s="1"/>
  <c r="F7" i="39"/>
  <c r="J7" i="39"/>
  <c r="C57" i="68"/>
  <c r="C56" i="68" s="1"/>
  <c r="N65" i="40"/>
  <c r="O63" i="40"/>
  <c r="O65" i="40" s="1"/>
  <c r="N70" i="80" l="1"/>
  <c r="O68" i="80"/>
  <c r="O70" i="80" s="1"/>
  <c r="H7" i="80"/>
  <c r="F7" i="80"/>
  <c r="J7" i="80"/>
  <c r="W7" i="39"/>
  <c r="AC7" i="39"/>
  <c r="V47" i="39" s="1"/>
  <c r="I47" i="39" s="1"/>
  <c r="U7" i="39"/>
  <c r="AB7" i="39"/>
  <c r="T47" i="39" s="1"/>
  <c r="G47" i="39" s="1"/>
  <c r="AA7" i="39"/>
  <c r="R47" i="39" s="1"/>
  <c r="S7" i="39"/>
  <c r="F7" i="40"/>
  <c r="J7" i="40"/>
  <c r="H7" i="40"/>
  <c r="S7" i="80" l="1"/>
  <c r="AA7" i="80"/>
  <c r="R47" i="80" s="1"/>
  <c r="W7" i="80"/>
  <c r="AC7" i="80"/>
  <c r="V47" i="80" s="1"/>
  <c r="I47" i="80" s="1"/>
  <c r="AB7" i="80"/>
  <c r="T47" i="80" s="1"/>
  <c r="G47" i="80" s="1"/>
  <c r="U7" i="80"/>
  <c r="G52" i="39"/>
  <c r="H52" i="39" s="1"/>
  <c r="G51" i="39"/>
  <c r="H51" i="39" s="1"/>
  <c r="I51" i="39"/>
  <c r="J51" i="39" s="1"/>
  <c r="E47" i="39"/>
  <c r="R48" i="39"/>
  <c r="U7" i="40"/>
  <c r="AB7" i="40"/>
  <c r="T42" i="40" s="1"/>
  <c r="G42" i="40" s="1"/>
  <c r="AC7" i="40"/>
  <c r="V42" i="40" s="1"/>
  <c r="I42" i="40" s="1"/>
  <c r="W7" i="40"/>
  <c r="AA7" i="40"/>
  <c r="R42" i="40" s="1"/>
  <c r="S7" i="40"/>
  <c r="I51" i="80" l="1"/>
  <c r="J51" i="80" s="1"/>
  <c r="E47" i="80"/>
  <c r="I52" i="80" s="1"/>
  <c r="J52" i="80" s="1"/>
  <c r="R48" i="80"/>
  <c r="G52" i="80"/>
  <c r="H52" i="80" s="1"/>
  <c r="G51" i="80"/>
  <c r="H51" i="80" s="1"/>
  <c r="C47" i="39"/>
  <c r="C48" i="39"/>
  <c r="E52" i="39"/>
  <c r="F52" i="39" s="1"/>
  <c r="E51" i="39"/>
  <c r="F51" i="39" s="1"/>
  <c r="I52" i="39"/>
  <c r="J52" i="39" s="1"/>
  <c r="I46" i="40"/>
  <c r="J46" i="40" s="1"/>
  <c r="E42" i="40"/>
  <c r="R43" i="40"/>
  <c r="G47" i="40"/>
  <c r="H47" i="40" s="1"/>
  <c r="G46" i="40"/>
  <c r="H46" i="40" s="1"/>
  <c r="C47" i="80" l="1"/>
  <c r="D103" i="9" s="1"/>
  <c r="C48" i="80"/>
  <c r="C6" i="69" s="1"/>
  <c r="E52" i="80"/>
  <c r="F52" i="80" s="1"/>
  <c r="E51" i="80"/>
  <c r="F51" i="80" s="1"/>
  <c r="B61" i="39"/>
  <c r="F61" i="39" s="1"/>
  <c r="B63" i="39"/>
  <c r="F63" i="39" s="1"/>
  <c r="B64" i="39"/>
  <c r="F64" i="39" s="1"/>
  <c r="B56" i="39"/>
  <c r="F56" i="39" s="1"/>
  <c r="B57" i="39"/>
  <c r="F57" i="39" s="1"/>
  <c r="B59" i="39"/>
  <c r="F59" i="39" s="1"/>
  <c r="B60" i="39"/>
  <c r="F60" i="39" s="1"/>
  <c r="B62" i="39"/>
  <c r="F62" i="39" s="1"/>
  <c r="B65" i="39"/>
  <c r="F65" i="39" s="1"/>
  <c r="B58" i="39"/>
  <c r="F58" i="39" s="1"/>
  <c r="E46" i="40"/>
  <c r="F46" i="40" s="1"/>
  <c r="E47" i="40"/>
  <c r="F47" i="40" s="1"/>
  <c r="C42" i="40"/>
  <c r="C43" i="40"/>
  <c r="I47" i="40"/>
  <c r="J47" i="40" s="1"/>
  <c r="B58" i="80" l="1"/>
  <c r="F58" i="80" s="1"/>
  <c r="B65" i="80"/>
  <c r="F65" i="80" s="1"/>
  <c r="B61" i="80"/>
  <c r="F61" i="80" s="1"/>
  <c r="B57" i="80"/>
  <c r="F57" i="80" s="1"/>
  <c r="B62" i="80"/>
  <c r="F62" i="80" s="1"/>
  <c r="B60" i="80"/>
  <c r="F60" i="80" s="1"/>
  <c r="B56" i="80"/>
  <c r="F56" i="80" s="1"/>
  <c r="B63" i="80"/>
  <c r="F63" i="80" s="1"/>
  <c r="B59" i="80"/>
  <c r="F59" i="80" s="1"/>
  <c r="B64" i="80"/>
  <c r="F64" i="80" s="1"/>
  <c r="F66" i="39"/>
  <c r="B2" i="39" s="1"/>
  <c r="B3" i="39" s="1"/>
  <c r="D30" i="69"/>
  <c r="C7" i="69"/>
  <c r="C5" i="69"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F66" i="80" l="1"/>
  <c r="B2" i="80" s="1"/>
  <c r="B3" i="80" s="1"/>
  <c r="C20" i="69"/>
  <c r="C25" i="69" s="1"/>
  <c r="C23" i="69"/>
  <c r="C28" i="69" l="1"/>
  <c r="C27" i="69" s="1"/>
  <c r="C22" i="69"/>
  <c r="C31" i="69" l="1"/>
  <c r="C52" i="69" s="1"/>
  <c r="B2" i="69" l="1"/>
  <c r="C20" i="9"/>
  <c r="C103" i="9" s="1"/>
  <c r="C57" i="69"/>
  <c r="C56" i="69" s="1"/>
  <c r="B3" i="69"/>
  <c r="C19" i="9"/>
  <c r="AO6" i="1"/>
  <c r="B6" i="70" l="1"/>
  <c r="B2" i="70" s="1"/>
  <c r="B3" i="70" s="1"/>
  <c r="G19" i="9"/>
  <c r="C102" i="9"/>
  <c r="C21" i="9"/>
  <c r="D22" i="9"/>
  <c r="G20" i="9"/>
  <c r="E14" i="74" s="1"/>
  <c r="D14" i="74" s="1"/>
  <c r="B5" i="74" s="1"/>
  <c r="G21" i="9"/>
  <c r="C32" i="9"/>
  <c r="F14" i="74" l="1"/>
  <c r="H118" i="9"/>
  <c r="C35" i="9"/>
  <c r="D5" i="74"/>
  <c r="C5" i="74"/>
  <c r="F118" i="9" l="1"/>
  <c r="C34" i="9"/>
  <c r="D118" i="9" s="1"/>
  <c r="H119" i="9"/>
  <c r="H5" i="52" s="1"/>
  <c r="I118" i="9"/>
  <c r="H101" i="9"/>
  <c r="C104" i="9"/>
  <c r="H4" i="52"/>
  <c r="C105" i="9" l="1"/>
  <c r="H102" i="9"/>
  <c r="D7" i="53" s="1"/>
  <c r="B21" i="72" s="1"/>
  <c r="I4" i="52"/>
  <c r="D119" i="9"/>
  <c r="D5" i="52" s="1"/>
  <c r="B49" i="72" s="1"/>
  <c r="D4" i="52"/>
  <c r="B47" i="72" s="1"/>
  <c r="D5" i="53"/>
  <c r="H107" i="9"/>
  <c r="M48" i="9"/>
  <c r="D45" i="9"/>
  <c r="G118" i="9"/>
  <c r="G4" i="52" s="1"/>
  <c r="B52" i="72" s="1"/>
  <c r="F4" i="52"/>
  <c r="B51" i="72" s="1"/>
  <c r="F119" i="9"/>
  <c r="F5" i="52" s="1"/>
  <c r="B53" i="72" s="1"/>
  <c r="C78" i="9" l="1"/>
  <c r="C73" i="9" s="1"/>
  <c r="D52" i="9"/>
  <c r="C64" i="9"/>
  <c r="C63" i="9" s="1"/>
  <c r="C67" i="9" s="1"/>
  <c r="C68" i="9" s="1"/>
  <c r="D54" i="9" s="1"/>
  <c r="C72" i="9"/>
  <c r="D53" i="9"/>
  <c r="C85" i="9"/>
  <c r="C93" i="9"/>
  <c r="C86" i="9" s="1"/>
  <c r="D55" i="9"/>
  <c r="M53" i="9" s="1"/>
  <c r="H108" i="9"/>
  <c r="D15" i="53" s="1"/>
  <c r="B31" i="72" s="1"/>
  <c r="D122" i="9"/>
  <c r="D13" i="53"/>
  <c r="D6" i="53"/>
  <c r="B22" i="72" s="1"/>
  <c r="B20" i="72"/>
  <c r="E118" i="9"/>
  <c r="E4" i="52" s="1"/>
  <c r="B48" i="72" s="1"/>
  <c r="G14" i="74" l="1"/>
  <c r="B6" i="74" s="1"/>
  <c r="D123" i="9"/>
  <c r="D9" i="52" s="1"/>
  <c r="D8" i="52"/>
  <c r="C95" i="9"/>
  <c r="C79" i="9"/>
  <c r="B30" i="72"/>
  <c r="D14" i="53"/>
  <c r="B32" i="72" s="1"/>
  <c r="C96" i="9" l="1"/>
  <c r="E96" i="9" s="1"/>
  <c r="E97" i="9" s="1"/>
  <c r="C80" i="9"/>
  <c r="E80" i="9" s="1"/>
  <c r="E81" i="9" s="1"/>
  <c r="C6" i="74"/>
  <c r="D6" i="74"/>
  <c r="C81" i="9" l="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C10" authorId="0">
      <text>
        <r>
          <rPr>
            <b/>
            <sz val="9"/>
            <color indexed="81"/>
            <rFont val="宋体"/>
            <family val="3"/>
            <charset val="134"/>
          </rPr>
          <t>作者:</t>
        </r>
        <r>
          <rPr>
            <sz val="9"/>
            <color indexed="81"/>
            <rFont val="宋体"/>
            <family val="3"/>
            <charset val="134"/>
          </rPr>
          <t xml:space="preserve">
建设用地，总用地</t>
        </r>
        <r>
          <rPr>
            <sz val="9"/>
            <color indexed="81"/>
            <rFont val="Tahoma"/>
            <family val="2"/>
          </rPr>
          <t>27962.902</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<sst xmlns="http://schemas.openxmlformats.org/spreadsheetml/2006/main" count="8123" uniqueCount="3383">
  <si>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</si>
  <si>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</si>
  <si>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</si>
  <si>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</si>
  <si>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</si>
  <si>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</si>
  <si>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</si>
  <si>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</si>
  <si>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</si>
  <si>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</si>
  <si>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</si>
  <si>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</si>
  <si>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</si>
  <si>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</si>
  <si>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</si>
  <si>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</si>
  <si>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</si>
  <si>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</si>
  <si>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</si>
  <si>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</si>
  <si>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</si>
  <si>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</si>
  <si>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</si>
  <si>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</si>
  <si>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</si>
  <si>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</si>
  <si>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</si>
  <si>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</si>
  <si>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</si>
  <si>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</si>
  <si>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</si>
  <si>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</si>
  <si>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</si>
  <si>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</si>
  <si>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</si>
  <si>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</si>
  <si>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</si>
  <si>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</si>
  <si>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</si>
  <si>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</si>
  <si>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</si>
  <si>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</si>
  <si>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</si>
  <si>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</si>
  <si>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</si>
  <si>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</si>
  <si>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</si>
  <si>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</si>
  <si>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</si>
  <si>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</si>
  <si>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</si>
  <si>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</si>
  <si>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</si>
  <si>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</si>
  <si>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</si>
  <si>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</si>
  <si>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</si>
  <si>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</si>
  <si>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</si>
  <si>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</si>
  <si>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</si>
  <si>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</si>
  <si>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</si>
  <si>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</si>
  <si>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</si>
  <si>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</si>
  <si>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</si>
  <si>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</si>
  <si>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</si>
  <si>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</si>
  <si>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</si>
  <si>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</si>
  <si>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</si>
  <si>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</si>
  <si>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</si>
  <si>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</si>
  <si>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</si>
  <si>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</si>
  <si>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</si>
  <si>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</si>
  <si>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</si>
  <si>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</si>
  <si>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</si>
  <si>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</si>
  <si>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</si>
  <si>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</si>
  <si>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</si>
  <si>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</si>
  <si>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</si>
  <si>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</si>
  <si>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</si>
  <si>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</si>
  <si>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</si>
  <si>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</si>
  <si>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</si>
  <si>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</si>
  <si>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</si>
  <si>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</si>
  <si>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</si>
  <si>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</si>
  <si>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</si>
  <si>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</si>
  <si>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</si>
  <si>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</si>
  <si>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</si>
  <si>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</si>
  <si>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</si>
  <si>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</si>
  <si>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</si>
  <si>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</si>
  <si>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</si>
  <si>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</si>
  <si>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</si>
  <si>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</si>
  <si>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</si>
  <si>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</si>
  <si>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</si>
  <si>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</si>
  <si>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</si>
  <si>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</si>
  <si>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</si>
  <si>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</si>
  <si>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</si>
  <si>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</si>
  <si>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</si>
  <si>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</si>
  <si>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</si>
  <si>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</si>
  <si>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</si>
  <si>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</si>
  <si>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</si>
  <si>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</si>
  <si>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</si>
  <si>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</si>
  <si>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</si>
  <si>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</si>
  <si>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</si>
  <si>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</si>
  <si>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</si>
  <si>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</si>
  <si>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</si>
  <si>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</si>
  <si>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</si>
  <si>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</si>
  <si>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</si>
  <si>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</si>
  <si>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</si>
  <si>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</si>
  <si>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</si>
  <si>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</si>
  <si>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</si>
  <si>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</si>
  <si>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</si>
  <si>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</si>
  <si>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</si>
  <si>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</si>
  <si>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</si>
  <si>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</si>
  <si>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</si>
  <si>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</si>
  <si>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</si>
  <si>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</si>
  <si>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</si>
  <si>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</si>
  <si>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</si>
  <si>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</si>
  <si>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</si>
  <si>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</si>
  <si>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</si>
  <si>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</si>
  <si>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</si>
  <si>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</si>
  <si>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</si>
  <si>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</si>
  <si>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</si>
  <si>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</si>
  <si>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</si>
  <si>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</si>
  <si>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</si>
  <si>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</si>
  <si>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</si>
  <si>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</si>
  <si>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</si>
  <si>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</si>
  <si>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</si>
  <si>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</si>
  <si>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</si>
  <si>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</si>
  <si>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</si>
  <si>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</si>
  <si>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</si>
  <si>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</si>
  <si>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</si>
  <si>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</si>
  <si>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</si>
  <si>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</si>
  <si>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</si>
  <si>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</si>
  <si>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</si>
  <si>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</si>
  <si>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</si>
  <si>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</si>
  <si>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</si>
  <si>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</si>
  <si>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</si>
  <si>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</si>
  <si>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</si>
  <si>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</si>
  <si>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</si>
  <si>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</si>
  <si>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</si>
  <si>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</si>
  <si>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</si>
  <si>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</si>
  <si>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</si>
  <si>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</si>
  <si>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</si>
  <si>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</si>
  <si>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</si>
  <si>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</si>
  <si>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</si>
  <si>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</si>
  <si>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</si>
  <si>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</si>
  <si>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</si>
  <si>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</si>
  <si>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</si>
  <si>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</si>
  <si>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</si>
  <si>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</si>
  <si>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</si>
  <si>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</si>
  <si>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</si>
  <si>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</si>
  <si>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</si>
  <si>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</si>
  <si>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</si>
  <si>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</si>
  <si>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</si>
  <si>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</si>
  <si>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</si>
  <si>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</si>
  <si>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</si>
  <si>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</si>
  <si>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</si>
  <si>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</si>
  <si>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</si>
  <si>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</si>
  <si>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</si>
  <si>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</si>
  <si>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</si>
  <si>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</si>
  <si>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</si>
  <si>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</si>
  <si>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</si>
  <si>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</si>
  <si>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</si>
  <si>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</si>
  <si>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</si>
  <si>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</si>
  <si>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</si>
  <si>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</si>
  <si>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</si>
  <si>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</si>
  <si>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</si>
  <si>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</si>
  <si>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</si>
  <si>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</si>
  <si>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</si>
  <si>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</si>
  <si>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</si>
  <si>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</si>
  <si>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</si>
  <si>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</si>
  <si>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</si>
  <si>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</si>
  <si>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</si>
  <si>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</si>
  <si>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</si>
  <si>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</si>
  <si>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</si>
  <si>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</si>
  <si>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</si>
  <si>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</si>
  <si>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</si>
  <si>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</si>
  <si>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</si>
  <si>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</si>
  <si>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</si>
  <si>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</si>
  <si>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</si>
  <si>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</si>
  <si>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</si>
  <si>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</si>
  <si>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</si>
  <si>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</si>
  <si>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</si>
  <si>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</si>
  <si>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</si>
  <si>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</si>
  <si>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</si>
  <si>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</si>
  <si>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</si>
  <si>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</si>
  <si>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</si>
  <si>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</si>
  <si>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</si>
  <si>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</si>
  <si>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</si>
  <si>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</si>
  <si>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</si>
  <si>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</si>
  <si>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</si>
  <si>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</si>
  <si>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</si>
  <si>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</si>
  <si>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</si>
  <si>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</si>
  <si>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</si>
  <si>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</si>
  <si>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</si>
  <si>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</si>
  <si>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</si>
  <si>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</si>
  <si>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</si>
  <si>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</si>
  <si>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</si>
  <si>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</si>
  <si>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</si>
  <si>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</si>
  <si>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</si>
  <si>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</si>
  <si>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</si>
  <si>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</si>
  <si>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</si>
  <si>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</si>
  <si>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</si>
  <si>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</si>
  <si>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</si>
  <si>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</si>
  <si>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</si>
  <si>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</si>
  <si>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</si>
  <si>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</si>
  <si>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</si>
  <si>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</si>
  <si>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</si>
  <si>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</si>
  <si>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</si>
  <si>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</si>
  <si>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</si>
  <si>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</si>
  <si>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</si>
  <si>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</si>
  <si>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</si>
  <si>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</si>
  <si>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</si>
  <si>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</si>
  <si>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</si>
  <si>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</si>
  <si>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</si>
  <si>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</si>
  <si>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</si>
  <si>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</si>
  <si>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</si>
  <si>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</si>
  <si>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</si>
  <si>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</si>
  <si>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</si>
  <si>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</si>
  <si>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</si>
  <si>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</si>
  <si>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</si>
  <si>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</si>
  <si>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</si>
  <si>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</si>
  <si>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</si>
  <si>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</si>
  <si>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</si>
  <si>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</si>
  <si>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</si>
  <si>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</si>
  <si>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</si>
  <si>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</si>
  <si>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</si>
  <si>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</si>
  <si>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</si>
  <si>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</si>
  <si>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</si>
  <si>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</si>
  <si>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</si>
  <si>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</si>
  <si>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</si>
  <si>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</si>
  <si>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</si>
  <si>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</si>
  <si>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</si>
  <si>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</si>
  <si>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</si>
  <si>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</si>
  <si>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</si>
  <si>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</si>
  <si>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</si>
  <si>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</si>
  <si>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</si>
  <si>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</si>
  <si>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</si>
  <si>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</si>
  <si>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</si>
  <si>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</si>
  <si>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</si>
  <si>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</si>
  <si>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</si>
  <si>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</si>
  <si>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</si>
  <si>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</si>
  <si>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</si>
  <si>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</si>
  <si>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</si>
  <si>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</si>
  <si>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</si>
  <si>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</si>
  <si>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</si>
  <si>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</si>
  <si>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</si>
  <si>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</si>
  <si>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</si>
  <si>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</si>
  <si>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</si>
  <si>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</si>
  <si>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</si>
  <si>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</si>
  <si>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</si>
  <si>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</si>
  <si>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</si>
  <si>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</si>
  <si>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</si>
  <si>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</si>
  <si>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</si>
  <si>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</si>
  <si>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</si>
  <si>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</si>
  <si>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</si>
  <si>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</si>
  <si>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</si>
  <si>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</si>
  <si>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</si>
  <si>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</si>
  <si>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</si>
  <si>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</si>
  <si>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</si>
  <si>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</si>
  <si>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</si>
  <si>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</si>
  <si>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</si>
  <si>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</si>
  <si>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</si>
  <si>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</si>
  <si>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</si>
  <si>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</si>
  <si>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</si>
  <si>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</si>
  <si>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</si>
  <si>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</si>
  <si>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</si>
  <si>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</si>
  <si>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</si>
  <si>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</si>
  <si>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</si>
  <si>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</si>
  <si>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</si>
  <si>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</si>
  <si>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</si>
  <si>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</si>
  <si>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</si>
  <si>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</si>
  <si>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</si>
  <si>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</si>
  <si>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</si>
  <si>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</si>
  <si>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</si>
  <si>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</si>
  <si>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</si>
  <si>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</si>
  <si>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</si>
  <si>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</si>
  <si>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</si>
  <si>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</si>
  <si>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</si>
  <si>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</si>
  <si>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</si>
  <si>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</si>
  <si>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</si>
  <si>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</si>
  <si>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</si>
  <si>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</si>
  <si>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</si>
  <si>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</si>
  <si>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</si>
  <si>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</si>
  <si>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</si>
  <si>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</si>
  <si>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</si>
  <si>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</si>
  <si>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</si>
  <si>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</si>
  <si>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</si>
  <si>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</si>
  <si>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</si>
  <si>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</si>
  <si>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</si>
  <si>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</si>
  <si>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</si>
  <si>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</si>
  <si>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</si>
  <si>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</si>
  <si>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</si>
  <si>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</si>
  <si>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</si>
  <si>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</si>
  <si>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</si>
  <si>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</si>
  <si>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</si>
  <si>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</si>
  <si>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</si>
  <si>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</si>
  <si>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</si>
  <si>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</si>
  <si>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</si>
  <si>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</si>
  <si>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</si>
  <si>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</si>
  <si>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</si>
  <si>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</si>
  <si>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</si>
  <si>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</si>
  <si>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</si>
  <si>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</si>
  <si>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</si>
  <si>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</si>
  <si>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</si>
  <si>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</si>
  <si>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</si>
  <si>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</si>
  <si>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</si>
  <si>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</si>
  <si>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</si>
  <si>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</si>
  <si>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</si>
  <si>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</si>
  <si>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</si>
  <si>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</si>
  <si>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</si>
  <si>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</si>
  <si>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</si>
  <si>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</si>
  <si>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</si>
  <si>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</si>
  <si>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</si>
  <si>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</si>
  <si>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</si>
  <si>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</si>
  <si>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</si>
  <si>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</si>
  <si>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</si>
  <si>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</si>
  <si>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</si>
  <si>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</si>
  <si>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</si>
  <si>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</si>
  <si>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</si>
  <si>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</si>
  <si>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</si>
  <si>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</si>
  <si>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</si>
  <si>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</si>
  <si>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</si>
  <si>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</si>
  <si>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</si>
  <si>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</si>
  <si>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</si>
  <si>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</si>
  <si>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</si>
  <si>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</si>
  <si>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</si>
  <si>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</si>
  <si>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</si>
  <si>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</si>
  <si>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</si>
  <si>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</si>
  <si>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</si>
  <si>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</si>
  <si>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</si>
  <si>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</si>
  <si>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</si>
  <si>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</si>
  <si>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</si>
  <si>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</si>
  <si>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</si>
  <si>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</si>
  <si>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</si>
  <si>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</si>
  <si>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</si>
  <si>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</si>
  <si>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</si>
  <si>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</si>
  <si>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</si>
  <si>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</si>
  <si>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</si>
  <si>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</si>
  <si>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</si>
  <si>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</si>
  <si>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</si>
  <si>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</si>
  <si>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</si>
  <si>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</si>
  <si>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</si>
  <si>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</si>
  <si>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</si>
  <si>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</si>
  <si>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</si>
  <si>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</si>
  <si>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</si>
  <si>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</si>
  <si>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</si>
  <si>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</si>
  <si>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</si>
  <si>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</si>
  <si>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</si>
  <si>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</si>
  <si>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</si>
  <si>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</si>
  <si>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</si>
  <si>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</si>
  <si>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</si>
  <si>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</si>
  <si>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</si>
  <si>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</si>
  <si>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</si>
  <si>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</si>
  <si>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</si>
  <si>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</si>
  <si>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</si>
  <si>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</si>
  <si>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</si>
  <si>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</si>
  <si>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</si>
  <si>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</si>
  <si>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</si>
  <si>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</si>
  <si>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</si>
  <si>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</si>
  <si>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</si>
  <si>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</si>
  <si>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</si>
  <si>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</si>
  <si>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</si>
  <si>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</si>
  <si>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</si>
  <si>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</si>
  <si>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</si>
  <si>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</si>
  <si>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</si>
  <si>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</si>
  <si>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</si>
  <si>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</si>
  <si>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</si>
  <si>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</si>
  <si>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</si>
  <si>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</si>
  <si>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</si>
  <si>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</si>
  <si>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</si>
  <si>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</si>
  <si>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</si>
  <si>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</si>
  <si>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</si>
  <si>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</si>
  <si>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</si>
  <si>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</si>
  <si>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</si>
  <si>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</si>
  <si>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</si>
  <si>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</si>
  <si>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</si>
  <si>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</si>
  <si>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</si>
  <si>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</si>
  <si>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</si>
  <si>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</si>
  <si>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</si>
  <si>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</si>
  <si>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</si>
  <si>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</si>
  <si>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</si>
  <si>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</si>
  <si>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</si>
  <si>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</si>
  <si>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</si>
  <si>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</si>
  <si>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</si>
  <si>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</si>
  <si>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</si>
  <si>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</si>
  <si>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</si>
  <si>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</si>
  <si>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</si>
  <si>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</si>
  <si>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</si>
  <si>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</si>
  <si>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</si>
  <si>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</si>
  <si>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</si>
  <si>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</si>
  <si>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</si>
  <si>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</si>
  <si>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</si>
  <si>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</si>
  <si>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</si>
  <si>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</si>
  <si>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</si>
  <si>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</si>
  <si>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</si>
  <si>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</si>
  <si>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</si>
  <si>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</si>
  <si>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</si>
  <si>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</si>
  <si>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</si>
  <si>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</si>
  <si>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</si>
  <si>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</si>
  <si>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</si>
  <si>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</si>
  <si>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</si>
  <si>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</si>
  <si>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</si>
  <si>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</si>
  <si>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</si>
  <si>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</si>
  <si>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</si>
  <si>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</si>
  <si>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</si>
  <si>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</si>
  <si>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</si>
  <si>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</si>
  <si>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</si>
  <si>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</si>
  <si>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</si>
  <si>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</si>
  <si>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</si>
  <si>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</si>
  <si>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</si>
  <si>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</si>
  <si>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</si>
  <si>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</si>
  <si>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</si>
  <si>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</si>
  <si>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</si>
  <si>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</si>
  <si>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</si>
  <si>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</si>
  <si>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</si>
  <si>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</si>
  <si>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</si>
  <si>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</si>
  <si>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</si>
  <si>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</si>
  <si>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</si>
  <si>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</si>
  <si>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</si>
  <si>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</si>
  <si>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</si>
  <si>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</si>
  <si>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</si>
  <si>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</si>
  <si>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</si>
  <si>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</si>
  <si>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</si>
  <si>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</si>
  <si>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</si>
  <si>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</si>
  <si>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</si>
  <si>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</si>
  <si>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</si>
  <si>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</si>
  <si>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</si>
  <si>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</si>
  <si>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</si>
  <si>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</si>
  <si>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</si>
  <si>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</si>
  <si>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</si>
  <si>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</si>
  <si>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</si>
  <si>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</si>
  <si>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</si>
  <si>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</si>
  <si>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</si>
  <si>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</si>
  <si>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</si>
  <si>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</si>
  <si>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</si>
  <si>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</si>
  <si>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</si>
  <si>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</si>
  <si>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</si>
  <si>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</si>
  <si>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</si>
  <si>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</si>
  <si>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</si>
  <si>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</si>
  <si>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</si>
  <si>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</si>
  <si>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</si>
  <si>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</si>
  <si>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</si>
  <si>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</si>
  <si>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</si>
  <si>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</si>
  <si>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</si>
  <si>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</si>
  <si>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</si>
  <si>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</si>
  <si>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</si>
  <si>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</si>
  <si>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</si>
  <si>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</si>
  <si>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</si>
  <si>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</si>
  <si>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</si>
  <si>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</si>
  <si>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</si>
  <si>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</si>
  <si>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</si>
  <si>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</si>
  <si>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</si>
  <si>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</si>
  <si>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</si>
  <si>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</si>
  <si>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</si>
  <si>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</si>
  <si>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</si>
  <si>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</si>
  <si>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</si>
  <si>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</si>
  <si>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</si>
  <si>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</si>
  <si>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</si>
  <si>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</si>
  <si>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</si>
  <si>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</si>
  <si>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</si>
  <si>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</si>
  <si>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</si>
  <si>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</si>
  <si>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</si>
  <si>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</si>
  <si>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</si>
  <si>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</si>
  <si>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</si>
  <si>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</si>
  <si>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</si>
  <si>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</si>
  <si>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</si>
  <si>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</si>
  <si>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</si>
  <si>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</si>
  <si>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</si>
  <si>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</si>
  <si>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</si>
  <si>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</si>
  <si>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</si>
  <si>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</si>
  <si>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</si>
  <si>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</si>
  <si>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</si>
  <si>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</si>
  <si>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</si>
  <si>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</si>
  <si>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</si>
  <si>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</si>
  <si>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</si>
  <si>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</si>
  <si>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</si>
  <si>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</si>
  <si>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</si>
  <si>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</si>
  <si>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</si>
  <si>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</si>
  <si>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</si>
  <si>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</si>
  <si>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</si>
  <si>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</si>
  <si>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</si>
  <si>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</si>
  <si>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</si>
  <si>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</si>
  <si>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</si>
  <si>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</si>
  <si>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</si>
  <si>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</si>
  <si>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</si>
  <si>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</si>
  <si>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</si>
  <si>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</si>
  <si>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</si>
  <si>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</si>
  <si>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</si>
  <si>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</si>
  <si>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</si>
  <si>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</si>
  <si>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</si>
  <si>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</si>
  <si>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</si>
  <si>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</si>
  <si>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</si>
  <si>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</si>
  <si>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</si>
  <si>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</si>
  <si>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</si>
  <si>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</si>
  <si>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</si>
  <si>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</si>
  <si>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</si>
  <si>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</si>
  <si>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</si>
  <si>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</si>
  <si>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</si>
  <si>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</si>
  <si>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</si>
  <si>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</si>
  <si>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</si>
  <si>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</si>
  <si>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</si>
  <si>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</si>
  <si>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</si>
  <si>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</si>
  <si>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</si>
  <si>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</si>
  <si>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</si>
  <si>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</si>
  <si>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</si>
  <si>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</si>
  <si>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</si>
  <si>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</si>
  <si>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</si>
  <si>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</si>
  <si>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</si>
  <si>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</si>
  <si>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</si>
  <si>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</si>
  <si>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</si>
  <si>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</si>
  <si>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</si>
  <si>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</si>
  <si>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</si>
  <si>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</si>
  <si>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</si>
  <si>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</si>
  <si>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</si>
  <si>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</si>
  <si>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</si>
  <si>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</si>
  <si>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</si>
  <si>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</si>
  <si>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</si>
  <si>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</si>
  <si>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</si>
  <si>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</si>
  <si>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</si>
  <si>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</si>
  <si>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</si>
  <si>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</si>
  <si>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</si>
  <si>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</si>
  <si>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</si>
  <si>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</si>
  <si>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</si>
  <si>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</si>
  <si>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</si>
  <si>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</si>
  <si>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</si>
  <si>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</si>
  <si>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</si>
  <si>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</si>
  <si>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</si>
  <si>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</si>
  <si>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</si>
  <si>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</si>
  <si>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</si>
  <si>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</si>
  <si>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</si>
  <si>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</si>
  <si>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</si>
  <si>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</si>
  <si>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</si>
  <si>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</si>
  <si>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</si>
  <si>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</si>
  <si>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</si>
  <si>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</si>
  <si>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</si>
  <si>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</si>
  <si>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</si>
  <si>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</si>
  <si>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</si>
  <si>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</si>
  <si>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</si>
  <si>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</si>
  <si>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</si>
  <si>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</si>
  <si>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</si>
  <si>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</si>
  <si>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</si>
  <si>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</si>
  <si>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</si>
  <si>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</si>
  <si>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</si>
  <si>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</si>
  <si>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</si>
  <si>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</si>
  <si>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</si>
  <si>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</si>
  <si>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</si>
  <si>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</si>
  <si>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</si>
  <si>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</si>
  <si>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</si>
  <si>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</si>
  <si>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</si>
  <si>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</si>
  <si>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</si>
  <si>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</si>
  <si>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</si>
  <si>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</si>
  <si>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</si>
  <si>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</si>
  <si>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</si>
  <si>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</si>
  <si>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</si>
  <si>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</si>
  <si>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</si>
  <si>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</si>
  <si>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</si>
  <si>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</si>
  <si>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</si>
  <si>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</si>
  <si>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</si>
  <si>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</si>
  <si>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</si>
  <si>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</si>
  <si>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</si>
  <si>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</si>
  <si>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</si>
  <si>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</si>
  <si>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</si>
  <si>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</si>
  <si>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</si>
  <si>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</si>
  <si>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</si>
  <si>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</si>
  <si>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</si>
  <si>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</si>
  <si>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</si>
  <si>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</si>
  <si>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</si>
  <si>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</si>
  <si>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</si>
  <si>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</si>
  <si>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</si>
  <si>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</si>
  <si>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</si>
  <si>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</si>
  <si>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</si>
  <si>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</si>
  <si>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</si>
  <si>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</si>
  <si>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</si>
  <si>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</si>
  <si>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</si>
  <si>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</si>
  <si>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</si>
  <si>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</si>
  <si>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</si>
  <si>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</si>
  <si>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</si>
  <si>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</si>
  <si>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</si>
  <si>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</si>
  <si>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</si>
  <si>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</si>
  <si>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</si>
  <si>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</si>
  <si>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</si>
  <si>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</si>
  <si>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</si>
  <si>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</si>
  <si>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</si>
  <si>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</si>
  <si>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</si>
  <si>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</si>
  <si>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</si>
  <si>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</si>
  <si>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</si>
  <si>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</si>
  <si>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</si>
  <si>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</si>
  <si>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</si>
  <si>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</si>
  <si>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</si>
  <si>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</si>
  <si>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</si>
  <si>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</si>
  <si>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</si>
  <si>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</si>
  <si>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</si>
  <si>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</si>
  <si>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</si>
  <si>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</si>
  <si>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</si>
  <si>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</si>
  <si>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</si>
  <si>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</si>
  <si>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</si>
  <si>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</si>
  <si>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</si>
  <si>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</si>
  <si>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</si>
  <si>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</si>
  <si>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</si>
  <si>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</si>
  <si>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</si>
  <si>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</si>
  <si>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</si>
  <si>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</si>
  <si>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</si>
  <si>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</si>
  <si>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</si>
  <si>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</si>
  <si>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</si>
  <si>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</si>
  <si>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</si>
  <si>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</si>
  <si>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</si>
  <si>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</si>
  <si>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</si>
  <si>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</si>
  <si>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</si>
  <si>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</si>
  <si>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</si>
  <si>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</si>
  <si>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</si>
  <si>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</si>
  <si>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</si>
  <si>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</si>
  <si>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</si>
  <si>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</si>
  <si>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</si>
  <si>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</si>
  <si>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</si>
  <si>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</si>
  <si>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</si>
  <si>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</si>
  <si>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</si>
  <si>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</si>
  <si>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</si>
  <si>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</si>
  <si>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</si>
  <si>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</si>
  <si>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</si>
  <si>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</si>
  <si>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</si>
  <si>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</si>
  <si>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</si>
  <si>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</si>
  <si>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</si>
  <si>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</si>
  <si>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</si>
  <si>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</si>
  <si>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</si>
  <si>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</si>
  <si>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</si>
  <si>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</si>
  <si>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</si>
  <si>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</si>
  <si>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</si>
  <si>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</si>
  <si>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</si>
  <si>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</si>
  <si>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</si>
  <si>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</si>
  <si>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</si>
  <si>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</si>
  <si>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</si>
  <si>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</si>
  <si>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</si>
  <si>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</si>
  <si>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</si>
  <si>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</si>
  <si>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</si>
  <si>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</si>
  <si>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</si>
  <si>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</si>
  <si>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</si>
  <si>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</si>
  <si>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</si>
  <si>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</si>
  <si>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</si>
  <si>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</si>
  <si>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</si>
  <si>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</si>
  <si>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</si>
  <si>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</si>
  <si>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</si>
  <si>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</si>
  <si>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</si>
  <si>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</si>
  <si>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</si>
  <si>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</si>
  <si>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</si>
  <si>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</si>
  <si>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</si>
  <si>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</si>
  <si>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</si>
  <si>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</si>
  <si>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</si>
  <si>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</si>
  <si>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</si>
  <si>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</si>
  <si>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</si>
  <si>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</si>
  <si>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</si>
  <si>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</si>
  <si>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</si>
  <si>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</si>
  <si>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</si>
  <si>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</si>
  <si>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</si>
  <si>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</si>
  <si>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</si>
  <si>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</si>
  <si>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</si>
  <si>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</si>
  <si>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</si>
  <si>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</si>
  <si>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</si>
  <si>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</si>
  <si>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</si>
  <si>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</si>
  <si>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</si>
  <si>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</si>
  <si>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</si>
  <si>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</si>
  <si>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</si>
  <si>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</si>
  <si>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</si>
  <si>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</si>
  <si>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</si>
  <si>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</si>
  <si>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</si>
  <si>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</si>
  <si>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</si>
  <si>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</si>
  <si>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</si>
  <si>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</si>
  <si>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</si>
  <si>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</si>
  <si>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</si>
  <si>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</si>
  <si>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</si>
  <si>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</si>
  <si>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</si>
  <si>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</si>
  <si>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</si>
  <si>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</si>
  <si>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</si>
  <si>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</si>
  <si>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</si>
  <si>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</si>
  <si>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</si>
  <si>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</si>
  <si>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</si>
  <si>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</si>
  <si>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</si>
  <si>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</si>
  <si>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</si>
  <si>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</si>
  <si>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</si>
  <si>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</si>
  <si>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</si>
  <si>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</si>
  <si>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</si>
  <si>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</si>
  <si>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</si>
  <si>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</si>
  <si>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</si>
  <si>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</si>
  <si>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</si>
  <si>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</si>
  <si>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</si>
  <si>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</si>
  <si>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</si>
  <si>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</si>
  <si>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</si>
  <si>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</si>
  <si>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</si>
  <si>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</si>
  <si>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</si>
  <si>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</si>
  <si>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</si>
  <si>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</si>
  <si>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</si>
  <si>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</si>
  <si>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</si>
  <si>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</si>
  <si>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</si>
  <si>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</si>
  <si>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</si>
  <si>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</si>
  <si>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</si>
  <si>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</si>
  <si>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</si>
  <si>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</si>
  <si>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</si>
  <si>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</si>
  <si>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</si>
  <si>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</si>
  <si>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</si>
  <si>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</si>
  <si>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</si>
  <si>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</si>
  <si>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</si>
  <si>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</si>
  <si>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</si>
  <si>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</si>
  <si>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</si>
  <si>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</si>
  <si>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</si>
  <si>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</si>
  <si>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</si>
  <si>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</si>
  <si>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</si>
  <si>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</si>
  <si>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</si>
  <si>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</si>
  <si>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</si>
  <si>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</si>
  <si>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</si>
  <si>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</si>
  <si>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</si>
  <si>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</si>
  <si>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</si>
  <si>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</si>
  <si>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</si>
  <si>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</si>
  <si>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</si>
  <si>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</si>
  <si>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</si>
  <si>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</si>
  <si>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</si>
  <si>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</si>
  <si>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</si>
  <si>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</si>
  <si>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</si>
  <si>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</si>
  <si>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</si>
  <si>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</si>
  <si>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</si>
  <si>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</si>
  <si>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</si>
  <si>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</si>
  <si>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</si>
  <si>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</si>
  <si>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</si>
  <si>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</si>
  <si>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</si>
  <si>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</si>
  <si>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</si>
  <si>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</si>
  <si>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</si>
  <si>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</si>
  <si>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</si>
  <si>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</si>
  <si>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</si>
  <si>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</si>
  <si>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</si>
  <si>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</si>
  <si>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</si>
  <si>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</si>
  <si>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</si>
  <si>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</si>
  <si>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</si>
  <si>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</si>
  <si>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</si>
  <si>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</si>
  <si>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</si>
  <si>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</si>
  <si>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</si>
  <si>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</si>
  <si>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</si>
  <si>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</si>
  <si>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</si>
  <si>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</si>
  <si>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</si>
  <si>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</si>
  <si>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</si>
  <si>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</si>
  <si>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</si>
  <si>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</si>
  <si>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</si>
  <si>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</si>
  <si>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</si>
  <si>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</si>
  <si>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</si>
  <si>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</si>
  <si>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</si>
  <si>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</si>
  <si>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</si>
  <si>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</si>
  <si>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</si>
  <si>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</si>
  <si>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</si>
  <si>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</si>
  <si>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</si>
  <si>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</si>
  <si>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</si>
  <si>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</si>
  <si>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</si>
  <si>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</si>
  <si>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</si>
  <si>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</si>
  <si>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</si>
  <si>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</si>
  <si>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</si>
  <si>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</si>
  <si>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</si>
  <si>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</si>
  <si>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</si>
  <si>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</si>
  <si>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</si>
  <si>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</si>
  <si>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</si>
  <si>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</si>
  <si>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</si>
  <si>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</si>
  <si>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</si>
  <si>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</si>
  <si>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</si>
  <si>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</si>
  <si>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</si>
  <si>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</si>
  <si>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</si>
  <si>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</si>
  <si>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</si>
  <si>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</si>
  <si>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</si>
  <si>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</si>
  <si>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</si>
  <si>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</si>
  <si>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</si>
  <si>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</si>
  <si>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</si>
  <si>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</si>
  <si>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</si>
  <si>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</si>
  <si>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</si>
  <si>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</si>
  <si>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</si>
  <si>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</si>
  <si>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</si>
  <si>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</si>
  <si>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</si>
  <si>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</si>
  <si>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</si>
  <si>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</si>
  <si>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</si>
  <si>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</si>
  <si>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</si>
  <si>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</si>
  <si>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</si>
  <si>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</si>
  <si>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</si>
  <si>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</si>
  <si>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</si>
  <si>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</si>
  <si>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</si>
  <si>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</si>
  <si>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</si>
  <si>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</si>
  <si>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</si>
  <si>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</si>
  <si>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</si>
  <si>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</si>
  <si>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</si>
  <si>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</si>
  <si>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</si>
  <si>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</si>
  <si>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</si>
  <si>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</si>
  <si>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</si>
  <si>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</si>
  <si>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</si>
  <si>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</si>
  <si>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</si>
  <si>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</si>
  <si>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</si>
  <si>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</si>
  <si>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</si>
  <si>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</si>
  <si>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</si>
  <si>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</si>
  <si>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</si>
  <si>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</si>
  <si>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</si>
  <si>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</si>
  <si>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</si>
  <si>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</si>
  <si>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</si>
  <si>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</si>
  <si>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</si>
  <si>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</si>
  <si>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</si>
  <si>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</si>
  <si>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</si>
  <si>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</si>
  <si>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</si>
  <si>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</si>
  <si>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</si>
  <si>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</si>
  <si>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</si>
  <si>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</si>
  <si>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</si>
  <si>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</si>
  <si>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</si>
  <si>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</si>
  <si>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</si>
  <si>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</si>
  <si>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</si>
  <si>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</si>
  <si>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</si>
  <si>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</si>
  <si>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</si>
  <si>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</si>
  <si>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</si>
  <si>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</si>
  <si>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</si>
  <si>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</si>
  <si>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</si>
  <si>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</si>
  <si>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</si>
  <si>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</si>
  <si>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</si>
  <si>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</si>
  <si>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</si>
  <si>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</si>
  <si>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</si>
  <si>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</si>
  <si>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</si>
  <si>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</si>
  <si>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</si>
  <si>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</si>
  <si>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</si>
  <si>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</si>
  <si>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</si>
  <si>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</si>
  <si>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</si>
  <si>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</si>
  <si>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</si>
  <si>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</si>
  <si>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</si>
  <si>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</si>
  <si>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</si>
  <si>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</si>
  <si>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</si>
  <si>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</si>
  <si>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</si>
  <si>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</si>
  <si>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</si>
  <si>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</si>
  <si>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</si>
  <si>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</si>
  <si>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</si>
  <si>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</si>
  <si>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</si>
  <si>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</si>
  <si>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</si>
  <si>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</si>
  <si>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</si>
  <si>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</si>
  <si>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</si>
  <si>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</si>
  <si>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</si>
  <si>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</si>
  <si>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</si>
  <si>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</si>
  <si>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</si>
  <si>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</si>
  <si>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</si>
  <si>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</si>
  <si>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</si>
  <si>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</si>
  <si>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</si>
  <si>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</si>
  <si>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</si>
  <si>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</si>
  <si>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</si>
  <si>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</si>
  <si>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</si>
  <si>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</si>
  <si>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</si>
  <si>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</si>
  <si>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</si>
  <si>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</si>
  <si>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</si>
  <si>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</si>
  <si>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</si>
  <si>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</si>
  <si>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</si>
  <si>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</si>
  <si>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</si>
  <si>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</si>
  <si>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</si>
  <si>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</si>
  <si>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</si>
  <si>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</si>
  <si>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</si>
  <si>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</si>
  <si>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</si>
  <si>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</si>
  <si>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</si>
  <si>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</si>
  <si>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</si>
  <si>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</si>
  <si>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</si>
  <si>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</si>
  <si>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</si>
  <si>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</si>
  <si>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</si>
  <si>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</si>
  <si>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</si>
  <si>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</si>
  <si>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</si>
  <si>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</si>
  <si>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</si>
  <si>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</si>
  <si>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</si>
  <si>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</si>
  <si>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</si>
  <si>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</si>
  <si>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</si>
  <si>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</si>
  <si>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</si>
  <si>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</si>
  <si>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</si>
  <si>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</si>
  <si>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</si>
  <si>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</si>
  <si>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</si>
  <si>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</si>
  <si>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</si>
  <si>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</si>
  <si>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</si>
  <si>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</si>
  <si>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</si>
  <si>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</si>
  <si>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</si>
  <si>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</si>
  <si>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</si>
  <si>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</si>
  <si>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</si>
  <si>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</si>
  <si>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</si>
  <si>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</si>
  <si>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</si>
  <si>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</si>
  <si>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</si>
  <si>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</si>
  <si>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</si>
  <si>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</si>
  <si>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</si>
  <si>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</si>
  <si>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</si>
  <si>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</si>
  <si>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</si>
  <si>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</si>
  <si>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</si>
  <si>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</si>
  <si>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</si>
  <si>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</si>
  <si>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</si>
  <si>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</si>
  <si>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</si>
  <si>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</si>
  <si>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</si>
  <si>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</si>
  <si>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</si>
  <si>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</si>
  <si>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</si>
  <si>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</si>
  <si>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</si>
  <si>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</si>
  <si>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</si>
  <si>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</si>
  <si>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</si>
  <si>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</si>
  <si>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</si>
  <si>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</si>
  <si>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</si>
  <si>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</si>
  <si>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</si>
  <si>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</si>
  <si>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</si>
  <si>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</si>
  <si>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</si>
  <si>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</si>
  <si>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</si>
  <si>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</si>
  <si>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</si>
  <si>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</si>
  <si>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</si>
  <si>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</si>
  <si>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</si>
  <si>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</si>
  <si>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</si>
  <si>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</si>
  <si>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</si>
  <si>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</si>
  <si>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</si>
  <si>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</si>
  <si>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</si>
  <si>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</si>
  <si>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</si>
  <si>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</si>
  <si>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</si>
  <si>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</si>
  <si>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</si>
  <si>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</si>
  <si>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</si>
  <si>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</si>
  <si>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</si>
  <si>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</si>
  <si>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</si>
  <si>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</si>
  <si>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</si>
  <si>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</si>
  <si>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</si>
  <si>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</si>
  <si>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</si>
  <si>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</si>
  <si>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</si>
  <si>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</si>
  <si>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</si>
  <si>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</si>
  <si>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</si>
  <si>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</si>
  <si>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</si>
  <si>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</si>
  <si>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</si>
  <si>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</si>
  <si>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</si>
  <si>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</si>
  <si>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</si>
  <si>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</si>
  <si>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</si>
  <si>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</si>
  <si>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</si>
  <si>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</si>
  <si>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</si>
  <si>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</si>
  <si>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</si>
  <si>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</si>
  <si>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</si>
  <si>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</si>
  <si>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</si>
  <si>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</si>
  <si>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</si>
  <si>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</si>
  <si>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</si>
  <si>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</si>
  <si>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</si>
  <si>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</si>
  <si>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</si>
  <si>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</si>
  <si>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</si>
  <si>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</si>
  <si>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</si>
  <si>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</si>
  <si>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</si>
  <si>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</si>
  <si>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</si>
  <si>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</si>
  <si>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</si>
  <si>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</si>
  <si>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</si>
  <si>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</si>
  <si>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</si>
  <si>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</si>
  <si>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</si>
  <si>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</si>
  <si>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</si>
  <si>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</si>
  <si>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</si>
  <si>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</si>
  <si>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</si>
  <si>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</si>
  <si>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</si>
  <si>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</si>
  <si>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</si>
  <si>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</si>
  <si>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</si>
  <si>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</si>
  <si>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</si>
  <si>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</si>
  <si>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</si>
  <si>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</si>
  <si>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</si>
  <si>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</si>
  <si>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</si>
  <si>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</si>
  <si>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</si>
  <si>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</si>
  <si>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</si>
  <si>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</si>
  <si>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</si>
  <si>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</si>
  <si>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</si>
  <si>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</si>
  <si>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</si>
  <si>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</si>
  <si>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</si>
  <si>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</si>
  <si>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</si>
  <si>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</si>
  <si>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</si>
  <si>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</si>
  <si>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</si>
  <si>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</si>
  <si>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</si>
  <si>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</si>
  <si>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</si>
  <si>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</si>
  <si>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</si>
  <si>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</si>
  <si>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</si>
  <si>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</si>
  <si>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</si>
  <si>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</si>
  <si>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</si>
  <si>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</si>
  <si>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</si>
  <si>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</si>
  <si>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</si>
  <si>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</si>
  <si>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</si>
  <si>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</si>
  <si>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</si>
  <si>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</si>
  <si>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</si>
  <si>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</si>
  <si>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</si>
  <si>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</si>
  <si>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</si>
  <si>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</si>
  <si>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</si>
  <si>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</si>
  <si>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</si>
  <si>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</si>
  <si>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</si>
  <si>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</si>
  <si>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</si>
  <si>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</si>
  <si>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</si>
  <si>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</si>
  <si>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</si>
  <si>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</si>
  <si>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</si>
  <si>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</si>
  <si>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</si>
  <si>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</si>
  <si>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</si>
  <si>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</si>
  <si>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</si>
  <si>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</si>
  <si>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</si>
  <si>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</si>
  <si>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</si>
  <si>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</si>
  <si>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</si>
  <si>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</si>
  <si>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</si>
  <si>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</si>
  <si>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</si>
  <si>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</si>
  <si>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</si>
  <si>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</si>
  <si>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</si>
  <si>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</si>
  <si>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</si>
  <si>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</si>
  <si>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</si>
  <si>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</si>
  <si>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</si>
  <si>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</si>
  <si>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</si>
  <si>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</si>
  <si>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</si>
  <si>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</si>
  <si>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</si>
  <si>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</si>
  <si>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</si>
  <si>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</si>
  <si>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</si>
  <si>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</si>
  <si>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</si>
  <si>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</si>
  <si>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</si>
  <si>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</si>
  <si>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</si>
  <si>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</si>
  <si>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</si>
  <si>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</si>
  <si>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</si>
  <si>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</si>
  <si>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</si>
  <si>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</si>
  <si>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</si>
  <si>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</si>
  <si>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</si>
  <si>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</si>
  <si>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</si>
  <si>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</si>
  <si>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</si>
  <si>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</si>
  <si>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</si>
  <si>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</si>
  <si>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</si>
  <si>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</si>
  <si>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</si>
  <si>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</si>
  <si>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</si>
  <si>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</si>
  <si>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</si>
  <si>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</si>
  <si>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</si>
  <si>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</si>
  <si>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</si>
  <si>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</si>
  <si>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</si>
  <si>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</si>
  <si>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</si>
  <si>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</si>
  <si>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</si>
  <si>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</si>
  <si>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</si>
  <si>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</si>
  <si>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</si>
  <si>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</si>
  <si>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</si>
  <si>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</si>
  <si>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</si>
  <si>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</si>
  <si>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</si>
  <si>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</si>
  <si>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</si>
  <si>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</si>
  <si>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</si>
  <si>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</si>
  <si>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</si>
  <si>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</si>
  <si>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</si>
  <si>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</si>
  <si>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</si>
  <si>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</si>
  <si>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</si>
  <si>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</si>
  <si>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</si>
  <si>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</si>
  <si>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</si>
  <si>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</si>
  <si>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</si>
  <si>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</si>
  <si>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</si>
  <si>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</si>
  <si>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</si>
  <si>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</si>
  <si>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</si>
  <si>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</si>
  <si>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</si>
  <si>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</si>
  <si>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</si>
  <si>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</si>
  <si>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</si>
  <si>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</si>
  <si>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</si>
  <si>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</si>
  <si>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</si>
  <si>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</si>
  <si>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</si>
  <si>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</si>
  <si>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</si>
  <si>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</si>
  <si>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</si>
  <si>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</si>
  <si>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</si>
  <si>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</si>
  <si>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</si>
  <si>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</si>
  <si>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</si>
  <si>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</si>
  <si>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</si>
  <si>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</si>
  <si>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</si>
  <si>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</si>
  <si>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</si>
  <si>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</si>
  <si>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</si>
  <si>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</si>
  <si>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</si>
  <si>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</si>
  <si>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</si>
  <si>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</si>
  <si>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</si>
  <si>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</si>
  <si>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</si>
  <si>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</si>
  <si>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</si>
  <si>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</si>
  <si>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</si>
  <si>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</si>
  <si>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</si>
  <si>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</si>
  <si>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</si>
  <si>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</si>
  <si>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</si>
  <si>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</si>
  <si>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</si>
  <si>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</si>
  <si>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</si>
  <si>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</si>
  <si>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</si>
  <si>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</si>
  <si>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</si>
  <si>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</si>
  <si>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</si>
  <si>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</si>
  <si>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</si>
  <si>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</si>
  <si>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</si>
  <si>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</si>
  <si>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</si>
  <si>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</si>
  <si>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</si>
  <si>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</si>
  <si>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</si>
  <si>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</si>
  <si>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</si>
  <si>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</si>
  <si>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</si>
  <si>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</si>
  <si>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</si>
  <si>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</si>
  <si>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</si>
  <si>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</si>
  <si>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</si>
  <si>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</si>
  <si>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</si>
  <si>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</si>
  <si>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</si>
  <si>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</si>
  <si>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</si>
  <si>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</si>
  <si>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</si>
  <si>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</si>
  <si>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</si>
  <si>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</si>
  <si>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</si>
  <si>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</si>
  <si>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</si>
  <si>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</si>
  <si>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</si>
  <si>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</si>
  <si>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</si>
  <si>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</si>
  <si>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</si>
  <si>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</si>
  <si>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</si>
  <si>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</si>
  <si>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</si>
  <si>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</si>
  <si>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</si>
  <si>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</si>
  <si>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</si>
  <si>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</si>
  <si>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</si>
  <si>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</si>
  <si>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</si>
  <si>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</si>
  <si>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</si>
  <si>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</si>
  <si>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</si>
  <si>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</si>
  <si>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</si>
  <si>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</si>
  <si>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</si>
  <si>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</si>
  <si>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</si>
  <si>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</si>
  <si>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</si>
  <si>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</si>
  <si>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</si>
  <si>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</si>
  <si>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</si>
  <si>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</si>
  <si>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</si>
  <si>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</si>
  <si>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</si>
  <si>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</si>
  <si>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</si>
  <si>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</si>
  <si>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</si>
  <si>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</si>
  <si>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</si>
  <si>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</si>
  <si>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</si>
  <si>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</si>
  <si>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</si>
  <si>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</si>
  <si>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</si>
  <si>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</si>
  <si>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</si>
  <si>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</si>
  <si>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</si>
  <si>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</si>
  <si>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</si>
  <si>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</si>
  <si>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</si>
  <si>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</si>
  <si>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</si>
  <si>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</si>
  <si>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</si>
  <si>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</si>
  <si>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</si>
  <si>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</si>
  <si>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</si>
  <si>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</si>
  <si>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</si>
  <si>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</si>
  <si>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</si>
  <si>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</si>
  <si>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</si>
  <si>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</si>
  <si>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</si>
  <si>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</si>
  <si>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</si>
  <si>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</si>
  <si>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</si>
  <si>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</si>
  <si>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</si>
  <si>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</si>
  <si>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</si>
  <si>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</si>
  <si>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</si>
  <si>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</si>
  <si>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</si>
  <si>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</si>
  <si>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</si>
  <si>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</si>
  <si>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</si>
  <si>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</si>
  <si>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</si>
  <si>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</si>
  <si>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</si>
  <si>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</si>
  <si>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</si>
  <si>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</si>
  <si>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</si>
  <si>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</si>
  <si>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</si>
  <si>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</si>
  <si>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</si>
  <si>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</si>
  <si>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</si>
  <si>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</si>
  <si>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</si>
  <si>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</si>
  <si>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</si>
  <si>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</si>
  <si>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</si>
  <si>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</si>
  <si>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</si>
  <si>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</si>
  <si>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</si>
  <si>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</si>
  <si>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</si>
  <si>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</si>
  <si>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</si>
  <si>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</si>
  <si>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</si>
  <si>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</si>
  <si>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</si>
  <si>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</si>
  <si>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</si>
  <si>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</si>
  <si>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</si>
  <si>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</si>
  <si>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</si>
  <si>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</si>
  <si>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</si>
  <si>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</si>
  <si>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</si>
  <si>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</si>
  <si>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</si>
  <si>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</si>
  <si>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</si>
  <si>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</si>
  <si>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</si>
  <si>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</si>
  <si>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</si>
  <si>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</si>
  <si>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</si>
  <si>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</si>
  <si>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</si>
  <si>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</si>
  <si>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</si>
  <si>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</si>
  <si>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</si>
  <si>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</si>
  <si>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</si>
  <si>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</si>
  <si>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</si>
  <si>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</si>
  <si>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</si>
  <si>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</si>
  <si>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</si>
  <si>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</si>
  <si>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</si>
  <si>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</si>
  <si>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</si>
  <si>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</si>
  <si>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</si>
  <si>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</si>
  <si>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</si>
  <si>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</si>
  <si>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</si>
  <si>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</si>
  <si>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</si>
  <si>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</si>
  <si>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</si>
  <si>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</si>
  <si>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</si>
  <si>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</si>
  <si>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</si>
  <si>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</si>
  <si>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</si>
  <si>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</si>
  <si>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</si>
  <si>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</si>
  <si>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</si>
  <si>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</si>
  <si>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</si>
  <si>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</si>
  <si>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</si>
  <si>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</si>
  <si>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</si>
  <si>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</si>
  <si>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</si>
  <si>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</si>
  <si>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</si>
  <si>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</si>
  <si>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</si>
  <si>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</si>
  <si>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</si>
  <si>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</si>
  <si>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</si>
  <si>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</si>
  <si>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</si>
  <si>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</si>
  <si>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</si>
  <si>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</si>
  <si>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</si>
  <si>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</si>
  <si>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</si>
  <si>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</si>
  <si>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</si>
  <si>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</si>
  <si>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</si>
  <si>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</si>
  <si>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</si>
  <si>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</si>
  <si>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</si>
  <si>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</si>
  <si>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</si>
  <si>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</si>
  <si>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</si>
  <si>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</si>
  <si>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</si>
  <si>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</si>
  <si>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</si>
  <si>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</si>
  <si>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</si>
  <si>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</si>
  <si>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</si>
  <si>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</si>
  <si>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</si>
  <si>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</si>
  <si>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</si>
  <si>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</si>
  <si>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</si>
  <si>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</si>
  <si>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</si>
  <si>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</si>
  <si>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</si>
  <si>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</si>
  <si>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</si>
  <si>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</si>
  <si>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</si>
  <si>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</si>
  <si>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</si>
  <si>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</si>
  <si>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</si>
  <si>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</si>
  <si>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</si>
  <si>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</si>
  <si>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</si>
  <si>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</si>
  <si>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</si>
  <si>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</si>
  <si>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</si>
  <si>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</si>
  <si>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</si>
  <si>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</si>
  <si>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</si>
  <si>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</si>
  <si>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</si>
  <si>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</si>
  <si>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</si>
  <si>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</si>
  <si>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</si>
  <si>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</si>
  <si>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</si>
  <si>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</si>
  <si>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</si>
  <si>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</si>
  <si>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</si>
  <si>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</si>
  <si>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</si>
  <si>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</si>
  <si>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</si>
  <si>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</si>
  <si>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</si>
  <si>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</si>
  <si>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</si>
  <si>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</si>
  <si>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</si>
  <si>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</si>
  <si>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</si>
  <si>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</si>
  <si>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</si>
  <si>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</si>
  <si>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</si>
  <si>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</si>
  <si>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</si>
  <si>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</si>
  <si>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</si>
  <si>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</si>
  <si>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</si>
  <si>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</si>
  <si>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</si>
  <si>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</si>
  <si>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</si>
  <si>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</si>
  <si>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</si>
  <si>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</si>
  <si>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</si>
  <si>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</si>
  <si>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</si>
  <si>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</si>
  <si>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</si>
  <si>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</si>
  <si>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</si>
  <si>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</si>
  <si>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</si>
  <si>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</si>
  <si>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</si>
  <si>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</si>
  <si>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</si>
  <si>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</si>
  <si>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</si>
  <si>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</si>
  <si>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</si>
  <si>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</si>
  <si>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</si>
  <si>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</si>
  <si>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</si>
  <si>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</si>
  <si>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</si>
  <si>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</si>
  <si>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</si>
  <si>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</si>
  <si>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</si>
  <si>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</si>
  <si>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</si>
  <si>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</si>
  <si>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</si>
  <si>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</si>
  <si>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</si>
  <si>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</si>
  <si>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</si>
  <si>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</si>
  <si>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</si>
  <si>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</si>
  <si>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</si>
  <si>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</si>
  <si>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</si>
  <si>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</si>
  <si>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</si>
  <si>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</si>
  <si>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</si>
  <si>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</si>
  <si>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</si>
  <si>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</si>
  <si>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</si>
  <si>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</si>
  <si>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</si>
  <si>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</si>
  <si>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</si>
  <si>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</si>
  <si>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</si>
  <si>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</si>
  <si>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</si>
  <si>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</si>
  <si>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</si>
  <si>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</si>
  <si>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</si>
  <si>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</si>
  <si>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</si>
  <si>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</si>
  <si>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</si>
  <si>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</si>
  <si>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</si>
  <si>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</si>
  <si>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</si>
  <si>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</si>
  <si>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</si>
  <si>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</si>
  <si>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</si>
  <si>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</si>
  <si>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</si>
  <si>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</si>
  <si>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</si>
  <si>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</si>
  <si>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</si>
  <si>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</si>
  <si>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</si>
  <si>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</si>
  <si>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</si>
  <si>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</si>
  <si>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</si>
  <si>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</si>
  <si>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</si>
  <si>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</si>
  <si>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</si>
  <si>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</si>
  <si>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</si>
  <si>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</si>
  <si>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</si>
  <si>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</si>
  <si>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</si>
  <si>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</si>
  <si>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</si>
  <si>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</si>
  <si>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</si>
  <si>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</si>
  <si>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</si>
  <si>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</si>
  <si>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</si>
  <si>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</si>
  <si>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</si>
  <si>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</si>
  <si>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</si>
  <si>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</si>
  <si>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</si>
  <si>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</si>
  <si>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</si>
  <si>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</si>
  <si>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</si>
  <si>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</si>
  <si>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</si>
  <si>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</si>
  <si>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</si>
  <si>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</si>
  <si>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</si>
  <si>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</si>
  <si>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</si>
  <si>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</si>
  <si>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</si>
  <si>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</si>
  <si>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</si>
  <si>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</si>
  <si>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</si>
  <si>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</si>
  <si>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</si>
  <si>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</si>
  <si>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</si>
  <si>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</si>
  <si>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</si>
  <si>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</si>
  <si>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</si>
  <si>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</si>
  <si>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</si>
  <si>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</si>
  <si>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</si>
  <si>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</si>
  <si>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</si>
  <si>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</si>
  <si>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</si>
  <si>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</si>
  <si>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</si>
  <si>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</si>
  <si>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</si>
  <si>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</si>
  <si>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</si>
  <si>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</si>
  <si>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</si>
  <si>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</si>
  <si>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</si>
  <si>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</si>
  <si>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</si>
  <si>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</si>
  <si>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</si>
  <si>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</si>
  <si>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</si>
  <si>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</si>
  <si>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</si>
  <si>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</si>
  <si>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</si>
  <si>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</si>
  <si>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</si>
  <si>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</si>
  <si>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</si>
  <si>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</si>
  <si>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</si>
  <si>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</si>
  <si>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</si>
  <si>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</si>
  <si>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</si>
  <si>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</si>
  <si>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</si>
  <si>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</si>
  <si>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</si>
  <si>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</si>
  <si>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</si>
  <si>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</si>
  <si>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</si>
  <si>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</si>
  <si>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</si>
  <si>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</si>
  <si>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</si>
  <si>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</si>
  <si>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</si>
  <si>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</si>
  <si>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</si>
  <si>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</si>
  <si>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</si>
  <si>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</si>
  <si>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</si>
  <si>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</si>
  <si>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</si>
  <si>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</si>
  <si>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</si>
  <si>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</si>
  <si>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</si>
  <si>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</si>
  <si>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</si>
  <si>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</si>
  <si>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</si>
  <si>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</si>
  <si>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</si>
  <si>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</si>
  <si>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</si>
  <si>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</si>
  <si>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</si>
  <si>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</si>
  <si>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</si>
  <si>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</si>
  <si>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</si>
  <si>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</si>
  <si>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</si>
  <si>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</si>
  <si>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</si>
  <si>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</si>
  <si>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</si>
  <si>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</si>
  <si>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</si>
  <si>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</si>
  <si>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</si>
  <si>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</si>
  <si>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</si>
  <si>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</si>
  <si>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</si>
  <si>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</si>
  <si>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</si>
  <si>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</si>
  <si>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</si>
  <si>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</si>
  <si>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</si>
  <si>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</si>
  <si>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</si>
  <si>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</si>
  <si>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</si>
  <si>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</si>
  <si>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</si>
  <si>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</si>
  <si>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</si>
  <si>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</si>
  <si>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</si>
  <si>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</si>
  <si>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</si>
  <si>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</si>
  <si>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</si>
  <si>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</si>
  <si>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</si>
  <si>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</si>
  <si>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</si>
  <si>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</si>
  <si>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</si>
  <si>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</si>
  <si>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</si>
  <si>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</si>
  <si>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</si>
  <si>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</si>
  <si>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</si>
  <si>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</si>
  <si>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</si>
  <si>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</si>
  <si>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</si>
  <si>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</si>
  <si>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</si>
  <si>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</si>
  <si>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</si>
  <si>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</si>
  <si>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</si>
  <si>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</si>
  <si>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</si>
  <si>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</si>
  <si>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</si>
  <si>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</si>
  <si>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</si>
  <si>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</si>
  <si>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</si>
  <si>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</si>
  <si>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</si>
  <si>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</si>
  <si>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</si>
  <si>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</si>
  <si>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</si>
  <si>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</si>
  <si>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</si>
  <si>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</si>
  <si>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</si>
  <si>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</si>
  <si>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</si>
  <si>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</si>
  <si>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</si>
  <si>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</si>
  <si>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</si>
  <si>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</si>
  <si>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</si>
  <si>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</si>
  <si>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</si>
  <si>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</si>
  <si>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</si>
  <si>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</si>
  <si>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</si>
  <si>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</si>
  <si>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</si>
  <si>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</si>
  <si>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</si>
  <si>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</si>
  <si>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</si>
  <si>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</si>
  <si>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</si>
  <si>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</si>
  <si>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</si>
  <si>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</si>
  <si>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</si>
  <si>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</si>
  <si>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</si>
  <si>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</si>
  <si>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</si>
  <si>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</si>
  <si>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</si>
  <si>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</si>
  <si>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</si>
  <si>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</si>
  <si>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</si>
  <si>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</si>
  <si>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</si>
  <si>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</si>
  <si>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</si>
  <si>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</si>
  <si>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</si>
  <si>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</si>
  <si>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</si>
  <si>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</si>
  <si>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</si>
  <si>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</si>
  <si>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</si>
  <si>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</si>
  <si>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</si>
  <si>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</si>
  <si>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</si>
  <si>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</si>
  <si>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</si>
  <si>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</si>
  <si>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</si>
  <si>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</si>
  <si>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</si>
  <si>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</si>
  <si>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</si>
  <si>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</si>
  <si>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</si>
  <si>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</si>
  <si>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</si>
  <si>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</si>
  <si>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</si>
  <si>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</si>
  <si>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</si>
  <si>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</si>
  <si>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</si>
  <si>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</si>
  <si>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</si>
  <si>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</si>
  <si>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</si>
  <si>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</si>
  <si>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</si>
  <si>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</si>
  <si>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</si>
  <si>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</si>
  <si>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</si>
  <si>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</si>
  <si>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</si>
  <si>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</si>
  <si>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</si>
  <si>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</si>
  <si>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</si>
  <si>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</si>
  <si>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</si>
  <si>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</si>
  <si>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</si>
  <si>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</si>
  <si>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</si>
  <si>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</si>
  <si>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</si>
  <si>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</si>
  <si>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</si>
  <si>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</si>
  <si>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</si>
  <si>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</si>
  <si>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</si>
  <si>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</si>
  <si>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</si>
  <si>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</si>
  <si>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</si>
  <si>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</si>
  <si>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</si>
  <si>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</si>
  <si>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</si>
  <si>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</si>
  <si>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</si>
  <si>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</si>
  <si>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</si>
  <si>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</si>
  <si>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</si>
  <si>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</si>
  <si>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</si>
  <si>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</si>
  <si>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</si>
  <si>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</si>
  <si>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</si>
  <si>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</si>
  <si>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</si>
  <si>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</si>
  <si>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</si>
  <si>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</si>
  <si>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</si>
  <si>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</si>
  <si>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</si>
  <si>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</si>
  <si>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</si>
  <si>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</si>
  <si>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</si>
  <si>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</si>
  <si>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</si>
  <si>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</si>
  <si>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</si>
  <si>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</si>
  <si>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</si>
  <si>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</si>
  <si>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</si>
  <si>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</si>
  <si>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</si>
  <si>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</si>
  <si>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</si>
  <si>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</si>
  <si>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</si>
  <si>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</si>
  <si>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</si>
  <si>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</si>
  <si>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</si>
  <si>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</si>
  <si>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</si>
  <si>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</si>
  <si>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</si>
  <si>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</si>
  <si>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</si>
  <si>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</si>
  <si>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</si>
  <si>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</si>
  <si>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</si>
  <si>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</si>
  <si>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</si>
  <si>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</si>
  <si>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</si>
  <si>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</si>
  <si>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</si>
  <si>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</si>
  <si>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</si>
  <si>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</si>
  <si>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</si>
  <si>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</si>
  <si>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</si>
  <si>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</si>
  <si>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</si>
  <si>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</si>
  <si>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</si>
  <si>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</si>
  <si>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</si>
  <si>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</si>
  <si>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</si>
  <si>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</si>
  <si>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</si>
  <si>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</si>
  <si>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</si>
  <si>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</si>
  <si>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</si>
  <si>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</si>
  <si>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</si>
  <si>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</si>
  <si>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</si>
  <si>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</si>
  <si>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</si>
  <si>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</si>
  <si>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</si>
  <si>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</si>
  <si>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</si>
  <si>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</si>
  <si>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</si>
  <si>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</si>
  <si>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</si>
  <si>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</si>
  <si>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</si>
  <si>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</si>
  <si>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</si>
  <si>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</si>
  <si>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</si>
  <si>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</si>
  <si>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</si>
  <si>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</si>
  <si>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</si>
  <si>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</si>
  <si>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</si>
  <si>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</si>
  <si>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</si>
  <si>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</si>
  <si>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</si>
  <si>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</si>
  <si>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</si>
  <si>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</si>
  <si>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</si>
  <si>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</si>
  <si>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</si>
  <si>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</si>
  <si>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</si>
  <si>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</si>
  <si>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</si>
  <si>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</si>
  <si>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</si>
  <si>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</si>
  <si>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</si>
  <si>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</si>
  <si>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</si>
  <si>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</si>
  <si>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</si>
  <si>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</si>
  <si>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</si>
  <si>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</si>
  <si>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</si>
  <si>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</si>
  <si>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</si>
  <si>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</si>
  <si>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</si>
  <si>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</si>
  <si>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</si>
  <si>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</si>
  <si>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</si>
  <si>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</si>
  <si>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</si>
  <si>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</si>
  <si>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</si>
  <si>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</si>
  <si>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</si>
  <si>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</si>
  <si>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</si>
  <si>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</si>
  <si>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</si>
  <si>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</si>
  <si>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</si>
  <si>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</si>
  <si>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</si>
  <si>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</si>
  <si>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</si>
  <si>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</si>
  <si>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</si>
  <si>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</si>
  <si>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</si>
  <si>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</si>
  <si>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</si>
  <si>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</si>
  <si>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</si>
  <si>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</si>
  <si>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</si>
  <si>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</si>
  <si>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</si>
  <si>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</si>
  <si>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</si>
  <si>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</si>
  <si>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</si>
  <si>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</si>
  <si>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</si>
  <si>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</si>
  <si>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</si>
  <si>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</si>
  <si>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</si>
  <si>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</si>
  <si>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</si>
  <si>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</si>
  <si>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</si>
  <si>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</si>
  <si>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</si>
  <si>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</si>
  <si>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</si>
  <si>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</si>
  <si>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</si>
  <si>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</si>
  <si>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</si>
  <si>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</si>
  <si>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</si>
  <si>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</si>
  <si>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</si>
  <si>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</si>
  <si>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</si>
  <si>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</si>
  <si>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</si>
  <si>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</si>
  <si>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</si>
  <si>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</si>
  <si>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</si>
  <si>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</si>
  <si>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</si>
  <si>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</si>
  <si>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</si>
  <si>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</si>
  <si>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</si>
  <si>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</si>
  <si>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</si>
  <si>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</si>
  <si>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</si>
  <si>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</si>
  <si>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</si>
  <si>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</si>
  <si>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</si>
  <si>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</si>
  <si>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</si>
  <si>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</si>
  <si>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</si>
  <si>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</si>
  <si>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</si>
  <si>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</si>
  <si>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</si>
  <si>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</si>
  <si>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</si>
  <si>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</si>
  <si>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</si>
  <si>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</si>
  <si>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</si>
  <si>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</si>
  <si>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</si>
  <si>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</si>
  <si>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</si>
  <si>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</si>
  <si>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</si>
  <si>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</si>
  <si>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</si>
  <si>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</si>
  <si>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</si>
  <si>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</si>
  <si>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</si>
  <si>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</si>
  <si>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</si>
  <si>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</si>
  <si>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</si>
  <si>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</si>
  <si>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</si>
  <si>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</si>
  <si>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</si>
  <si>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</si>
  <si>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</si>
  <si>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</si>
  <si>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</si>
  <si>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</si>
  <si>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</si>
  <si>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</si>
  <si>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</si>
  <si>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</si>
  <si>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</si>
  <si>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</si>
  <si>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</si>
  <si>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</si>
  <si>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</si>
  <si>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</si>
  <si>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</si>
  <si>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</si>
  <si>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</si>
  <si>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</si>
  <si>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</si>
  <si>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</si>
  <si>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</si>
  <si>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</si>
  <si>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</si>
  <si>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</si>
  <si>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</si>
  <si>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</si>
  <si>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</si>
  <si>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</si>
  <si>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</si>
  <si>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</si>
  <si>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</si>
  <si>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</si>
  <si>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</si>
  <si>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</si>
  <si>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</si>
  <si>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</si>
  <si>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</si>
  <si>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</si>
  <si>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</si>
  <si>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</si>
  <si>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</si>
  <si>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</si>
  <si>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</si>
  <si>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</si>
  <si>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</si>
  <si>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</si>
  <si>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</si>
  <si>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</si>
  <si>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</si>
  <si>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</si>
  <si>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Ⅷ-门1</t>
  </si>
  <si>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</si>
  <si>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</si>
  <si>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</si>
  <si>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</si>
  <si>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</si>
  <si>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t>城市快速路</t>
    <phoneticPr fontId="31" type="noConversion"/>
  </si>
  <si>
    <t>城市主干道</t>
    <phoneticPr fontId="31" type="noConversion"/>
  </si>
  <si>
    <t>城市次干道</t>
    <phoneticPr fontId="31" type="noConversion"/>
  </si>
  <si>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</si>
  <si>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</si>
  <si>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</si>
  <si>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</si>
  <si>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</si>
  <si>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</si>
  <si>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</si>
  <si>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</si>
  <si>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</si>
  <si>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</si>
  <si>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</si>
  <si>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</si>
  <si>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</si>
  <si>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</si>
  <si>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</si>
  <si>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</si>
  <si>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</si>
  <si>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</si>
  <si>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</si>
  <si>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</si>
  <si>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</si>
  <si>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</si>
  <si>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</si>
  <si>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</si>
  <si>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</si>
  <si>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</si>
  <si>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</si>
  <si>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</si>
  <si>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</si>
  <si>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</si>
  <si>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</si>
  <si>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</si>
  <si>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</si>
  <si>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</si>
  <si>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</si>
  <si>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</si>
  <si>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</si>
  <si>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</si>
  <si>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</si>
  <si>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</si>
  <si>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</si>
  <si>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</si>
  <si>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</si>
  <si>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</si>
  <si>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</si>
  <si>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</si>
  <si>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</si>
  <si>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</si>
  <si>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</si>
  <si>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</si>
  <si>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</si>
  <si>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</si>
  <si>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</si>
  <si>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</si>
  <si>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</si>
  <si>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</si>
  <si>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</si>
  <si>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</si>
  <si>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</si>
  <si>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</si>
  <si>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t>比较法-住宅</t>
  </si>
  <si>
    <t>项目局部</t>
  </si>
  <si>
    <t>——</t>
    <phoneticPr fontId="143" type="noConversion"/>
  </si>
  <si>
    <t>序号</t>
    <phoneticPr fontId="143" type="noConversion"/>
  </si>
  <si>
    <t>地块编号</t>
    <phoneticPr fontId="143" type="noConversion"/>
  </si>
  <si>
    <t>用地性质</t>
    <phoneticPr fontId="143" type="noConversion"/>
  </si>
  <si>
    <t>用地面积（公顷）</t>
    <phoneticPr fontId="143" type="noConversion"/>
  </si>
  <si>
    <t>建筑面积（万平方米）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</si>
  <si>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</si>
  <si>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</si>
  <si>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</si>
  <si>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</si>
  <si>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备注</t>
    <phoneticPr fontId="143" type="noConversion"/>
  </si>
  <si>
    <t>合计</t>
    <phoneticPr fontId="143" type="noConversion"/>
  </si>
  <si>
    <r>
      <rPr>
        <sz val="11"/>
        <rFont val="宋体"/>
        <family val="3"/>
        <charset val="134"/>
      </rPr>
      <t>正常</t>
    </r>
  </si>
  <si>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</si>
  <si>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</si>
  <si>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</si>
  <si>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</si>
  <si>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</si>
  <si>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</si>
  <si>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</si>
  <si>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</si>
  <si>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</si>
  <si>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</si>
  <si>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</si>
  <si>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</si>
  <si>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</si>
  <si>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</si>
  <si>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</si>
  <si>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</si>
  <si>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</si>
  <si>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</si>
  <si>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</si>
  <si>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</si>
  <si>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</si>
  <si>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</si>
  <si>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</si>
  <si>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</si>
  <si>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五通一平</t>
  </si>
  <si>
    <t>城市次干道</t>
  </si>
  <si>
    <t>二类居住用地</t>
    <phoneticPr fontId="143" type="noConversion"/>
  </si>
  <si>
    <t>较差</t>
  </si>
  <si>
    <t>多面临街</t>
    <phoneticPr fontId="25" type="noConversion"/>
  </si>
  <si>
    <t>三通一平</t>
  </si>
  <si>
    <t>估价对象周边有安宁华庭、安宁佳园、当代城市家园等小区、居住小区规模较大，入住率较高，综合评价居住社区成熟度较好。</t>
    <phoneticPr fontId="41" type="noConversion"/>
  </si>
  <si>
    <t>估价对象紧邻城市次干道—安宁庄路，距首都机场约30公里、距北京火车站约25公里，周边有运通114、运通119、392、636路等公交线路，西北侧约1.5公里为城铁13号线西二旗站，综合评价交通便捷度较好。</t>
    <phoneticPr fontId="41" type="noConversion"/>
  </si>
  <si>
    <t>估价对象西北侧隔路有加油站；周边2公里范围内无大型绿化及博物馆、高等教育学校等人文设施；综合评价环境状况较差。</t>
    <phoneticPr fontId="41" type="noConversion"/>
  </si>
  <si>
    <t>、领秀硅谷邮政所、等，</t>
    <phoneticPr fontId="25" type="noConversion"/>
  </si>
  <si>
    <t>估价对象周边有教育机构（育鹰小学、西二旗小学）、医疗设施（清河社区卫生服务站）、金融机构（农商银行、建设银行）等，公共配套设施状况一般。</t>
    <phoneticPr fontId="41" type="noConversion"/>
  </si>
  <si>
    <t>道路级别</t>
    <phoneticPr fontId="25" type="noConversion"/>
  </si>
  <si>
    <t>次干道</t>
    <phoneticPr fontId="25" type="noConversion"/>
  </si>
  <si>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</si>
  <si>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</si>
  <si>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</si>
  <si>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</si>
  <si>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</si>
  <si>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</si>
  <si>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</si>
  <si>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</si>
  <si>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级别</t>
    <phoneticPr fontId="255" type="noConversion"/>
  </si>
  <si>
    <t>开发主体</t>
  </si>
  <si>
    <t>项目类型</t>
  </si>
  <si>
    <t>规划用途</t>
  </si>
  <si>
    <t>市政条件</t>
  </si>
  <si>
    <t>征地补偿及相关税费</t>
    <phoneticPr fontId="255" type="noConversion"/>
  </si>
  <si>
    <t>拆迁补偿及相关税费</t>
    <phoneticPr fontId="255" type="noConversion"/>
  </si>
  <si>
    <t>土地面积</t>
    <phoneticPr fontId="3" type="noConversion"/>
  </si>
  <si>
    <t>总单价</t>
    <phoneticPr fontId="3" type="noConversion"/>
  </si>
  <si>
    <t>征地单价</t>
    <phoneticPr fontId="3" type="noConversion"/>
  </si>
  <si>
    <t>拆迁单价</t>
    <phoneticPr fontId="3" type="noConversion"/>
  </si>
  <si>
    <t>第六期</t>
  </si>
  <si>
    <t>公开出让</t>
    <phoneticPr fontId="3" type="noConversion"/>
  </si>
  <si>
    <t>大兴开发区北区1号地A、B组团土地一级开发项目DX00-0301-0029、0030、0039、0040、0146地块</t>
    <phoneticPr fontId="3" type="noConversion"/>
  </si>
  <si>
    <t>北京市土地整理储备中心大兴区分中心</t>
    <phoneticPr fontId="3" type="noConversion"/>
  </si>
  <si>
    <t>一级开发</t>
    <phoneticPr fontId="3" type="noConversion"/>
  </si>
  <si>
    <t>R2二类居住用地、F3其他类多功能用地、A33基础教育用地</t>
    <phoneticPr fontId="3" type="noConversion"/>
  </si>
  <si>
    <t>市政建设程度为项目红线范围内城市支路的三通（通路、通上水（自来水）、通下水（雨水、污水））和场地自然平整，以上工作由大兴经济开发区开发经营有限公司负责于二级竣工验收前完成。</t>
    <phoneticPr fontId="3" type="noConversion"/>
  </si>
  <si>
    <t>公开出让</t>
  </si>
  <si>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</si>
  <si>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</si>
  <si>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</si>
  <si>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</si>
  <si>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第10期</t>
  </si>
  <si>
    <t>9月</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</si>
  <si>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</si>
  <si>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</si>
  <si>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</si>
  <si>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</si>
  <si>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10月</t>
    <phoneticPr fontId="143" type="noConversion"/>
  </si>
  <si>
    <t>大兴区</t>
  </si>
  <si>
    <t>大兴区孙村组团居住区土地一级开发项目DX00-0009-0003、6006、6009、6010地块</t>
    <phoneticPr fontId="3" type="noConversion"/>
  </si>
  <si>
    <t>北京市土地整理储备中心大兴区分中心</t>
  </si>
  <si>
    <t>一级开发</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</si>
  <si>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</si>
  <si>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</si>
  <si>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大兴区瀛海镇西区C1-C5土地一级开发项目YZ00-0803-6024、6025、6027、6028等地块</t>
    <phoneticPr fontId="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</si>
  <si>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</si>
  <si>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</si>
  <si>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A</t>
    <phoneticPr fontId="143" type="noConversion"/>
  </si>
  <si>
    <t>B</t>
    <phoneticPr fontId="143" type="noConversion"/>
  </si>
  <si>
    <t>C</t>
    <phoneticPr fontId="143" type="noConversion"/>
  </si>
  <si>
    <t>二通一平</t>
    <phoneticPr fontId="31" type="noConversion"/>
  </si>
  <si>
    <t>一通一平</t>
    <phoneticPr fontId="31" type="noConversion"/>
  </si>
  <si>
    <t>一通或一平</t>
  </si>
  <si>
    <t>一通或一平</t>
    <phoneticPr fontId="31" type="noConversion"/>
  </si>
  <si>
    <t>大兴区瀛海镇YZ00-0803-6040等地块</t>
    <phoneticPr fontId="3" type="noConversion"/>
  </si>
  <si>
    <t>较不规则</t>
  </si>
  <si>
    <t>城市快速路</t>
  </si>
  <si>
    <t>黄村</t>
    <phoneticPr fontId="25" type="noConversion"/>
  </si>
  <si>
    <t>魏善庄</t>
    <phoneticPr fontId="25" type="noConversion"/>
  </si>
  <si>
    <t>瀛海</t>
    <phoneticPr fontId="25" type="noConversion"/>
  </si>
  <si>
    <t>90平方米以下的占建设总量的70%以上</t>
    <phoneticPr fontId="25" type="noConversion"/>
  </si>
  <si>
    <t>30%-40%</t>
    <phoneticPr fontId="25" type="noConversion"/>
  </si>
  <si>
    <r>
      <rPr>
        <sz val="11"/>
        <color indexed="8"/>
        <rFont val="宋体"/>
        <family val="3"/>
        <charset val="134"/>
      </rPr>
      <t>≤</t>
    </r>
    <r>
      <rPr>
        <sz val="11"/>
        <color indexed="8"/>
        <rFont val="Arial"/>
        <family val="2"/>
      </rPr>
      <t>30%</t>
    </r>
    <phoneticPr fontId="25" type="noConversion"/>
  </si>
  <si>
    <t>30%-40%</t>
    <phoneticPr fontId="25" type="noConversion"/>
  </si>
  <si>
    <t>六通一平</t>
  </si>
  <si>
    <t>主干道</t>
    <phoneticPr fontId="25" type="noConversion"/>
  </si>
  <si>
    <t>主干道</t>
    <phoneticPr fontId="25" type="noConversion"/>
  </si>
  <si>
    <t>快速路</t>
    <phoneticPr fontId="25" type="noConversion"/>
  </si>
  <si>
    <t>YZ00-0803-6040</t>
    <phoneticPr fontId="143" type="noConversion"/>
  </si>
  <si>
    <t>YZ00-0803-6041</t>
    <phoneticPr fontId="143" type="noConversion"/>
  </si>
  <si>
    <t>YZ00-0803-6042</t>
  </si>
  <si>
    <t>YZ00-0803-6043</t>
  </si>
  <si>
    <t>YZ00-0803-6044</t>
  </si>
  <si>
    <t>YZ00-0803-6045</t>
  </si>
  <si>
    <t>YZ00-0803-6046</t>
  </si>
  <si>
    <t>YZ00-0803-6047</t>
  </si>
  <si>
    <t>YZ00-0803-6048</t>
  </si>
  <si>
    <t>YZ00-0803-6049</t>
  </si>
  <si>
    <t>YZ00-0803-6050</t>
  </si>
  <si>
    <t>YZ00-0803-6051</t>
  </si>
  <si>
    <t>YZ00-0803-6052</t>
  </si>
  <si>
    <t>YZ00-0803-6053</t>
  </si>
  <si>
    <t>YZ00-0803-6054</t>
  </si>
  <si>
    <t>YZ00-0803-6055</t>
  </si>
  <si>
    <t>用地性质代码</t>
    <phoneticPr fontId="143" type="noConversion"/>
  </si>
  <si>
    <t>R2</t>
    <phoneticPr fontId="143" type="noConversion"/>
  </si>
  <si>
    <t>S41</t>
    <phoneticPr fontId="143" type="noConversion"/>
  </si>
  <si>
    <t>A6</t>
    <phoneticPr fontId="143" type="noConversion"/>
  </si>
  <si>
    <t>G12</t>
    <phoneticPr fontId="143" type="noConversion"/>
  </si>
  <si>
    <t>A334</t>
    <phoneticPr fontId="143" type="noConversion"/>
  </si>
  <si>
    <t>公用停车场用地</t>
    <phoneticPr fontId="143" type="noConversion"/>
  </si>
  <si>
    <t>其他公园绿地</t>
    <phoneticPr fontId="143" type="noConversion"/>
  </si>
  <si>
    <t>社会福利用地</t>
    <phoneticPr fontId="143" type="noConversion"/>
  </si>
  <si>
    <t>托幼用地</t>
    <phoneticPr fontId="143" type="noConversion"/>
  </si>
  <si>
    <t>——</t>
    <phoneticPr fontId="143" type="noConversion"/>
  </si>
  <si>
    <t>社会停车场</t>
    <phoneticPr fontId="143" type="noConversion"/>
  </si>
  <si>
    <t>幼儿园</t>
    <phoneticPr fontId="143" type="noConversion"/>
  </si>
  <si>
    <t>开闭站</t>
    <phoneticPr fontId="143" type="noConversion"/>
  </si>
  <si>
    <t>序号</t>
    <phoneticPr fontId="143" type="noConversion"/>
  </si>
  <si>
    <t>宗地位置</t>
    <phoneticPr fontId="143" type="noConversion"/>
  </si>
  <si>
    <t>土地面积</t>
    <phoneticPr fontId="143" type="noConversion"/>
  </si>
  <si>
    <t>规划建筑面积</t>
    <phoneticPr fontId="143" type="noConversion"/>
  </si>
  <si>
    <t>商办</t>
    <phoneticPr fontId="143" type="noConversion"/>
  </si>
  <si>
    <t>其他</t>
    <phoneticPr fontId="143" type="noConversion"/>
  </si>
  <si>
    <t>小计</t>
    <phoneticPr fontId="143" type="noConversion"/>
  </si>
  <si>
    <t>成交价</t>
    <phoneticPr fontId="143" type="noConversion"/>
  </si>
  <si>
    <t>总价</t>
    <phoneticPr fontId="143" type="noConversion"/>
  </si>
  <si>
    <t>楼面地价</t>
    <phoneticPr fontId="143" type="noConversion"/>
  </si>
  <si>
    <t>用途差额</t>
    <phoneticPr fontId="143" type="noConversion"/>
  </si>
  <si>
    <t>配建情况</t>
    <phoneticPr fontId="143" type="noConversion"/>
  </si>
  <si>
    <t>剥离</t>
    <phoneticPr fontId="143" type="noConversion"/>
  </si>
  <si>
    <t>总价</t>
    <phoneticPr fontId="143" type="noConversion"/>
  </si>
  <si>
    <t>楼面地价</t>
    <phoneticPr fontId="143" type="noConversion"/>
  </si>
  <si>
    <t>B</t>
    <phoneticPr fontId="143" type="noConversion"/>
  </si>
  <si>
    <t>A</t>
    <phoneticPr fontId="143" type="noConversion"/>
  </si>
  <si>
    <t>C</t>
    <phoneticPr fontId="143" type="noConversion"/>
  </si>
  <si>
    <t>北京市大兴区瀛海镇区C4组团YZ00-0803-0603地块F1住宅混合公建用地</t>
    <phoneticPr fontId="143" type="noConversion"/>
  </si>
  <si>
    <t>通平</t>
    <phoneticPr fontId="143" type="noConversion"/>
  </si>
  <si>
    <t>六通一平</t>
    <phoneticPr fontId="143" type="noConversion"/>
  </si>
  <si>
    <t>成交日期</t>
    <phoneticPr fontId="143" type="noConversion"/>
  </si>
  <si>
    <t>前期开发成本</t>
    <phoneticPr fontId="143" type="noConversion"/>
  </si>
  <si>
    <r>
      <t>居住＞商办，4</t>
    </r>
    <r>
      <rPr>
        <sz val="11"/>
        <color theme="1"/>
        <rFont val="宋体"/>
        <family val="3"/>
        <charset val="134"/>
        <scheme val="minor"/>
      </rPr>
      <t>715元/平方米</t>
    </r>
    <phoneticPr fontId="143" type="noConversion"/>
  </si>
  <si>
    <t>无</t>
    <phoneticPr fontId="143" type="noConversion"/>
  </si>
  <si>
    <t>北京市大兴区黄村镇DX00-0102-0802地块F1住宅混合公建用地</t>
    <phoneticPr fontId="143" type="noConversion"/>
  </si>
  <si>
    <t>居住＞商办，3245元/平方米</t>
    <phoneticPr fontId="143" type="noConversion"/>
  </si>
  <si>
    <t>北京市大兴区魏善庄镇2016年世界月季大会周边配套（国家新媒体产业基地B组团）土地一级开发项目AA-43(DX07-0102-6011)地块R2二类居住用地</t>
    <phoneticPr fontId="143" type="noConversion"/>
  </si>
  <si>
    <t>五通一平</t>
    <phoneticPr fontId="143" type="noConversion"/>
  </si>
  <si>
    <t>住商办统一价格</t>
    <phoneticPr fontId="143" type="noConversion"/>
  </si>
  <si>
    <r>
      <t>北京市大兴区黄村镇DX00-0103</t>
    </r>
    <r>
      <rPr>
        <sz val="11"/>
        <color theme="1"/>
        <rFont val="宋体"/>
        <family val="3"/>
        <charset val="134"/>
        <scheme val="minor"/>
      </rPr>
      <t>-</t>
    </r>
    <r>
      <rPr>
        <sz val="11"/>
        <color theme="1"/>
        <rFont val="宋体"/>
        <family val="3"/>
        <charset val="134"/>
        <scheme val="minor"/>
      </rPr>
      <t>1304</t>
    </r>
    <r>
      <rPr>
        <sz val="11"/>
        <color theme="1"/>
        <rFont val="宋体"/>
        <family val="3"/>
        <charset val="134"/>
        <scheme val="minor"/>
      </rPr>
      <t>地块</t>
    </r>
    <r>
      <rPr>
        <sz val="11"/>
        <color theme="1"/>
        <rFont val="宋体"/>
        <family val="3"/>
        <charset val="134"/>
        <scheme val="minor"/>
      </rPr>
      <t/>
    </r>
    <phoneticPr fontId="143" type="noConversion"/>
  </si>
  <si>
    <t>商办＞1200㎡，2620元/平方米</t>
    <phoneticPr fontId="143" type="noConversion"/>
  </si>
  <si>
    <t>无</t>
    <phoneticPr fontId="143" type="noConversion"/>
  </si>
  <si>
    <t>三通一平</t>
    <phoneticPr fontId="143" type="noConversion"/>
  </si>
  <si>
    <t>售价</t>
  </si>
  <si>
    <t>高速公路</t>
    <phoneticPr fontId="25" type="noConversion"/>
  </si>
  <si>
    <t>高速公路</t>
    <phoneticPr fontId="25" type="noConversion"/>
  </si>
  <si>
    <t>缺少</t>
  </si>
  <si>
    <t>通热</t>
  </si>
  <si>
    <t>D</t>
    <phoneticPr fontId="143" type="noConversion"/>
  </si>
  <si>
    <t>六通</t>
  </si>
  <si>
    <t>大兴区</t>
    <phoneticPr fontId="143" type="noConversion"/>
  </si>
  <si>
    <t>黄村镇狼垡集体租赁住房项目</t>
    <phoneticPr fontId="143" type="noConversion"/>
  </si>
  <si>
    <t>协议出让</t>
    <phoneticPr fontId="143" type="noConversion"/>
  </si>
  <si>
    <t>成交总价</t>
    <phoneticPr fontId="3" type="noConversion"/>
  </si>
  <si>
    <t>成交单价</t>
    <phoneticPr fontId="3" type="noConversion"/>
  </si>
  <si>
    <t>成交日期</t>
    <phoneticPr fontId="3" type="noConversion"/>
  </si>
  <si>
    <t>瀛海镇租赁住房项目</t>
    <phoneticPr fontId="143" type="noConversion"/>
  </si>
  <si>
    <t>使用者</t>
    <phoneticPr fontId="3" type="noConversion"/>
  </si>
  <si>
    <t>北京兴业利嘉房地产开发有限公司</t>
    <phoneticPr fontId="3" type="noConversion"/>
  </si>
  <si>
    <t>瀛海镇集体经营性建设用地入市试点（一期）YZ00-0803-0011地块</t>
    <phoneticPr fontId="3" type="noConversion"/>
  </si>
  <si>
    <t>挂盘</t>
    <phoneticPr fontId="143" type="noConversion"/>
  </si>
  <si>
    <t>北京城康华房地产开发有限公司</t>
    <phoneticPr fontId="3" type="noConversion"/>
  </si>
  <si>
    <t>绿隔产业用地，建设集体租赁住房</t>
    <phoneticPr fontId="3" type="noConversion"/>
  </si>
  <si>
    <t>绿隔产业用地，</t>
    <phoneticPr fontId="3" type="noConversion"/>
  </si>
  <si>
    <t>50</t>
    <phoneticPr fontId="31" type="noConversion"/>
  </si>
  <si>
    <t>北京汇瀛恒安置业有限公司</t>
    <phoneticPr fontId="3" type="noConversion"/>
  </si>
  <si>
    <t>绿隔产业用地，建设集体租赁住房</t>
    <phoneticPr fontId="3" type="noConversion"/>
  </si>
  <si>
    <t>住宅</t>
    <phoneticPr fontId="143" type="noConversion"/>
  </si>
  <si>
    <t>用地</t>
    <phoneticPr fontId="143" type="noConversion"/>
  </si>
  <si>
    <t>容积率</t>
    <phoneticPr fontId="143" type="noConversion"/>
  </si>
  <si>
    <t>建面</t>
    <phoneticPr fontId="143" type="noConversion"/>
  </si>
  <si>
    <t>YZ00-0803-2003</t>
    <phoneticPr fontId="143" type="noConversion"/>
  </si>
  <si>
    <t>YZ00-0803-2004</t>
  </si>
  <si>
    <t>YZ00-0803-2005A</t>
    <phoneticPr fontId="143" type="noConversion"/>
  </si>
  <si>
    <t>YZ00-0803-2005B</t>
    <phoneticPr fontId="143" type="noConversion"/>
  </si>
  <si>
    <t>公共停车场用地</t>
    <phoneticPr fontId="143" type="noConversion"/>
  </si>
  <si>
    <t>绿隔产业用地</t>
    <phoneticPr fontId="143" type="noConversion"/>
  </si>
  <si>
    <t>YZ00-0803-2012A</t>
    <phoneticPr fontId="143" type="noConversion"/>
  </si>
  <si>
    <t>YZ00-0803-2012B</t>
    <phoneticPr fontId="143" type="noConversion"/>
  </si>
  <si>
    <t>YZ00-0803-2013A</t>
    <phoneticPr fontId="143" type="noConversion"/>
  </si>
  <si>
    <t>YZ00-0803-2013B</t>
    <phoneticPr fontId="143" type="noConversion"/>
  </si>
  <si>
    <t>绿隔产业用地（商业办公）</t>
    <phoneticPr fontId="143" type="noConversion"/>
  </si>
  <si>
    <r>
      <rPr>
        <sz val="11"/>
        <rFont val="宋体"/>
        <family val="3"/>
        <charset val="134"/>
      </rPr>
      <t>商业</t>
    </r>
    <r>
      <rPr>
        <sz val="11"/>
        <rFont val="Arial"/>
        <family val="2"/>
      </rPr>
      <t>40</t>
    </r>
    <r>
      <rPr>
        <sz val="11"/>
        <rFont val="宋体"/>
        <family val="3"/>
        <charset val="134"/>
      </rPr>
      <t>、办公</t>
    </r>
    <r>
      <rPr>
        <sz val="11"/>
        <rFont val="Arial"/>
        <family val="2"/>
      </rPr>
      <t>50</t>
    </r>
    <phoneticPr fontId="31" type="noConversion"/>
  </si>
  <si>
    <t>绿隔产业用地建设共有产权住房</t>
    <phoneticPr fontId="143" type="noConversion"/>
  </si>
  <si>
    <t>挂牌</t>
    <phoneticPr fontId="143" type="noConversion"/>
  </si>
  <si>
    <t>协议</t>
    <phoneticPr fontId="143" type="noConversion"/>
  </si>
  <si>
    <t>年期修正</t>
    <phoneticPr fontId="143" type="noConversion"/>
  </si>
  <si>
    <t>拟出让年限</t>
    <phoneticPr fontId="3" type="noConversion"/>
  </si>
  <si>
    <t>商业40，办公50</t>
    <phoneticPr fontId="3" type="noConversion"/>
  </si>
  <si>
    <t>容积率</t>
    <phoneticPr fontId="143" type="noConversion"/>
  </si>
  <si>
    <t>用地规模（平方米）</t>
    <phoneticPr fontId="143" type="noConversion"/>
  </si>
  <si>
    <t>地上建筑规模（平方米）</t>
    <phoneticPr fontId="143" type="noConversion"/>
  </si>
  <si>
    <t>绿地率（%）</t>
    <phoneticPr fontId="143" type="noConversion"/>
  </si>
  <si>
    <t>建筑密度（%）</t>
    <phoneticPr fontId="143" type="noConversion"/>
  </si>
  <si>
    <t>控制高度（米）</t>
    <phoneticPr fontId="143" type="noConversion"/>
  </si>
  <si>
    <t>评估值</t>
    <phoneticPr fontId="143" type="noConversion"/>
  </si>
  <si>
    <t>地</t>
    <phoneticPr fontId="143" type="noConversion"/>
  </si>
  <si>
    <t>房</t>
    <phoneticPr fontId="143" type="noConversion"/>
  </si>
  <si>
    <t>比例</t>
    <phoneticPr fontId="143" type="noConversion"/>
  </si>
  <si>
    <t>DX00-1002-003</t>
    <phoneticPr fontId="3" type="noConversion"/>
  </si>
  <si>
    <t>DX00-1002-003</t>
  </si>
  <si>
    <t>105800</t>
    <phoneticPr fontId="143" type="noConversion"/>
  </si>
  <si>
    <t>兴念雅苑</t>
    <phoneticPr fontId="25" type="noConversion"/>
  </si>
  <si>
    <t>四季盛景园</t>
    <phoneticPr fontId="25" type="noConversion"/>
  </si>
  <si>
    <t>国瑞·瑞福园</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</si>
</sst>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
      <b/>
      <sz val="9"/>
      <name val="宋体"/>
      <family val="3"/>
      <charset val="134"/>
      <scheme val="major"/>
    </font>
    <font>
      <sz val="9"/>
      <color rgb="FFFF0000"/>
      <name val="宋体"/>
      <family val="2"/>
      <charset val="134"/>
      <scheme val="minor"/>
    </font>
    <font>
      <sz val="9"/>
      <color rgb="FFFF0000"/>
      <name val="宋体"/>
      <family val="3"/>
      <charset val="134"/>
      <scheme val="minor"/>
    </font>
    <font>
      <sz val="10"/>
      <color theme="1"/>
      <name val="宋体"/>
      <family val="2"/>
      <charset val="134"/>
      <scheme val="minor"/>
    </font>
    <font>
      <sz val="10"/>
      <name val="宋体"/>
      <family val="3"/>
      <charset val="134"/>
      <scheme val="minor"/>
    </font>
    <font>
      <sz val="10"/>
      <name val="宋体"/>
      <family val="2"/>
      <charset val="134"/>
      <scheme val="minor"/>
    </font>
    <font>
      <sz val="10"/>
      <color indexed="8"/>
      <name val="宋体"/>
      <family val="3"/>
      <charset val="134"/>
      <scheme val="minor"/>
    </font>
    <font>
      <sz val="10"/>
      <color indexed="8"/>
      <name val="等线"/>
      <family val="3"/>
      <charset val="134"/>
    </font>
    <font>
      <sz val="9"/>
      <color indexed="81"/>
      <name val="Tahoma"/>
      <family val="2"/>
    </font>
    <font>
      <sz val="9"/>
      <name val="宋体"/>
      <family val="3"/>
      <charset val="134"/>
      <scheme val="major"/>
    </font>
    <font>
      <sz val="9"/>
      <color theme="1"/>
      <name val="宋体"/>
      <family val="3"/>
      <charset val="134"/>
      <scheme val="minor"/>
    </font>
    <font>
      <sz val="10.5"/>
      <color rgb="FF548DD4"/>
      <name val="宋体"/>
      <family val="3"/>
      <charset val="134"/>
    </font>
    <font>
      <sz val="10.5"/>
      <color rgb="FF000000"/>
      <name val="宋体"/>
      <family val="3"/>
      <charset val="134"/>
      <scheme val="minor"/>
    </font>
    <font>
      <sz val="10.5"/>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254" fillId="0" borderId="1" xfId="0" applyFont="1" applyBorder="1" applyAlignment="1">
      <alignment horizontal="center" vertical="center" wrapText="1"/>
    </xf>
    <xf numFmtId="2" fontId="254" fillId="0" borderId="1" xfId="0" applyNumberFormat="1" applyFont="1" applyBorder="1" applyAlignment="1">
      <alignment horizontal="center" vertical="center" wrapText="1"/>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137" fillId="7" borderId="0" xfId="0" applyFont="1" applyFill="1" applyAlignment="1" applyProtection="1">
      <alignment horizontal="center" vertical="center"/>
      <protection locked="0"/>
    </xf>
    <xf numFmtId="0" fontId="98" fillId="2" borderId="30"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4" fillId="0" borderId="3" xfId="0" applyFont="1" applyBorder="1" applyAlignment="1">
      <alignment horizontal="center" vertical="center" wrapText="1"/>
    </xf>
    <xf numFmtId="0" fontId="255" fillId="0" borderId="0" xfId="0" applyFont="1" applyFill="1">
      <alignment vertical="center"/>
    </xf>
    <xf numFmtId="0" fontId="255" fillId="0" borderId="0" xfId="0" applyFont="1" applyFill="1" applyAlignment="1">
      <alignment vertical="center"/>
    </xf>
    <xf numFmtId="0" fontId="259" fillId="9" borderId="1" xfId="0" applyFont="1" applyFill="1" applyBorder="1" applyAlignment="1">
      <alignment horizontal="center" vertical="center"/>
    </xf>
    <xf numFmtId="0" fontId="259" fillId="0" borderId="1" xfId="0" applyFont="1" applyBorder="1" applyAlignment="1">
      <alignment horizontal="center" vertical="center"/>
    </xf>
    <xf numFmtId="0" fontId="260" fillId="7" borderId="1" xfId="0" applyNumberFormat="1" applyFont="1" applyFill="1" applyBorder="1" applyAlignment="1">
      <alignment horizontal="center" vertical="center" wrapText="1"/>
    </xf>
    <xf numFmtId="0" fontId="260" fillId="7" borderId="1" xfId="4" applyFont="1" applyFill="1" applyBorder="1" applyAlignment="1">
      <alignment horizontal="center" vertical="center" wrapText="1"/>
    </xf>
    <xf numFmtId="0" fontId="261" fillId="0" borderId="1" xfId="0" applyFont="1" applyFill="1" applyBorder="1" applyAlignment="1">
      <alignment horizontal="center" vertical="center"/>
    </xf>
    <xf numFmtId="176" fontId="262" fillId="0" borderId="0" xfId="0" applyNumberFormat="1" applyFont="1" applyFill="1" applyAlignment="1">
      <alignment horizontal="center" vertical="center"/>
    </xf>
    <xf numFmtId="176" fontId="262" fillId="0" borderId="1" xfId="0" applyNumberFormat="1" applyFont="1" applyBorder="1" applyAlignment="1">
      <alignment horizontal="center" vertical="center" wrapText="1"/>
    </xf>
    <xf numFmtId="186" fontId="262" fillId="0" borderId="1" xfId="0" applyNumberFormat="1" applyFont="1" applyBorder="1" applyAlignment="1">
      <alignment horizontal="center" vertical="center" wrapText="1"/>
    </xf>
    <xf numFmtId="186" fontId="113" fillId="0" borderId="1" xfId="0" applyNumberFormat="1" applyFont="1" applyFill="1" applyBorder="1" applyAlignment="1">
      <alignment horizontal="center" vertical="center" wrapText="1"/>
    </xf>
    <xf numFmtId="197" fontId="262" fillId="0" borderId="1" xfId="8" applyNumberFormat="1" applyFont="1" applyFill="1" applyBorder="1" applyAlignment="1">
      <alignment horizontal="center" vertical="center" wrapText="1"/>
    </xf>
    <xf numFmtId="0" fontId="113" fillId="0" borderId="0" xfId="0" applyFont="1" applyFill="1" applyAlignment="1">
      <alignment horizontal="center" vertical="center"/>
    </xf>
    <xf numFmtId="186" fontId="19" fillId="0" borderId="1" xfId="0" applyNumberFormat="1" applyFont="1" applyBorder="1" applyAlignment="1">
      <alignment horizontal="center" vertical="center" wrapText="1"/>
    </xf>
    <xf numFmtId="0" fontId="80" fillId="0" borderId="1" xfId="8" applyFont="1" applyFill="1" applyBorder="1" applyAlignment="1">
      <alignment horizontal="center" vertical="center" wrapText="1"/>
    </xf>
    <xf numFmtId="176" fontId="263" fillId="0" borderId="1" xfId="8" applyNumberFormat="1" applyFont="1" applyFill="1" applyBorder="1" applyAlignment="1">
      <alignment horizontal="center" vertical="center" wrapText="1"/>
    </xf>
    <xf numFmtId="176" fontId="263" fillId="0" borderId="1" xfId="0" applyNumberFormat="1" applyFont="1" applyBorder="1" applyAlignment="1">
      <alignment horizontal="center" vertical="center"/>
    </xf>
    <xf numFmtId="176" fontId="263" fillId="0" borderId="0" xfId="0" applyNumberFormat="1" applyFont="1" applyBorder="1" applyAlignment="1">
      <alignment vertical="center"/>
    </xf>
    <xf numFmtId="176" fontId="263" fillId="0" borderId="0" xfId="8" applyNumberFormat="1" applyFont="1" applyFill="1" applyBorder="1" applyAlignment="1">
      <alignment horizontal="left" vertical="center" wrapText="1"/>
    </xf>
    <xf numFmtId="186" fontId="19" fillId="0" borderId="1" xfId="0" applyNumberFormat="1" applyFont="1" applyFill="1" applyBorder="1" applyAlignment="1">
      <alignment horizontal="center" vertical="center" wrapText="1"/>
    </xf>
    <xf numFmtId="0" fontId="80" fillId="0" borderId="1" xfId="0" applyNumberFormat="1" applyFont="1" applyBorder="1" applyAlignment="1">
      <alignment horizontal="center" vertical="center" wrapText="1"/>
    </xf>
    <xf numFmtId="176" fontId="80" fillId="0" borderId="1" xfId="0" applyNumberFormat="1" applyFont="1" applyBorder="1" applyAlignment="1">
      <alignment horizontal="center" vertical="center" wrapText="1"/>
    </xf>
    <xf numFmtId="176" fontId="80" fillId="0" borderId="1" xfId="0" applyNumberFormat="1" applyFont="1" applyBorder="1" applyAlignment="1">
      <alignment horizontal="left" vertical="center" wrapText="1"/>
    </xf>
    <xf numFmtId="0" fontId="259" fillId="0" borderId="1" xfId="0" applyFont="1" applyBorder="1" applyAlignment="1">
      <alignment horizontal="center" vertical="center" wrapText="1"/>
    </xf>
    <xf numFmtId="0" fontId="259" fillId="0" borderId="0" xfId="0" applyFont="1" applyAlignment="1"/>
    <xf numFmtId="9"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1" xfId="0" applyFont="1" applyBorder="1">
      <alignment vertical="center"/>
    </xf>
    <xf numFmtId="0" fontId="99" fillId="0" borderId="1" xfId="0" applyFont="1" applyFill="1" applyBorder="1">
      <alignment vertical="center"/>
    </xf>
    <xf numFmtId="0" fontId="99" fillId="0" borderId="1" xfId="0" applyFont="1" applyBorder="1" applyAlignment="1">
      <alignment horizontal="center" vertical="center"/>
    </xf>
    <xf numFmtId="0" fontId="0" fillId="0" borderId="1" xfId="0" applyBorder="1" applyAlignment="1">
      <alignment vertical="center" wrapText="1"/>
    </xf>
    <xf numFmtId="0" fontId="99" fillId="0" borderId="1" xfId="0" applyFont="1" applyBorder="1" applyAlignment="1">
      <alignment vertical="center" wrapText="1"/>
    </xf>
    <xf numFmtId="14" fontId="99" fillId="0" borderId="1" xfId="0" applyNumberFormat="1" applyFont="1" applyBorder="1" applyAlignment="1">
      <alignment vertical="center" wrapText="1"/>
    </xf>
    <xf numFmtId="14" fontId="0" fillId="0" borderId="1" xfId="0" applyNumberFormat="1" applyBorder="1" applyAlignment="1">
      <alignment vertical="center" wrapText="1"/>
    </xf>
    <xf numFmtId="0" fontId="261" fillId="0" borderId="0" xfId="0" applyFont="1" applyFill="1" applyBorder="1" applyAlignment="1">
      <alignment horizontal="center" vertical="center"/>
    </xf>
    <xf numFmtId="9" fontId="120" fillId="0" borderId="5" xfId="0" applyNumberFormat="1" applyFont="1" applyFill="1" applyBorder="1" applyAlignment="1" applyProtection="1">
      <alignment horizontal="center" vertical="center"/>
      <protection locked="0"/>
    </xf>
    <xf numFmtId="176" fontId="106" fillId="0" borderId="24" xfId="1" applyNumberFormat="1" applyFont="1" applyFill="1" applyBorder="1" applyAlignment="1" applyProtection="1">
      <alignment horizontal="center" vertical="center"/>
      <protection locked="0"/>
    </xf>
    <xf numFmtId="181" fontId="56" fillId="0" borderId="8" xfId="0" applyNumberFormat="1" applyFont="1" applyFill="1" applyBorder="1" applyAlignment="1" applyProtection="1">
      <alignment horizontal="center" vertical="center"/>
      <protection locked="0"/>
    </xf>
    <xf numFmtId="181" fontId="56" fillId="0" borderId="24" xfId="0"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99" fillId="5" borderId="1" xfId="0" applyFont="1" applyFill="1" applyBorder="1" applyAlignment="1">
      <alignment horizontal="center" vertical="center"/>
    </xf>
    <xf numFmtId="0" fontId="99" fillId="0" borderId="1" xfId="0" applyFont="1" applyFill="1" applyBorder="1" applyAlignment="1">
      <alignment vertical="center" wrapText="1"/>
    </xf>
    <xf numFmtId="0" fontId="101" fillId="5" borderId="1" xfId="0" applyFont="1" applyFill="1" applyBorder="1" applyAlignment="1">
      <alignment vertical="center" wrapText="1"/>
    </xf>
    <xf numFmtId="0" fontId="113" fillId="0" borderId="0" xfId="0" applyFont="1" applyAlignment="1">
      <alignment horizontal="center" vertical="center"/>
    </xf>
    <xf numFmtId="14" fontId="113" fillId="0" borderId="0" xfId="0" applyNumberFormat="1" applyFont="1" applyAlignment="1">
      <alignment horizontal="center" vertical="center"/>
    </xf>
    <xf numFmtId="0" fontId="256" fillId="0" borderId="0" xfId="8" applyFont="1" applyFill="1" applyBorder="1" applyAlignment="1">
      <alignment horizontal="center" vertical="center"/>
    </xf>
    <xf numFmtId="0" fontId="265" fillId="0" borderId="0" xfId="8" applyFont="1" applyFill="1" applyBorder="1" applyAlignment="1">
      <alignment horizontal="center" vertical="center"/>
    </xf>
    <xf numFmtId="0" fontId="266" fillId="0" borderId="0" xfId="0" applyFont="1" applyFill="1" applyBorder="1" applyAlignment="1">
      <alignment horizontal="center" vertical="center"/>
    </xf>
    <xf numFmtId="14" fontId="266" fillId="0" borderId="0" xfId="0" applyNumberFormat="1" applyFont="1" applyFill="1" applyBorder="1" applyAlignment="1">
      <alignment horizontal="center" vertical="center"/>
    </xf>
    <xf numFmtId="0" fontId="98" fillId="0" borderId="51" xfId="0" applyNumberFormat="1" applyFont="1" applyFill="1" applyBorder="1" applyAlignment="1" applyProtection="1">
      <alignment horizontal="center" vertical="center" wrapText="1"/>
      <protection locked="0"/>
    </xf>
    <xf numFmtId="0" fontId="73" fillId="5" borderId="51" xfId="0" applyFont="1" applyFill="1" applyBorder="1" applyAlignment="1" applyProtection="1">
      <alignment vertical="center" wrapText="1"/>
      <protection locked="0"/>
    </xf>
    <xf numFmtId="0" fontId="73" fillId="5" borderId="20" xfId="0" applyFont="1" applyFill="1" applyBorder="1" applyAlignment="1" applyProtection="1">
      <alignment vertical="center" wrapText="1"/>
      <protection locked="0"/>
    </xf>
    <xf numFmtId="0" fontId="256" fillId="0" borderId="1" xfId="8" applyFont="1" applyFill="1" applyBorder="1" applyAlignment="1">
      <alignment horizontal="center" vertical="center"/>
    </xf>
    <xf numFmtId="0" fontId="99" fillId="0" borderId="5" xfId="0" applyFont="1" applyBorder="1" applyAlignment="1">
      <alignment vertical="center"/>
    </xf>
    <xf numFmtId="0" fontId="99" fillId="0" borderId="54" xfId="0" applyFont="1" applyBorder="1" applyAlignment="1">
      <alignment vertical="center"/>
    </xf>
    <xf numFmtId="0" fontId="99" fillId="0" borderId="3" xfId="0" applyFont="1" applyBorder="1" applyAlignment="1">
      <alignment vertical="center"/>
    </xf>
    <xf numFmtId="0" fontId="54" fillId="9" borderId="6" xfId="0" applyNumberFormat="1" applyFont="1" applyFill="1" applyBorder="1" applyAlignment="1" applyProtection="1">
      <alignment horizontal="center" vertical="center" wrapText="1"/>
      <protection locked="0"/>
    </xf>
    <xf numFmtId="0" fontId="54" fillId="9" borderId="10" xfId="0" applyNumberFormat="1" applyFont="1" applyFill="1" applyBorder="1" applyAlignment="1" applyProtection="1">
      <alignment horizontal="center" vertical="center" wrapText="1"/>
    </xf>
    <xf numFmtId="0" fontId="54" fillId="9" borderId="9" xfId="0" applyNumberFormat="1" applyFont="1" applyFill="1" applyBorder="1" applyAlignment="1" applyProtection="1">
      <alignment horizontal="center" vertical="center" wrapText="1"/>
      <protection locked="0"/>
    </xf>
    <xf numFmtId="49" fontId="54" fillId="9" borderId="41" xfId="0" applyNumberFormat="1" applyFont="1" applyFill="1" applyBorder="1" applyAlignment="1" applyProtection="1">
      <alignment horizontal="center" vertical="center" wrapText="1"/>
      <protection locked="0"/>
    </xf>
    <xf numFmtId="0" fontId="54" fillId="9" borderId="24" xfId="0" applyNumberFormat="1" applyFont="1" applyFill="1" applyBorder="1" applyAlignment="1" applyProtection="1">
      <alignment horizontal="center" vertical="center" wrapText="1"/>
    </xf>
    <xf numFmtId="49" fontId="54" fillId="9" borderId="7" xfId="0" applyNumberFormat="1" applyFont="1" applyFill="1" applyBorder="1" applyAlignment="1" applyProtection="1">
      <alignment horizontal="center" vertical="center" wrapText="1"/>
      <protection locked="0"/>
    </xf>
    <xf numFmtId="0" fontId="98" fillId="9" borderId="51" xfId="0" applyNumberFormat="1" applyFont="1" applyFill="1" applyBorder="1" applyAlignment="1" applyProtection="1">
      <alignment horizontal="center" vertical="center" wrapText="1"/>
      <protection locked="0"/>
    </xf>
    <xf numFmtId="0" fontId="54" fillId="9" borderId="51" xfId="0" applyNumberFormat="1" applyFont="1" applyFill="1" applyBorder="1" applyAlignment="1" applyProtection="1">
      <alignment horizontal="center" vertical="center" wrapText="1"/>
      <protection locked="0"/>
    </xf>
    <xf numFmtId="10" fontId="47" fillId="8" borderId="61" xfId="0" applyNumberFormat="1" applyFont="1" applyFill="1" applyBorder="1" applyAlignment="1" applyProtection="1">
      <alignment horizontal="center" vertical="center"/>
      <protection locked="0"/>
    </xf>
    <xf numFmtId="0" fontId="99" fillId="0" borderId="0" xfId="0" applyFont="1" applyAlignment="1">
      <alignment horizontal="center" vertical="center" wrapText="1"/>
    </xf>
    <xf numFmtId="0" fontId="0" fillId="0" borderId="1" xfId="0" applyBorder="1" applyAlignment="1">
      <alignment horizontal="center" vertical="center" wrapText="1"/>
    </xf>
    <xf numFmtId="0" fontId="113" fillId="0" borderId="1" xfId="0" applyFont="1" applyBorder="1" applyAlignment="1">
      <alignment horizontal="center" vertical="center"/>
    </xf>
    <xf numFmtId="0" fontId="255" fillId="0" borderId="1" xfId="0" applyFont="1" applyFill="1" applyBorder="1" applyAlignment="1">
      <alignment horizontal="center" vertical="center"/>
    </xf>
    <xf numFmtId="0" fontId="98" fillId="0" borderId="33" xfId="0" applyFont="1" applyFill="1" applyBorder="1" applyAlignment="1" applyProtection="1">
      <alignment horizontal="center" vertical="center" wrapText="1"/>
      <protection locked="0"/>
    </xf>
    <xf numFmtId="0" fontId="99" fillId="0" borderId="1" xfId="0" applyFont="1" applyBorder="1" applyAlignment="1">
      <alignment horizontal="center" vertical="center" wrapText="1"/>
    </xf>
    <xf numFmtId="0" fontId="267" fillId="0" borderId="43" xfId="0" applyFont="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68" fillId="0" borderId="1" xfId="0" applyFont="1" applyBorder="1" applyAlignment="1">
      <alignment horizontal="center" vertical="center"/>
    </xf>
    <xf numFmtId="0" fontId="269" fillId="0" borderId="1" xfId="0" applyFont="1" applyBorder="1" applyAlignment="1">
      <alignment horizontal="center" vertical="center"/>
    </xf>
    <xf numFmtId="10" fontId="0" fillId="0" borderId="1" xfId="0" applyNumberFormat="1" applyBorder="1" applyAlignment="1">
      <alignment horizontal="center" vertical="center"/>
    </xf>
    <xf numFmtId="9" fontId="0" fillId="0" borderId="1" xfId="0" applyNumberFormat="1"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5" xfId="0" applyFont="1" applyBorder="1" applyAlignment="1">
      <alignment horizontal="center" vertical="center" wrapText="1"/>
    </xf>
    <xf numFmtId="0" fontId="254" fillId="0" borderId="3" xfId="0" applyFont="1" applyBorder="1" applyAlignment="1">
      <alignment horizontal="center" vertical="center" wrapText="1"/>
    </xf>
    <xf numFmtId="0" fontId="254" fillId="0" borderId="13" xfId="0" applyFont="1" applyBorder="1" applyAlignment="1">
      <alignment horizontal="center" vertical="center" wrapText="1"/>
    </xf>
    <xf numFmtId="0" fontId="254" fillId="0" borderId="15" xfId="0" applyFont="1" applyBorder="1" applyAlignment="1">
      <alignment horizontal="center" vertical="center" wrapText="1"/>
    </xf>
    <xf numFmtId="0" fontId="254" fillId="0" borderId="2" xfId="0" applyFont="1" applyBorder="1" applyAlignment="1">
      <alignment horizontal="center" vertical="center" wrapText="1"/>
    </xf>
    <xf numFmtId="0" fontId="256" fillId="0" borderId="3" xfId="8" applyFont="1" applyFill="1" applyBorder="1" applyAlignment="1">
      <alignment horizontal="center" vertical="center" wrapText="1"/>
    </xf>
    <xf numFmtId="0" fontId="256" fillId="0" borderId="3" xfId="8" applyFont="1" applyFill="1" applyBorder="1" applyAlignment="1">
      <alignment horizontal="center" vertical="center"/>
    </xf>
    <xf numFmtId="0" fontId="257" fillId="5" borderId="13" xfId="0" applyFont="1" applyFill="1" applyBorder="1" applyAlignment="1">
      <alignment horizontal="center" vertical="center"/>
    </xf>
    <xf numFmtId="0" fontId="258" fillId="5" borderId="2" xfId="0" applyFont="1" applyFill="1" applyBorder="1" applyAlignment="1">
      <alignment horizontal="center" vertical="center"/>
    </xf>
    <xf numFmtId="0" fontId="255" fillId="0" borderId="1" xfId="0" applyFont="1" applyFill="1" applyBorder="1" applyAlignment="1">
      <alignment horizontal="center" vertical="center"/>
    </xf>
    <xf numFmtId="0" fontId="256" fillId="0" borderId="1" xfId="8" applyFont="1" applyFill="1" applyBorder="1" applyAlignment="1">
      <alignment horizontal="center" vertical="center" wrapText="1"/>
    </xf>
    <xf numFmtId="0" fontId="256" fillId="0" borderId="1" xfId="8" applyFont="1" applyFill="1" applyBorder="1" applyAlignment="1">
      <alignment horizontal="center" vertical="center"/>
    </xf>
    <xf numFmtId="197" fontId="256" fillId="5" borderId="5" xfId="8" applyNumberFormat="1" applyFont="1" applyFill="1" applyBorder="1" applyAlignment="1">
      <alignment horizontal="center" vertical="center" wrapText="1"/>
    </xf>
    <xf numFmtId="197" fontId="256" fillId="5" borderId="5" xfId="8" applyNumberFormat="1" applyFont="1" applyFill="1" applyBorder="1" applyAlignment="1">
      <alignment horizontal="center" vertical="center"/>
    </xf>
    <xf numFmtId="0" fontId="256" fillId="0" borderId="13" xfId="8" applyFont="1" applyFill="1" applyBorder="1" applyAlignment="1">
      <alignment horizontal="center" vertical="center" wrapText="1"/>
    </xf>
    <xf numFmtId="0" fontId="256" fillId="0" borderId="2" xfId="8" applyFont="1" applyFill="1" applyBorder="1" applyAlignment="1">
      <alignment horizontal="center" vertical="center"/>
    </xf>
    <xf numFmtId="197" fontId="256" fillId="0" borderId="1" xfId="8" applyNumberFormat="1" applyFont="1" applyFill="1" applyBorder="1" applyAlignment="1">
      <alignment horizontal="center" vertical="center" wrapText="1"/>
    </xf>
    <xf numFmtId="197" fontId="256" fillId="0" borderId="1" xfId="8" applyNumberFormat="1" applyFont="1" applyFill="1" applyBorder="1" applyAlignment="1">
      <alignment horizontal="center" vertical="center"/>
    </xf>
    <xf numFmtId="197" fontId="256" fillId="5" borderId="1" xfId="8" applyNumberFormat="1" applyFont="1" applyFill="1" applyBorder="1" applyAlignment="1">
      <alignment horizontal="center" vertical="center" wrapText="1"/>
    </xf>
    <xf numFmtId="197" fontId="256" fillId="5" borderId="1" xfId="8" applyNumberFormat="1" applyFont="1" applyFill="1" applyBorder="1" applyAlignment="1">
      <alignment horizontal="center" vertical="center"/>
    </xf>
    <xf numFmtId="0" fontId="256" fillId="7" borderId="13" xfId="8" applyFont="1" applyFill="1" applyBorder="1" applyAlignment="1">
      <alignment horizontal="center" vertical="center" wrapText="1"/>
    </xf>
    <xf numFmtId="0" fontId="256" fillId="7" borderId="2" xfId="8" applyFont="1" applyFill="1" applyBorder="1" applyAlignment="1">
      <alignment horizontal="center" vertical="center"/>
    </xf>
    <xf numFmtId="0" fontId="256" fillId="5" borderId="1" xfId="8" applyFont="1" applyFill="1" applyBorder="1" applyAlignment="1">
      <alignment horizontal="center" vertical="center" wrapText="1"/>
    </xf>
    <xf numFmtId="0" fontId="256" fillId="5" borderId="1" xfId="8" applyFont="1" applyFill="1" applyBorder="1" applyAlignment="1">
      <alignment horizontal="center" vertical="center"/>
    </xf>
    <xf numFmtId="0" fontId="255" fillId="0" borderId="13" xfId="0" applyFont="1" applyFill="1" applyBorder="1" applyAlignment="1">
      <alignment horizontal="center" vertical="center"/>
    </xf>
    <xf numFmtId="0" fontId="255" fillId="0" borderId="2" xfId="0" applyFont="1" applyFill="1" applyBorder="1" applyAlignment="1">
      <alignment horizontal="center" vertical="center"/>
    </xf>
    <xf numFmtId="0" fontId="255" fillId="0" borderId="13" xfId="0" applyFont="1" applyFill="1" applyBorder="1" applyAlignment="1">
      <alignment horizontal="center" vertical="center" wrapText="1"/>
    </xf>
    <xf numFmtId="0" fontId="257" fillId="0" borderId="13" xfId="0" applyFont="1" applyFill="1" applyBorder="1" applyAlignment="1">
      <alignment horizontal="center" vertical="center"/>
    </xf>
    <xf numFmtId="0" fontId="258" fillId="0" borderId="2" xfId="0"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6</xdr:row>
      <xdr:rowOff>0</xdr:rowOff>
    </xdr:from>
    <xdr:to>
      <xdr:col>16</xdr:col>
      <xdr:colOff>875455</xdr:colOff>
      <xdr:row>34</xdr:row>
      <xdr:rowOff>37726</xdr:rowOff>
    </xdr:to>
    <xdr:pic>
      <xdr:nvPicPr>
        <xdr:cNvPr id="2" name="图片 1"/>
        <xdr:cNvPicPr>
          <a:picLocks noChangeAspect="1"/>
        </xdr:cNvPicPr>
      </xdr:nvPicPr>
      <xdr:blipFill>
        <a:blip xmlns:r="http://schemas.openxmlformats.org/officeDocument/2006/relationships" r:embed="rId1"/>
        <a:stretch>
          <a:fillRect/>
        </a:stretch>
      </xdr:blipFill>
      <xdr:spPr>
        <a:xfrm>
          <a:off x="8658225" y="1219200"/>
          <a:ext cx="6761905" cy="29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609600</xdr:colOff>
      <xdr:row>7</xdr:row>
      <xdr:rowOff>85725</xdr:rowOff>
    </xdr:from>
    <xdr:to>
      <xdr:col>8</xdr:col>
      <xdr:colOff>123825</xdr:colOff>
      <xdr:row>37</xdr:row>
      <xdr:rowOff>19050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4791075"/>
          <a:ext cx="6410325" cy="5076825"/>
        </a:xfrm>
        <a:prstGeom prst="rect">
          <a:avLst/>
        </a:prstGeom>
      </xdr:spPr>
    </xdr:pic>
    <xdr:clientData/>
  </xdr:twoCellAnchor>
  <xdr:twoCellAnchor editAs="oneCell">
    <xdr:from>
      <xdr:col>9</xdr:col>
      <xdr:colOff>0</xdr:colOff>
      <xdr:row>13</xdr:row>
      <xdr:rowOff>0</xdr:rowOff>
    </xdr:from>
    <xdr:to>
      <xdr:col>13</xdr:col>
      <xdr:colOff>361950</xdr:colOff>
      <xdr:row>42</xdr:row>
      <xdr:rowOff>104775</xdr:rowOff>
    </xdr:to>
    <xdr:pic>
      <xdr:nvPicPr>
        <xdr:cNvPr id="3" name="图片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1900" y="5734050"/>
          <a:ext cx="6410325" cy="5076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380999</xdr:colOff>
      <xdr:row>32</xdr:row>
      <xdr:rowOff>42333</xdr:rowOff>
    </xdr:from>
    <xdr:to>
      <xdr:col>11</xdr:col>
      <xdr:colOff>66674</xdr:colOff>
      <xdr:row>59</xdr:row>
      <xdr:rowOff>166158</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8916" y="5461000"/>
          <a:ext cx="6564841" cy="4695825"/>
        </a:xfrm>
        <a:prstGeom prst="rect">
          <a:avLst/>
        </a:prstGeom>
      </xdr:spPr>
    </xdr:pic>
    <xdr:clientData/>
  </xdr:twoCellAnchor>
  <xdr:twoCellAnchor editAs="oneCell">
    <xdr:from>
      <xdr:col>1</xdr:col>
      <xdr:colOff>264583</xdr:colOff>
      <xdr:row>1</xdr:row>
      <xdr:rowOff>95250</xdr:rowOff>
    </xdr:from>
    <xdr:to>
      <xdr:col>10</xdr:col>
      <xdr:colOff>682857</xdr:colOff>
      <xdr:row>27</xdr:row>
      <xdr:rowOff>73536</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00" y="264583"/>
          <a:ext cx="6609524" cy="43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219075</xdr:colOff>
      <xdr:row>20</xdr:row>
      <xdr:rowOff>47625</xdr:rowOff>
    </xdr:to>
    <xdr:pic>
      <xdr:nvPicPr>
        <xdr:cNvPr id="14745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05700" cy="3476625"/>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9</xdr:col>
      <xdr:colOff>0</xdr:colOff>
      <xdr:row>38</xdr:row>
      <xdr:rowOff>76200</xdr:rowOff>
    </xdr:to>
    <xdr:pic>
      <xdr:nvPicPr>
        <xdr:cNvPr id="14745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3600450"/>
          <a:ext cx="7286625" cy="2990850"/>
        </a:xfrm>
        <a:prstGeom prst="rect">
          <a:avLst/>
        </a:prstGeom>
        <a:noFill/>
        <a:ln w="1">
          <a:noFill/>
          <a:miter lim="800000"/>
          <a:headEnd/>
          <a:tailEnd type="none" w="med" len="med"/>
        </a:ln>
        <a:effectLst/>
      </xdr:spPr>
    </xdr:pic>
    <xdr:clientData/>
  </xdr:twoCellAnchor>
  <xdr:twoCellAnchor editAs="oneCell">
    <xdr:from>
      <xdr:col>11</xdr:col>
      <xdr:colOff>0</xdr:colOff>
      <xdr:row>21</xdr:row>
      <xdr:rowOff>0</xdr:rowOff>
    </xdr:from>
    <xdr:to>
      <xdr:col>21</xdr:col>
      <xdr:colOff>409575</xdr:colOff>
      <xdr:row>38</xdr:row>
      <xdr:rowOff>133350</xdr:rowOff>
    </xdr:to>
    <xdr:pic>
      <xdr:nvPicPr>
        <xdr:cNvPr id="14745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543800" y="3600450"/>
          <a:ext cx="7267575" cy="30480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北京市房地产市场价值预评估</v>
      </c>
    </row>
    <row r="3" spans="1:2" s="1590" customFormat="1">
      <c r="A3" s="1588" t="s">
        <v>1221</v>
      </c>
      <c r="B3" s="1589">
        <f>'预评函-封皮'!B40</f>
        <v>0</v>
      </c>
    </row>
    <row r="4" spans="1:2" s="1590" customFormat="1">
      <c r="A4" s="1588" t="s">
        <v>1222</v>
      </c>
      <c r="B4" s="1589" t="str">
        <f ca="1">'预评函-封皮'!B46</f>
        <v>叶凌（注册号：1119970111)、陈颖（注册号：0)</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受贵公司委托，我公司对北京市房地产市场价值进行了预评估。</v>
      </c>
    </row>
    <row r="7" spans="1:2" s="1590" customFormat="1">
      <c r="A7" s="1588" t="s">
        <v>1264</v>
      </c>
      <c r="B7" s="1589" t="str">
        <f>'预评函-1'!A7</f>
        <v>估价对象为北京市房地产，为所有。根据《国有土地使用证》[]，估价对象（分摊）出让国有建设用地使用权面积为0.4平方米，建筑面积为1平方米。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估价对象为北京市房地产,属开发建设的，该项目尚在开发建设中。根据《国有土地使用证》[]，估价对象（分摊）出让国有建设用地使用权面积为0.4平方米，规划建筑面积为1平方米。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为估价委托人了解估价对象房地产市场价值提供参考依据。</v>
      </c>
    </row>
    <row r="12" spans="1:2" s="1590" customFormat="1">
      <c r="A12" s="1588" t="s">
        <v>1226</v>
      </c>
      <c r="B12" s="1589" t="str">
        <f>'预评函-1'!A15</f>
        <v>2019年6月5日（评估专业人员实地查勘之日）</v>
      </c>
    </row>
    <row r="13" spans="1:2" s="1590" customFormat="1">
      <c r="A13" s="1588" t="s">
        <v>1227</v>
      </c>
      <c r="B13" s="1589" t="str">
        <f>'预评函-1'!A18</f>
        <v>本次估价的“房地产价值”是指在正常市场情况下，在价值时点2019年6月5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v>
      </c>
    </row>
    <row r="16" spans="1:2" s="1590" customFormat="1">
      <c r="A16" s="1588" t="s">
        <v>1230</v>
      </c>
      <c r="B16" s="1589" t="str">
        <f>'预评函-1'!A21</f>
        <v>——</v>
      </c>
    </row>
    <row r="17" spans="1:2" s="1590" customFormat="1">
      <c r="A17" s="1588" t="s">
        <v>1231</v>
      </c>
      <c r="B17" s="1589" t="str">
        <f>'预评函-1'!A22</f>
        <v>——</v>
      </c>
    </row>
    <row r="18" spans="1:2" s="1584" customFormat="1" ht="15" thickBot="1">
      <c r="A18" s="1591" t="s">
        <v>1232</v>
      </c>
      <c r="B18" s="1592" t="str">
        <f>'预评函-1'!A24</f>
        <v>本次评估采用的主估价方法为和。</v>
      </c>
    </row>
    <row r="19" spans="1:2" s="1587" customFormat="1" ht="15" thickTop="1">
      <c r="A19" s="1585" t="s">
        <v>1233</v>
      </c>
      <c r="B19" s="158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0" customFormat="1">
      <c r="A20" s="1588" t="s">
        <v>1234</v>
      </c>
      <c r="B20" s="1589">
        <f ca="1">'预评函-2'!D5</f>
        <v>3</v>
      </c>
    </row>
    <row r="21" spans="1:2" s="1590" customFormat="1">
      <c r="A21" s="1588" t="s">
        <v>1235</v>
      </c>
      <c r="B21" s="1589" t="e">
        <f ca="1">'预评函-2'!D7</f>
        <v>#DIV/0!</v>
      </c>
    </row>
    <row r="22" spans="1:2" s="1590" customFormat="1">
      <c r="A22" s="1588" t="s">
        <v>1236</v>
      </c>
      <c r="B22" s="1589" t="str">
        <f ca="1">'预评函-2'!D6</f>
        <v>叁万元整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3</v>
      </c>
    </row>
    <row r="31" spans="1:2" s="1590" customFormat="1">
      <c r="A31" s="1588" t="s">
        <v>1274</v>
      </c>
      <c r="B31" s="1589">
        <f ca="1">'预评函-2'!D15</f>
        <v>30000</v>
      </c>
    </row>
    <row r="32" spans="1:2" s="1590" customFormat="1">
      <c r="A32" s="1588" t="s">
        <v>1241</v>
      </c>
      <c r="B32" s="1589" t="str">
        <f ca="1">'预评函-2'!D14</f>
        <v>叁万元整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北京市房地产</v>
      </c>
    </row>
    <row r="42" spans="1:2" s="1590" customFormat="1">
      <c r="A42" s="1588" t="s">
        <v>1288</v>
      </c>
      <c r="B42" s="1589" t="str">
        <f>'预评函-3'!B2</f>
        <v>建筑面积</v>
      </c>
    </row>
    <row r="43" spans="1:2" s="1590" customFormat="1">
      <c r="A43" s="1588" t="s">
        <v>1289</v>
      </c>
      <c r="B43" s="1589">
        <f>'预评函-3'!B4</f>
        <v>1</v>
      </c>
    </row>
    <row r="44" spans="1:2" s="1590" customFormat="1">
      <c r="A44" s="1588" t="s">
        <v>1273</v>
      </c>
      <c r="B44" s="1589" t="str">
        <f>'预评函-3'!C2</f>
        <v>(分摊)土地面积</v>
      </c>
    </row>
    <row r="45" spans="1:2" s="1590" customFormat="1">
      <c r="A45" s="1588" t="s">
        <v>1245</v>
      </c>
      <c r="B45" s="1589">
        <f>'预评函-3'!C4</f>
        <v>0.4</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#DIV/0!</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
      </c>
    </row>
    <row r="58" spans="1:2" s="1587" customFormat="1" ht="15" thickTop="1">
      <c r="A58" s="1585" t="s">
        <v>1251</v>
      </c>
      <c r="B58" s="1586" t="str">
        <f>'预评函-4'!A12</f>
        <v>2.本次评估设定估价对象房地产权属无争议，未被查封或者以其他形式限制其房地产权利，未设定抵押权等他项权利，不涉及第三方权利义务。</v>
      </c>
    </row>
    <row r="59" spans="1:2" s="1590" customFormat="1">
      <c r="A59" s="1588" t="s">
        <v>1252</v>
      </c>
      <c r="B59" s="1589" t="str">
        <f>'预评函-4'!A13</f>
        <v>——</v>
      </c>
    </row>
    <row r="60" spans="1:2" s="1590" customFormat="1">
      <c r="A60" s="1588" t="s">
        <v>1253</v>
      </c>
      <c r="B60" s="1589" t="str">
        <f>'预评函-4'!A14</f>
        <v>——</v>
      </c>
    </row>
    <row r="61" spans="1:2" s="1590" customFormat="1">
      <c r="A61" s="1588" t="s">
        <v>1254</v>
      </c>
      <c r="B61" s="1589" t="str">
        <f>'预评函-4'!A15</f>
        <v>——</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v>
      </c>
    </row>
    <row r="65" spans="1:2" s="1590" customFormat="1">
      <c r="A65" s="1588" t="s">
        <v>1257</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叶凌</v>
      </c>
    </row>
    <row r="71" spans="1:2">
      <c r="A71" s="1588" t="s">
        <v>1261</v>
      </c>
      <c r="B71" s="1589">
        <f ca="1">'预评函-4'!B4</f>
        <v>1119970111</v>
      </c>
    </row>
    <row r="72" spans="1:2">
      <c r="A72" s="1588" t="s">
        <v>1262</v>
      </c>
      <c r="B72" s="1597" t="str">
        <f>'预评函-4'!A5</f>
        <v>陈颖</v>
      </c>
    </row>
    <row r="73" spans="1:2" s="1584" customFormat="1" ht="15" thickBot="1">
      <c r="A73" s="1591" t="s">
        <v>1263</v>
      </c>
      <c r="B73" s="1592">
        <f ca="1">'预评函-4'!B5</f>
        <v>0</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1" t="s">
        <v>757</v>
      </c>
      <c r="C17" s="2012"/>
    </row>
    <row r="18" spans="1:3">
      <c r="A18" s="2011" t="s">
        <v>1767</v>
      </c>
      <c r="B18" s="2011" t="s">
        <v>757</v>
      </c>
      <c r="C18" s="2012"/>
    </row>
    <row r="19" spans="1:3">
      <c r="A19" s="2011" t="s">
        <v>1768</v>
      </c>
      <c r="B19" s="2011" t="s">
        <v>757</v>
      </c>
      <c r="C19" s="2012"/>
    </row>
    <row r="20" spans="1:3">
      <c r="A20" s="2011" t="s">
        <v>1769</v>
      </c>
      <c r="B20" s="2011" t="s">
        <v>757</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166"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6"/>
      <c r="B54" s="2019" t="s">
        <v>864</v>
      </c>
      <c r="C54" s="2016" t="s">
        <v>1281</v>
      </c>
    </row>
    <row r="55" spans="1:4">
      <c r="A55" s="3166"/>
      <c r="B55" s="2019" t="s">
        <v>865</v>
      </c>
      <c r="C55" s="2016" t="s">
        <v>1282</v>
      </c>
    </row>
    <row r="56" spans="1:4">
      <c r="A56" s="3166"/>
      <c r="B56" s="2019" t="s">
        <v>866</v>
      </c>
      <c r="C56" s="2016" t="s">
        <v>1286</v>
      </c>
    </row>
    <row r="57" spans="1:4">
      <c r="A57" s="3166"/>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B16" sqref="B16:D16"/>
    </sheetView>
  </sheetViews>
  <sheetFormatPr defaultColWidth="10" defaultRowHeight="18" customHeight="1"/>
  <cols>
    <col min="1" max="1" width="14.875" style="2029" customWidth="1"/>
    <col min="2" max="2" width="15.375" style="2029" customWidth="1"/>
    <col min="3" max="3" width="11.5" style="2029" customWidth="1"/>
    <col min="4" max="4" width="15.75" style="2029" customWidth="1"/>
    <col min="5"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1776</v>
      </c>
      <c r="B1" s="3175" t="str">
        <f>IF(B10="北京市","北京市",C10)&amp;F10&amp;IF(结果表!G1="在建","出让国有建设用地使用权及在建建筑物",IF(结果表!G1="土地","出让国有建设用地使用权",))&amp;B9&amp;"预评估"</f>
        <v>北京市房地产市场价值预评估</v>
      </c>
      <c r="C1" s="3176"/>
      <c r="D1" s="3176"/>
      <c r="E1" s="3176"/>
      <c r="F1" s="3176"/>
      <c r="G1" s="3176"/>
      <c r="H1" s="3176"/>
      <c r="I1" s="3177"/>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3" t="s">
        <v>1777</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北京市房地产</v>
      </c>
    </row>
    <row r="3" spans="1:19" ht="18" customHeight="1">
      <c r="A3" s="2032" t="s">
        <v>1778</v>
      </c>
      <c r="B3" s="2033">
        <v>43621</v>
      </c>
      <c r="C3" s="2034" t="s">
        <v>1779</v>
      </c>
      <c r="D3" s="2033">
        <v>43621</v>
      </c>
      <c r="E3" s="2023"/>
      <c r="F3" s="2023"/>
      <c r="G3" s="2023"/>
      <c r="H3" s="2023"/>
      <c r="I3" s="2023"/>
      <c r="J3" s="2023"/>
      <c r="K3" s="2024"/>
      <c r="L3" s="2025"/>
      <c r="M3" s="2025"/>
      <c r="N3" s="2026"/>
      <c r="O3" s="2027"/>
      <c r="P3" s="2026"/>
      <c r="Q3" s="2026"/>
      <c r="R3" s="2026"/>
      <c r="S3" s="2028"/>
    </row>
    <row r="4" spans="1:19" ht="18" customHeight="1" thickBot="1">
      <c r="A4" s="2035" t="s">
        <v>1780</v>
      </c>
      <c r="B4" s="2036" t="s">
        <v>3053</v>
      </c>
      <c r="C4" s="1035">
        <f ca="1">SUMIF(注册房地产估价师,B4,估价师及机构信息!B3:B24)</f>
        <v>1119970111</v>
      </c>
      <c r="D4" s="2036" t="s">
        <v>3052</v>
      </c>
      <c r="E4" s="1036">
        <f ca="1">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叶凌（注册号：1119970111)、陈颖（注册号：0)</v>
      </c>
      <c r="L4" s="2025"/>
      <c r="M4" s="2025"/>
      <c r="N4" s="2026"/>
      <c r="O4" s="2027"/>
      <c r="P4" s="2026"/>
      <c r="Q4" s="2026"/>
      <c r="R4" s="2026"/>
      <c r="S4" s="2028"/>
    </row>
    <row r="5" spans="1:19" ht="18" customHeight="1" thickTop="1">
      <c r="A5" s="2041" t="s">
        <v>1781</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1782</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1783</v>
      </c>
      <c r="B7" s="2050"/>
      <c r="C7" s="2047"/>
      <c r="D7" s="2048"/>
      <c r="E7" s="2031"/>
      <c r="F7" s="2039"/>
      <c r="G7" s="2039"/>
      <c r="H7" s="2039"/>
      <c r="I7" s="2039"/>
      <c r="J7" s="2039"/>
      <c r="K7" s="2051"/>
      <c r="L7" s="2025"/>
      <c r="M7" s="2025"/>
      <c r="N7" s="2026"/>
      <c r="O7" s="2027"/>
      <c r="P7" s="2026"/>
      <c r="Q7" s="2026"/>
      <c r="R7" s="2026"/>
    </row>
    <row r="8" spans="1:19" ht="18" customHeight="1">
      <c r="A8" s="2045" t="s">
        <v>1784</v>
      </c>
      <c r="B8" s="2052" t="s">
        <v>3054</v>
      </c>
      <c r="C8" s="2053"/>
      <c r="D8" s="3178" t="s">
        <v>1785</v>
      </c>
      <c r="E8" s="2054"/>
      <c r="F8" s="2055"/>
      <c r="G8" s="2023"/>
      <c r="H8" s="2023"/>
      <c r="I8" s="2023"/>
      <c r="J8" s="2039"/>
      <c r="K8" s="2040"/>
      <c r="L8" s="2025"/>
      <c r="M8" s="2025"/>
      <c r="N8" s="2026"/>
      <c r="O8" s="2027"/>
      <c r="P8" s="2026"/>
      <c r="Q8" s="2026"/>
      <c r="R8" s="2026"/>
    </row>
    <row r="9" spans="1:19" ht="18" customHeight="1" thickBot="1">
      <c r="A9" s="2037" t="s">
        <v>1786</v>
      </c>
      <c r="B9" s="2056" t="s">
        <v>3055</v>
      </c>
      <c r="C9" s="2057"/>
      <c r="D9" s="3179"/>
      <c r="E9" s="2056"/>
      <c r="F9" s="2058"/>
      <c r="G9" s="2059"/>
      <c r="H9" s="2059"/>
      <c r="I9" s="2059"/>
      <c r="J9" s="2039"/>
      <c r="K9" s="2051"/>
      <c r="L9" s="2025"/>
      <c r="M9" s="2025"/>
      <c r="N9" s="2026"/>
      <c r="O9" s="2027"/>
      <c r="P9" s="2026"/>
      <c r="Q9" s="2026"/>
      <c r="R9" s="2026"/>
    </row>
    <row r="10" spans="1:19" ht="18" customHeight="1" thickTop="1">
      <c r="A10" s="2060" t="s">
        <v>1787</v>
      </c>
      <c r="B10" s="2061" t="s">
        <v>3056</v>
      </c>
      <c r="C10" s="2062"/>
      <c r="D10" s="2044"/>
      <c r="E10" s="2063" t="s">
        <v>1788</v>
      </c>
      <c r="F10" s="2064"/>
      <c r="G10" s="2065"/>
      <c r="H10" s="2066"/>
      <c r="I10" s="2044"/>
      <c r="J10" s="2039"/>
      <c r="K10" s="2051"/>
      <c r="L10" s="2025"/>
      <c r="M10" s="2025"/>
      <c r="N10" s="2026"/>
      <c r="O10" s="2027"/>
      <c r="P10" s="2026"/>
      <c r="Q10" s="2026"/>
      <c r="R10" s="2026"/>
    </row>
    <row r="11" spans="1:19" ht="18" customHeight="1">
      <c r="A11" s="2067" t="s">
        <v>1789</v>
      </c>
      <c r="B11" s="2068" t="s">
        <v>3057</v>
      </c>
      <c r="C11" s="2069"/>
      <c r="D11" s="2070"/>
      <c r="E11" s="2039"/>
      <c r="F11" s="2039"/>
      <c r="G11" s="2039"/>
      <c r="H11" s="2039"/>
      <c r="I11" s="2039"/>
      <c r="J11" s="2039"/>
      <c r="K11" s="2051"/>
      <c r="L11" s="2025"/>
      <c r="M11" s="2025"/>
      <c r="N11" s="2026"/>
      <c r="O11" s="2027"/>
      <c r="P11" s="2026"/>
      <c r="Q11" s="2026"/>
      <c r="R11" s="2026"/>
    </row>
    <row r="12" spans="1:19" ht="18" customHeight="1">
      <c r="A12" s="2071" t="s">
        <v>1790</v>
      </c>
      <c r="B12" s="2068" t="s">
        <v>3058</v>
      </c>
      <c r="C12" s="2072" t="s">
        <v>1791</v>
      </c>
      <c r="D12" s="2073" t="s">
        <v>1792</v>
      </c>
      <c r="E12" s="2073" t="s">
        <v>1793</v>
      </c>
      <c r="F12" s="2073" t="s">
        <v>1794</v>
      </c>
      <c r="G12" s="2073" t="s">
        <v>1795</v>
      </c>
      <c r="H12" s="2073" t="s">
        <v>1796</v>
      </c>
      <c r="I12" s="2073" t="s">
        <v>1797</v>
      </c>
      <c r="J12" s="2039"/>
      <c r="K12" s="2051"/>
      <c r="L12" s="2025"/>
      <c r="M12" s="2025"/>
      <c r="N12" s="2026"/>
      <c r="O12" s="2027"/>
      <c r="P12" s="2026"/>
      <c r="Q12" s="2026"/>
      <c r="R12" s="2026"/>
    </row>
    <row r="13" spans="1:19" ht="18" customHeight="1">
      <c r="A13" s="2074"/>
      <c r="B13" s="2075"/>
      <c r="C13" s="2076" t="s">
        <v>1798</v>
      </c>
      <c r="D13" s="2077">
        <v>72476</v>
      </c>
      <c r="E13" s="2077"/>
      <c r="F13" s="2077"/>
      <c r="G13" s="2077"/>
      <c r="H13" s="2077"/>
      <c r="I13" s="1045"/>
      <c r="J13" s="2039"/>
      <c r="K13" s="2051"/>
      <c r="L13" s="2025"/>
      <c r="M13" s="2025"/>
      <c r="N13" s="2026"/>
      <c r="O13" s="2027"/>
      <c r="P13" s="2026"/>
      <c r="Q13" s="2026"/>
      <c r="R13" s="2026"/>
    </row>
    <row r="14" spans="1:19" ht="18" customHeight="1">
      <c r="A14" s="2074"/>
      <c r="B14" s="2075"/>
      <c r="C14" s="2076" t="s">
        <v>1799</v>
      </c>
      <c r="D14" s="1048">
        <v>70</v>
      </c>
      <c r="E14" s="1048"/>
      <c r="F14" s="1048"/>
      <c r="G14" s="1048"/>
      <c r="H14" s="1048"/>
      <c r="I14" s="1048"/>
      <c r="J14" s="2039"/>
      <c r="K14" s="2078"/>
      <c r="L14" s="2025"/>
      <c r="M14" s="2025"/>
      <c r="N14" s="2026"/>
      <c r="O14" s="2027"/>
      <c r="P14" s="2026"/>
      <c r="Q14" s="2026"/>
      <c r="R14" s="2026"/>
    </row>
    <row r="15" spans="1:19" ht="18" customHeight="1">
      <c r="A15" s="2060"/>
      <c r="B15" s="2079"/>
      <c r="C15" s="2076" t="s">
        <v>1800</v>
      </c>
      <c r="D15" s="1047">
        <f>IF(B12="出让",IF(D13="","",ROUNDDOWN(MIN((D13-$D$3)/365,D14),2)),D14)</f>
        <v>70</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1801</v>
      </c>
      <c r="B16" s="3185"/>
      <c r="C16" s="3186"/>
      <c r="D16" s="3187"/>
      <c r="E16" s="2083" t="s">
        <v>1802</v>
      </c>
      <c r="F16" s="3188"/>
      <c r="G16" s="3189"/>
      <c r="H16" s="3189"/>
      <c r="I16" s="3190"/>
      <c r="J16" s="2026"/>
      <c r="K16" s="2080"/>
      <c r="L16" s="2081"/>
      <c r="M16" s="2081"/>
      <c r="N16" s="2082"/>
      <c r="O16" s="2081"/>
      <c r="P16" s="2082"/>
      <c r="Q16" s="2026"/>
      <c r="R16" s="2026"/>
    </row>
    <row r="17" spans="1:22" ht="18" customHeight="1">
      <c r="A17" s="2084" t="s">
        <v>1803</v>
      </c>
      <c r="B17" s="2032" t="s">
        <v>1804</v>
      </c>
      <c r="C17" s="1052">
        <f>'数据-汇总表'!E3</f>
        <v>1</v>
      </c>
      <c r="D17" s="2085" t="s">
        <v>1805</v>
      </c>
      <c r="E17" s="3191" t="s">
        <v>1806</v>
      </c>
      <c r="F17" s="3192"/>
      <c r="G17" s="3192"/>
      <c r="H17" s="3192"/>
      <c r="I17" s="3193"/>
      <c r="J17" s="2026"/>
      <c r="K17" s="2086"/>
      <c r="L17" s="2081"/>
      <c r="M17" s="2081"/>
      <c r="N17" s="2082"/>
      <c r="O17" s="2081"/>
      <c r="P17" s="2082"/>
      <c r="Q17" s="2026"/>
      <c r="R17" s="2026"/>
      <c r="S17" s="2026"/>
      <c r="T17" s="2026"/>
      <c r="U17" s="2026"/>
      <c r="V17" s="2026"/>
    </row>
    <row r="18" spans="1:22" ht="36" customHeight="1" thickBot="1">
      <c r="A18" s="2087" t="s">
        <v>1807</v>
      </c>
      <c r="B18" s="2035" t="s">
        <v>1808</v>
      </c>
      <c r="C18" s="1441">
        <f>'数据-汇总表'!D3</f>
        <v>0.4</v>
      </c>
      <c r="D18" s="2088" t="s">
        <v>1805</v>
      </c>
      <c r="E18" s="3194" t="s">
        <v>1809</v>
      </c>
      <c r="F18" s="3195"/>
      <c r="G18" s="3195"/>
      <c r="H18" s="3195"/>
      <c r="I18" s="3196"/>
      <c r="J18" s="2026"/>
      <c r="K18" s="2086"/>
      <c r="L18" s="2081"/>
      <c r="M18" s="2081"/>
      <c r="N18" s="2082"/>
      <c r="O18" s="2081"/>
      <c r="P18" s="2082"/>
      <c r="Q18" s="2026"/>
      <c r="R18" s="2026"/>
      <c r="S18" s="2026"/>
      <c r="T18" s="2026"/>
      <c r="U18" s="2026"/>
      <c r="V18" s="2026"/>
    </row>
    <row r="19" spans="1:22" ht="37.5" customHeight="1" thickTop="1" thickBot="1">
      <c r="A19" s="370" t="s">
        <v>1810</v>
      </c>
      <c r="B19" s="349" t="s">
        <v>1811</v>
      </c>
      <c r="C19" s="2089"/>
      <c r="D19" s="2090" t="s">
        <v>1812</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1813</v>
      </c>
      <c r="B20" s="3181" t="s">
        <v>1814</v>
      </c>
      <c r="C20" s="3182"/>
      <c r="D20" s="3183" t="s">
        <v>1815</v>
      </c>
      <c r="E20" s="3184"/>
      <c r="F20" s="2095" t="s">
        <v>1816</v>
      </c>
      <c r="G20" s="2039"/>
      <c r="H20" s="2039"/>
      <c r="I20" s="2039"/>
      <c r="J20" s="2039"/>
      <c r="K20" s="3180" t="s">
        <v>1817</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1818</v>
      </c>
      <c r="C21" s="2097" t="s">
        <v>1819</v>
      </c>
      <c r="D21" s="2098" t="s">
        <v>1820</v>
      </c>
      <c r="E21" s="2099" t="s">
        <v>1819</v>
      </c>
      <c r="F21" s="2100"/>
      <c r="G21" s="2039"/>
      <c r="H21" s="2039"/>
      <c r="I21" s="2039"/>
      <c r="J21" s="2039"/>
      <c r="K21" s="3180"/>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1821</v>
      </c>
      <c r="C22" s="2097" t="s">
        <v>1822</v>
      </c>
      <c r="D22" s="2023"/>
      <c r="E22" s="2023"/>
      <c r="F22" s="2102"/>
      <c r="G22" s="2039"/>
      <c r="H22" s="2039"/>
      <c r="I22" s="2039"/>
      <c r="J22" s="2039"/>
      <c r="K22" s="3180"/>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1823</v>
      </c>
      <c r="B23" s="180" t="s">
        <v>1824</v>
      </c>
      <c r="C23" s="2104"/>
      <c r="D23" s="2105" t="s">
        <v>1824</v>
      </c>
      <c r="E23" s="2106"/>
      <c r="F23" s="2102"/>
      <c r="G23" s="2039"/>
      <c r="H23" s="2039"/>
      <c r="I23" s="2039"/>
      <c r="J23" s="2039"/>
      <c r="K23" s="2107"/>
      <c r="L23" s="743"/>
      <c r="M23" s="2025"/>
      <c r="N23" s="2082"/>
      <c r="O23" s="2081"/>
      <c r="P23" s="2082"/>
      <c r="Q23" s="2026"/>
      <c r="R23" s="2026"/>
      <c r="S23" s="2026"/>
      <c r="T23" s="2026"/>
      <c r="U23" s="2026"/>
      <c r="V23" s="2026"/>
    </row>
    <row r="24" spans="1:22" ht="18" customHeight="1">
      <c r="A24" s="2108"/>
      <c r="B24" s="180" t="s">
        <v>1825</v>
      </c>
      <c r="C24" s="2109"/>
      <c r="D24" s="2103" t="s">
        <v>1825</v>
      </c>
      <c r="E24" s="2110"/>
      <c r="F24" s="2102"/>
      <c r="G24" s="2039"/>
      <c r="H24" s="2039"/>
      <c r="I24" s="2039"/>
      <c r="J24" s="2039"/>
      <c r="K24" s="2107"/>
      <c r="L24" s="743"/>
      <c r="M24" s="2025"/>
      <c r="N24" s="2082"/>
      <c r="O24" s="2081"/>
      <c r="P24" s="2082"/>
      <c r="Q24" s="2026"/>
      <c r="R24" s="2026"/>
      <c r="S24" s="2026"/>
      <c r="T24" s="2026"/>
      <c r="U24" s="2026"/>
      <c r="V24" s="2026"/>
    </row>
    <row r="25" spans="1:22" ht="18" customHeight="1">
      <c r="A25" s="2108"/>
      <c r="B25" s="180" t="s">
        <v>1826</v>
      </c>
      <c r="C25" s="2109"/>
      <c r="D25" s="2103" t="s">
        <v>1826</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1827</v>
      </c>
      <c r="C26" s="2113"/>
      <c r="D26" s="2114" t="s">
        <v>1828</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168" t="s">
        <v>1829</v>
      </c>
      <c r="B27" s="2060" t="s">
        <v>1830</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168"/>
      <c r="B28" s="2032" t="s">
        <v>1831</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168"/>
      <c r="B29" s="2032" t="s">
        <v>1832</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169"/>
      <c r="B30" s="2032" t="s">
        <v>1833</v>
      </c>
      <c r="C30" s="3170"/>
      <c r="D30" s="3171"/>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172" t="s">
        <v>1834</v>
      </c>
      <c r="B31" s="2124" t="s">
        <v>3059</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173"/>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173"/>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1835</v>
      </c>
      <c r="B34" s="2131"/>
      <c r="C34" s="2131"/>
      <c r="D34" s="2131"/>
      <c r="E34" s="2131"/>
      <c r="F34" s="2131"/>
      <c r="G34" s="2131"/>
      <c r="H34" s="2131"/>
      <c r="I34" s="2039"/>
      <c r="J34" s="2039"/>
      <c r="K34" s="1792">
        <f>COUNTIF(B34:H34,"——")</f>
        <v>0</v>
      </c>
      <c r="L34" s="2072" t="s">
        <v>1836</v>
      </c>
      <c r="M34" s="2072" t="s">
        <v>1837</v>
      </c>
      <c r="N34" s="2072" t="s">
        <v>1838</v>
      </c>
      <c r="O34" s="2072" t="s">
        <v>1839</v>
      </c>
      <c r="P34" s="2072" t="s">
        <v>1840</v>
      </c>
      <c r="Q34" s="2072" t="s">
        <v>1841</v>
      </c>
      <c r="R34" s="2072" t="s">
        <v>1842</v>
      </c>
      <c r="S34" s="3167" t="s">
        <v>1843</v>
      </c>
      <c r="T34" s="2132" t="str">
        <f>NUMBERSTRING(7-K34,1)&amp;"通"</f>
        <v>七通</v>
      </c>
      <c r="U34" s="2026"/>
      <c r="V34" s="2026"/>
    </row>
    <row r="35" spans="1:22" ht="18" customHeight="1">
      <c r="A35" s="2133"/>
      <c r="B35" s="3174" t="s">
        <v>1844</v>
      </c>
      <c r="C35" s="3174"/>
      <c r="D35" s="3174"/>
      <c r="E35" s="3174"/>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67"/>
      <c r="T35" s="48" t="str">
        <f>IF(T34="一通",L35,IF(T34="二通",M35,IF(T34="三通",N35,IF(T34="四通",O35,IF(T34="五通",P35,IF(T34="六通",Q35,R35))))))</f>
        <v>、、、、、、</v>
      </c>
      <c r="U35" s="2026"/>
      <c r="V35" s="2026"/>
    </row>
    <row r="36" spans="1:22" ht="18" customHeight="1">
      <c r="A36" s="2135"/>
      <c r="B36" s="2134" t="s">
        <v>1845</v>
      </c>
      <c r="C36" s="2134" t="s">
        <v>1846</v>
      </c>
      <c r="D36" s="2134" t="s">
        <v>1847</v>
      </c>
      <c r="E36" s="2134" t="s">
        <v>1848</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1849</v>
      </c>
      <c r="B37" s="2138"/>
      <c r="C37" s="2138"/>
      <c r="D37" s="2138" t="s">
        <v>528</v>
      </c>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1850</v>
      </c>
      <c r="B38" s="2140"/>
      <c r="C38" s="2140"/>
      <c r="D38" s="2140" t="s">
        <v>3068</v>
      </c>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1"/>
      <c r="L40" s="2081"/>
      <c r="M40" s="2081"/>
      <c r="N40" s="2082"/>
      <c r="O40" s="2081"/>
      <c r="P40" s="2026"/>
      <c r="Q40" s="2026"/>
      <c r="R40" s="2026"/>
      <c r="S40" s="2026"/>
      <c r="T40" s="2026"/>
      <c r="U40" s="2026"/>
      <c r="V40" s="2026"/>
    </row>
    <row r="41" spans="1:22" ht="18" customHeight="1">
      <c r="A41" s="8" t="s">
        <v>1852</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1853</v>
      </c>
      <c r="B42" s="1792" t="s">
        <v>1854</v>
      </c>
      <c r="C42" s="1792" t="s">
        <v>1855</v>
      </c>
      <c r="D42" s="1792" t="s">
        <v>1856</v>
      </c>
      <c r="E42" s="1792" t="s">
        <v>1857</v>
      </c>
      <c r="F42" s="1792" t="s">
        <v>1858</v>
      </c>
      <c r="G42" s="1792" t="s">
        <v>1859</v>
      </c>
      <c r="H42" s="1792" t="s">
        <v>1860</v>
      </c>
      <c r="I42" s="1792" t="s">
        <v>1861</v>
      </c>
      <c r="J42" s="2150" t="s">
        <v>1862</v>
      </c>
      <c r="K42" s="2073" t="s">
        <v>1863</v>
      </c>
      <c r="L42" s="2073" t="s">
        <v>1864</v>
      </c>
      <c r="M42" s="2073" t="s">
        <v>1865</v>
      </c>
      <c r="N42" s="1792" t="s">
        <v>1866</v>
      </c>
      <c r="O42" s="1792" t="s">
        <v>1867</v>
      </c>
      <c r="P42" s="1792" t="s">
        <v>1868</v>
      </c>
      <c r="Q42" s="2072" t="s">
        <v>1869</v>
      </c>
      <c r="R42" s="2072" t="s">
        <v>1870</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1872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1876</v>
      </c>
      <c r="AZ2" s="1268"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0.4</v>
      </c>
      <c r="B3" s="14">
        <f>IF(C3="否",G5-AT5,G5)</f>
        <v>1</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0"/>
      <c r="C5" s="1800"/>
      <c r="D5" s="1803"/>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1880</v>
      </c>
      <c r="AW5" s="1800"/>
      <c r="AX5" s="1800"/>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1881</v>
      </c>
      <c r="B6" s="2172"/>
      <c r="C6" s="2172"/>
      <c r="D6" s="2173"/>
      <c r="E6" s="16">
        <f>H6+AC6+AT6</f>
        <v>0.4</v>
      </c>
      <c r="F6" s="16" t="s">
        <v>1</v>
      </c>
      <c r="G6" s="16" t="s">
        <v>2</v>
      </c>
      <c r="H6" s="20">
        <f>SUMIF(I$12:AB$12,"总值",I6:AB6)</f>
        <v>0.4</v>
      </c>
      <c r="I6" s="16">
        <f t="shared" ref="I6:AB6" si="2">ROUND($A$3*I5/$B$3,2)</f>
        <v>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0.4</v>
      </c>
      <c r="AZ6" s="16" t="s">
        <v>3</v>
      </c>
      <c r="BA6" s="16">
        <f>ROUND($AY$6*BA5/$AZ$5,2)</f>
        <v>0.4</v>
      </c>
      <c r="BB6" s="16">
        <f>ROUND($AY$6*BB5/$AZ$5,2)</f>
        <v>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1889</v>
      </c>
      <c r="AV7" s="23" t="s">
        <v>1890</v>
      </c>
      <c r="AW7" s="2164" t="s">
        <v>1891</v>
      </c>
      <c r="AX7" s="23" t="s">
        <v>1884</v>
      </c>
      <c r="AY7" s="1800"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15"/>
      <c r="K8" s="1815"/>
      <c r="L8" s="1815"/>
      <c r="M8" s="1815"/>
      <c r="N8" s="1815"/>
      <c r="O8" s="1815"/>
      <c r="P8" s="1815"/>
      <c r="Q8" s="1815"/>
      <c r="R8" s="1815"/>
      <c r="S8" s="1815"/>
      <c r="T8" s="1815"/>
      <c r="U8" s="1815"/>
      <c r="V8" s="2184"/>
      <c r="W8" s="1815"/>
      <c r="X8" s="1815"/>
      <c r="Y8" s="1815"/>
      <c r="Z8" s="1815"/>
      <c r="AA8" s="2184"/>
      <c r="AB8" s="2185"/>
      <c r="AC8" s="979" t="s">
        <v>1895</v>
      </c>
      <c r="AD8" s="2186"/>
      <c r="AE8" s="2178"/>
      <c r="AF8" s="1815"/>
      <c r="AG8" s="1815"/>
      <c r="AH8" s="1815"/>
      <c r="AI8" s="1815"/>
      <c r="AJ8" s="1815"/>
      <c r="AK8" s="1815"/>
      <c r="AL8" s="1815"/>
      <c r="AM8" s="1815"/>
      <c r="AN8" s="1815"/>
      <c r="AO8" s="1815"/>
      <c r="AP8" s="1815"/>
      <c r="AQ8" s="1815"/>
      <c r="AR8" s="1815"/>
      <c r="AS8" s="1815"/>
      <c r="AT8" s="1290" t="s">
        <v>1896</v>
      </c>
      <c r="AU8" s="2180" t="s">
        <v>1897</v>
      </c>
      <c r="AV8" s="1290"/>
      <c r="AW8" s="2163"/>
      <c r="AX8" s="1290"/>
      <c r="AY8" s="2164" t="s">
        <v>1898</v>
      </c>
      <c r="AZ8" s="1814" t="s">
        <v>1899</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90"/>
      <c r="H9" s="2188" t="s">
        <v>1900</v>
      </c>
      <c r="I9" s="2189" t="s">
        <v>3048</v>
      </c>
      <c r="J9" s="979"/>
      <c r="K9" s="2189"/>
      <c r="L9" s="979"/>
      <c r="M9" s="2189"/>
      <c r="N9" s="979"/>
      <c r="O9" s="2189"/>
      <c r="P9" s="979"/>
      <c r="Q9" s="2189"/>
      <c r="R9" s="979"/>
      <c r="S9" s="2189"/>
      <c r="T9" s="979"/>
      <c r="U9" s="2189"/>
      <c r="V9" s="979"/>
      <c r="W9" s="2189"/>
      <c r="X9" s="2190"/>
      <c r="Y9" s="2189"/>
      <c r="Z9" s="979"/>
      <c r="AA9" s="2189"/>
      <c r="AB9" s="979"/>
      <c r="AC9" s="2181"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91"/>
      <c r="AT9" s="2180"/>
      <c r="AU9" s="2180" t="s">
        <v>1903</v>
      </c>
      <c r="AV9" s="1290"/>
      <c r="AW9" s="2163"/>
      <c r="AX9" s="1290"/>
      <c r="AY9" s="28"/>
      <c r="AZ9" s="28" t="s">
        <v>1893</v>
      </c>
      <c r="BA9" s="2192" t="s">
        <v>1904</v>
      </c>
      <c r="BB9" s="2193"/>
      <c r="BC9" s="1336"/>
      <c r="BD9" s="1336"/>
      <c r="BE9" s="1336"/>
      <c r="BF9" s="1336"/>
      <c r="BG9" s="1336"/>
      <c r="BH9" s="1336"/>
      <c r="BI9" s="1336"/>
      <c r="BJ9" s="1336"/>
      <c r="BK9" s="2194"/>
      <c r="BL9" s="15" t="s">
        <v>1905</v>
      </c>
      <c r="BM9" s="1815"/>
      <c r="BN9" s="2183"/>
      <c r="BO9" s="1815"/>
      <c r="BP9" s="1815"/>
      <c r="BQ9" s="1815"/>
      <c r="BR9" s="1815"/>
      <c r="BS9" s="1815"/>
      <c r="BT9" s="26"/>
    </row>
    <row r="10" spans="1:72" s="2187" customFormat="1" ht="12.75">
      <c r="A10" s="2180"/>
      <c r="B10" s="2180"/>
      <c r="C10" s="2180"/>
      <c r="D10" s="2180"/>
      <c r="E10" s="2180"/>
      <c r="F10" s="2180"/>
      <c r="G10" s="1290"/>
      <c r="H10" s="28"/>
      <c r="I10" s="2189" t="s">
        <v>3049</v>
      </c>
      <c r="J10" s="979"/>
      <c r="K10" s="2195"/>
      <c r="L10" s="979"/>
      <c r="M10" s="2195"/>
      <c r="N10" s="979"/>
      <c r="O10" s="2195"/>
      <c r="P10" s="979"/>
      <c r="Q10" s="2195"/>
      <c r="R10" s="979"/>
      <c r="S10" s="2195"/>
      <c r="T10" s="979"/>
      <c r="U10" s="2195"/>
      <c r="V10" s="979"/>
      <c r="W10" s="2195"/>
      <c r="X10" s="979"/>
      <c r="Y10" s="2195"/>
      <c r="Z10" s="979"/>
      <c r="AA10" s="2195"/>
      <c r="AB10" s="979"/>
      <c r="AC10" s="1290"/>
      <c r="AD10" s="15" t="s">
        <v>1906</v>
      </c>
      <c r="AE10" s="2196"/>
      <c r="AF10" s="15" t="s">
        <v>1906</v>
      </c>
      <c r="AG10" s="2196"/>
      <c r="AH10" s="15" t="s">
        <v>1907</v>
      </c>
      <c r="AI10" s="2196"/>
      <c r="AJ10" s="15" t="s">
        <v>1907</v>
      </c>
      <c r="AK10" s="2196"/>
      <c r="AL10" s="15" t="s">
        <v>1908</v>
      </c>
      <c r="AM10" s="1296"/>
      <c r="AN10" s="15" t="s">
        <v>1908</v>
      </c>
      <c r="AO10" s="1296"/>
      <c r="AP10" s="15" t="s">
        <v>1909</v>
      </c>
      <c r="AQ10" s="1296"/>
      <c r="AR10" s="15" t="s">
        <v>1909</v>
      </c>
      <c r="AS10" s="1296"/>
      <c r="AT10" s="2180"/>
      <c r="AU10" s="2180"/>
      <c r="AV10" s="1290"/>
      <c r="AW10" s="2163"/>
      <c r="AX10" s="1290"/>
      <c r="AY10" s="28"/>
      <c r="AZ10" s="28"/>
      <c r="BA10" s="2197" t="s">
        <v>1900</v>
      </c>
      <c r="BB10" s="2198" t="str">
        <f>I9</f>
        <v>地上</v>
      </c>
      <c r="BC10" s="29">
        <f>K9</f>
        <v>0</v>
      </c>
      <c r="BD10" s="29">
        <f>M9</f>
        <v>0</v>
      </c>
      <c r="BE10" s="29">
        <f>O9</f>
        <v>0</v>
      </c>
      <c r="BF10" s="29">
        <f>Q9</f>
        <v>0</v>
      </c>
      <c r="BG10" s="29">
        <f>S9</f>
        <v>0</v>
      </c>
      <c r="BH10" s="29">
        <f>U9</f>
        <v>0</v>
      </c>
      <c r="BI10" s="29">
        <f>W9</f>
        <v>0</v>
      </c>
      <c r="BJ10" s="29">
        <f>Y9</f>
        <v>0</v>
      </c>
      <c r="BK10" s="29">
        <f>AA9</f>
        <v>0</v>
      </c>
      <c r="BL10" s="25" t="s">
        <v>1900</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90"/>
      <c r="H11" s="2197"/>
      <c r="I11" s="2200" t="s">
        <v>3050</v>
      </c>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1910</v>
      </c>
      <c r="AE11" s="1816"/>
      <c r="AF11" s="2202" t="s">
        <v>1910</v>
      </c>
      <c r="AG11" s="1816"/>
      <c r="AH11" s="2202" t="s">
        <v>1911</v>
      </c>
      <c r="AI11" s="2203"/>
      <c r="AJ11" s="2202" t="s">
        <v>1911</v>
      </c>
      <c r="AK11" s="1816"/>
      <c r="AL11" s="1814"/>
      <c r="AM11" s="1816"/>
      <c r="AN11" s="1814"/>
      <c r="AO11" s="1816"/>
      <c r="AP11" s="1814"/>
      <c r="AQ11" s="1816"/>
      <c r="AR11" s="1814"/>
      <c r="AS11" s="1816"/>
      <c r="AT11" s="2163"/>
      <c r="AU11" s="2180"/>
      <c r="AV11" s="1290"/>
      <c r="AW11" s="2163"/>
      <c r="AX11" s="1290"/>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9" t="s">
        <v>1913</v>
      </c>
      <c r="W12" s="11" t="s">
        <v>1912</v>
      </c>
      <c r="X12" s="11" t="s">
        <v>1913</v>
      </c>
      <c r="Y12" s="11" t="s">
        <v>1912</v>
      </c>
      <c r="Z12" s="11" t="s">
        <v>1913</v>
      </c>
      <c r="AA12" s="11" t="s">
        <v>1912</v>
      </c>
      <c r="AB12" s="11" t="s">
        <v>1913</v>
      </c>
      <c r="AC12" s="2207"/>
      <c r="AD12" s="1803"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普通住宅</v>
      </c>
      <c r="BC12" s="2210">
        <f>K11</f>
        <v>0</v>
      </c>
      <c r="BD12" s="2210">
        <f>M11</f>
        <v>0</v>
      </c>
      <c r="BE12" s="2185">
        <f>O11</f>
        <v>0</v>
      </c>
      <c r="BF12" s="2185">
        <f>Q11</f>
        <v>0</v>
      </c>
      <c r="BG12" s="2185">
        <f>S11</f>
        <v>0</v>
      </c>
      <c r="BH12" s="2185">
        <f>U11</f>
        <v>0</v>
      </c>
      <c r="BI12" s="2185">
        <f>W11</f>
        <v>0</v>
      </c>
      <c r="BJ12" s="2185">
        <f>Y11</f>
        <v>0</v>
      </c>
      <c r="BK12" s="2185">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25.5">
      <c r="A13" s="1270"/>
      <c r="B13" s="1270"/>
      <c r="C13" s="2942" t="s">
        <v>3377</v>
      </c>
      <c r="D13" s="2211" t="s">
        <v>3051</v>
      </c>
      <c r="E13" s="16">
        <f>IF($C$3="是",ROUND($A$3*G13/$B$3,2),ROUND($A$3*(G13-AT13)/$B$3,2))</f>
        <v>0.4</v>
      </c>
      <c r="F13" s="32"/>
      <c r="G13" s="33">
        <f>H13+AC13+AT13</f>
        <v>1</v>
      </c>
      <c r="H13" s="20">
        <f>SUMIF(I$12:AB$12,"总值",I13:AB13)</f>
        <v>1</v>
      </c>
      <c r="I13" s="2212">
        <v>1</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DX00-1002-003</v>
      </c>
      <c r="AY13" s="1803">
        <f>ROUND($AY$6*AZ13/$AZ$5,2)</f>
        <v>0.4</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7" t="s">
        <v>0</v>
      </c>
      <c r="B1" s="3197" t="s">
        <v>4</v>
      </c>
      <c r="C1" s="3197" t="s">
        <v>5</v>
      </c>
      <c r="D1" s="3198" t="s">
        <v>53</v>
      </c>
      <c r="E1" s="3198" t="s">
        <v>54</v>
      </c>
      <c r="F1" s="3198"/>
      <c r="G1" s="3198"/>
      <c r="H1" s="3198"/>
      <c r="I1" s="3198"/>
      <c r="J1" s="3198"/>
      <c r="K1" s="3198"/>
      <c r="L1" s="3198"/>
      <c r="M1" s="3198"/>
    </row>
    <row r="2" spans="1:13" ht="27" customHeight="1">
      <c r="A2" s="3197"/>
      <c r="B2" s="3197"/>
      <c r="C2" s="3197"/>
      <c r="D2" s="3198"/>
      <c r="E2" s="3198" t="s">
        <v>37</v>
      </c>
      <c r="F2" s="3198" t="s">
        <v>38</v>
      </c>
      <c r="G2" s="3198"/>
      <c r="H2" s="3198"/>
      <c r="I2" s="3198"/>
      <c r="J2" s="3198" t="s">
        <v>39</v>
      </c>
      <c r="K2" s="3198"/>
      <c r="L2" s="3198"/>
      <c r="M2" s="3198"/>
    </row>
    <row r="3" spans="1:13" ht="28.5">
      <c r="A3" s="3197"/>
      <c r="B3" s="3197"/>
      <c r="C3" s="3197"/>
      <c r="D3" s="3198"/>
      <c r="E3" s="31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8" t="s">
        <v>55</v>
      </c>
      <c r="B9" s="3198"/>
      <c r="C9" s="31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6" sqref="F26"/>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89"/>
      <c r="C1" s="1389"/>
      <c r="D1" s="1389"/>
      <c r="E1" s="1389"/>
      <c r="F1" s="1389"/>
      <c r="G1" s="1389"/>
      <c r="H1" s="1389"/>
      <c r="I1" s="1389"/>
      <c r="J1" s="1389"/>
      <c r="K1" s="1389"/>
      <c r="L1" s="1389"/>
      <c r="M1" s="1389"/>
      <c r="N1" s="1389"/>
      <c r="O1" s="1389"/>
      <c r="P1" s="1389"/>
    </row>
    <row r="2" spans="1:16" ht="15">
      <c r="A2" s="3208" t="s">
        <v>1940</v>
      </c>
      <c r="B2" s="3208"/>
      <c r="C2" s="3208"/>
      <c r="D2" s="965" t="s">
        <v>1916</v>
      </c>
      <c r="E2" s="2225" t="s">
        <v>1917</v>
      </c>
      <c r="F2" s="1389"/>
      <c r="G2" s="2226"/>
      <c r="H2" s="2227"/>
      <c r="I2" s="2228" t="s">
        <v>1941</v>
      </c>
      <c r="J2" s="1389"/>
      <c r="K2" s="1389"/>
      <c r="L2" s="1389"/>
      <c r="M2" s="1389"/>
      <c r="N2" s="1424"/>
      <c r="O2" s="1389"/>
      <c r="P2" s="1389"/>
    </row>
    <row r="3" spans="1:16" ht="15.75" thickBot="1">
      <c r="A3" s="3209" t="s">
        <v>1914</v>
      </c>
      <c r="B3" s="3209"/>
      <c r="C3" s="3209"/>
      <c r="D3" s="46">
        <f>'数据-基础表'!AY6</f>
        <v>0.4</v>
      </c>
      <c r="E3" s="46">
        <f>'数据-基础表'!AZ5</f>
        <v>1</v>
      </c>
      <c r="F3" s="1389"/>
      <c r="G3" s="1396"/>
      <c r="H3" s="1245" t="s">
        <v>1915</v>
      </c>
      <c r="I3" s="55">
        <f>ROUND('数据-基础表'!B3/'数据-基础表'!A3,2)</f>
        <v>2.5</v>
      </c>
      <c r="J3" s="1389"/>
      <c r="K3" s="1389"/>
      <c r="L3" s="1389"/>
      <c r="M3" s="1389"/>
      <c r="N3" s="1424"/>
      <c r="O3" s="1389"/>
      <c r="P3" s="1389"/>
    </row>
    <row r="4" spans="1:16" ht="15">
      <c r="A4" s="3210"/>
      <c r="B4" s="3211"/>
      <c r="C4" s="3212"/>
      <c r="D4" s="2229" t="s">
        <v>1916</v>
      </c>
      <c r="E4" s="2230" t="s">
        <v>1917</v>
      </c>
      <c r="F4" s="1389"/>
      <c r="G4" s="2231" t="s">
        <v>1942</v>
      </c>
      <c r="H4" s="1245" t="s">
        <v>1922</v>
      </c>
      <c r="I4" s="55">
        <f>ROUND(SUMIF('数据-基础表'!I9:AS9,"地上",'数据-基础表'!I5:AS5)/'数据-基础表'!A3,2)</f>
        <v>2.5</v>
      </c>
      <c r="J4" s="1389"/>
      <c r="K4" s="1389"/>
      <c r="L4" s="1389"/>
      <c r="M4" s="1389"/>
      <c r="N4" s="1424"/>
      <c r="O4" s="1389"/>
      <c r="P4" s="1389"/>
    </row>
    <row r="5" spans="1:16">
      <c r="A5" s="47" t="s">
        <v>1918</v>
      </c>
      <c r="B5" s="3213" t="s">
        <v>1919</v>
      </c>
      <c r="C5" s="3213"/>
      <c r="D5" s="48">
        <f>ROUND($D$3*E5/$E$3,2)</f>
        <v>0.4</v>
      </c>
      <c r="E5" s="49">
        <f>SUMIF('数据-基础表'!$11:$11,"住宅",'数据-基础表'!$5:$5)</f>
        <v>1</v>
      </c>
      <c r="F5" s="1389"/>
      <c r="G5" s="1396"/>
      <c r="H5" s="1245" t="s">
        <v>1915</v>
      </c>
      <c r="I5" s="55">
        <f>ROUND(E31/D31,2)</f>
        <v>2.5</v>
      </c>
      <c r="J5" s="1389"/>
      <c r="K5" s="1389"/>
      <c r="L5" s="1389"/>
      <c r="M5" s="1389"/>
      <c r="N5" s="1389"/>
      <c r="O5" s="1389"/>
      <c r="P5" s="1389"/>
    </row>
    <row r="6" spans="1:16" ht="15" thickBot="1">
      <c r="A6" s="2232"/>
      <c r="B6" s="3213" t="s">
        <v>1920</v>
      </c>
      <c r="C6" s="3213"/>
      <c r="D6" s="48">
        <f>ROUND($D$3*E6/$E$3,2)</f>
        <v>0</v>
      </c>
      <c r="E6" s="49">
        <f>E3-E5</f>
        <v>0</v>
      </c>
      <c r="F6" s="1389"/>
      <c r="G6" s="2233" t="s">
        <v>1921</v>
      </c>
      <c r="H6" s="1396" t="s">
        <v>1922</v>
      </c>
      <c r="I6" s="937">
        <f>ROUND(F31/D31,2)</f>
        <v>2.5</v>
      </c>
      <c r="J6" s="1389"/>
      <c r="K6" s="1389"/>
      <c r="L6" s="1389"/>
      <c r="M6" s="1389"/>
      <c r="N6" s="1389"/>
      <c r="O6" s="1389"/>
      <c r="P6" s="1389"/>
    </row>
    <row r="7" spans="1:16" ht="15">
      <c r="A7" s="3205"/>
      <c r="B7" s="3206"/>
      <c r="C7" s="3207"/>
      <c r="D7" s="2229" t="s">
        <v>1916</v>
      </c>
      <c r="E7" s="2234" t="s">
        <v>1923</v>
      </c>
      <c r="F7" s="1389"/>
      <c r="G7" s="2226" t="s">
        <v>1924</v>
      </c>
      <c r="H7" s="64"/>
      <c r="I7" s="417">
        <v>2.5</v>
      </c>
      <c r="J7" s="1389"/>
      <c r="K7" s="1389"/>
      <c r="L7" s="1389"/>
      <c r="M7" s="1389"/>
      <c r="N7" s="1389"/>
      <c r="O7" s="1389"/>
      <c r="P7" s="1389"/>
    </row>
    <row r="8" spans="1:16">
      <c r="A8" s="47" t="s">
        <v>1925</v>
      </c>
      <c r="B8" s="50" t="s">
        <v>1926</v>
      </c>
      <c r="C8" s="48" t="s">
        <v>1927</v>
      </c>
      <c r="D8" s="48">
        <f t="shared" ref="D8:D15" si="0">ROUND($D$3*E8/$E$3,2)</f>
        <v>0.4</v>
      </c>
      <c r="E8" s="51">
        <f>SUMIF('数据-基础表'!BB10:BK10,"地上",'数据-基础表'!BB5:BK5)</f>
        <v>1</v>
      </c>
      <c r="F8" s="1389"/>
      <c r="G8" s="2235"/>
      <c r="H8" s="2235"/>
      <c r="I8" s="1389"/>
      <c r="J8" s="1389"/>
      <c r="K8" s="1389"/>
      <c r="L8" s="1389"/>
      <c r="M8" s="1389"/>
      <c r="N8" s="1389"/>
      <c r="O8" s="1389"/>
      <c r="P8" s="1389"/>
    </row>
    <row r="9" spans="1:16">
      <c r="A9" s="2236"/>
      <c r="B9" s="2237"/>
      <c r="C9" s="48" t="s">
        <v>1928</v>
      </c>
      <c r="D9" s="48">
        <f t="shared" si="0"/>
        <v>0</v>
      </c>
      <c r="E9" s="52">
        <v>0</v>
      </c>
      <c r="F9" s="1389"/>
      <c r="G9" s="2235"/>
      <c r="H9" s="2235"/>
      <c r="I9" s="1389"/>
      <c r="J9" s="1389"/>
      <c r="K9" s="1389"/>
      <c r="L9" s="1389"/>
      <c r="M9" s="1389"/>
      <c r="N9" s="1389"/>
      <c r="O9" s="1389"/>
      <c r="P9" s="1389"/>
    </row>
    <row r="10" spans="1:16">
      <c r="A10" s="2236"/>
      <c r="B10" s="2237"/>
      <c r="C10" s="48" t="s">
        <v>1937</v>
      </c>
      <c r="D10" s="48">
        <f t="shared" si="0"/>
        <v>0</v>
      </c>
      <c r="E10" s="51">
        <f>SUMPRODUCT(('数据-基础表'!BB10:BK10="地下")*('数据-基础表'!BB11:BK11="商业")*('数据-基础表'!BB5:BK5))</f>
        <v>0</v>
      </c>
      <c r="F10" s="1389"/>
      <c r="G10" s="2235"/>
      <c r="H10" s="2235"/>
      <c r="I10" s="1389"/>
      <c r="J10" s="1389"/>
      <c r="K10" s="1389"/>
      <c r="L10" s="1389"/>
      <c r="M10" s="1389"/>
      <c r="N10" s="1389"/>
      <c r="O10" s="1389"/>
      <c r="P10" s="1389"/>
    </row>
    <row r="11" spans="1:16">
      <c r="A11" s="2236"/>
      <c r="B11" s="2237"/>
      <c r="C11" s="48" t="s">
        <v>1929</v>
      </c>
      <c r="D11" s="48">
        <f t="shared" si="0"/>
        <v>0</v>
      </c>
      <c r="E11" s="51">
        <f>SUMPRODUCT(('数据-基础表'!BB10:BK10="地下")*('数据-基础表'!BB11:BK11="办公")*('数据-基础表'!BB5:BK5))+'数据-基础表'!BP5</f>
        <v>0</v>
      </c>
      <c r="F11" s="1389"/>
      <c r="G11" s="2235"/>
      <c r="H11" s="2235"/>
      <c r="I11" s="1389"/>
      <c r="J11" s="1389"/>
      <c r="K11" s="1389"/>
      <c r="L11" s="1389"/>
      <c r="M11" s="1389"/>
      <c r="N11" s="1389"/>
      <c r="O11" s="1389"/>
      <c r="P11" s="1389"/>
    </row>
    <row r="12" spans="1:16">
      <c r="A12" s="2236"/>
      <c r="B12" s="2237"/>
      <c r="C12" s="48" t="s">
        <v>1930</v>
      </c>
      <c r="D12" s="48">
        <f t="shared" si="0"/>
        <v>0</v>
      </c>
      <c r="E12" s="51">
        <f>SUMPRODUCT(('数据-基础表'!BB10:BK10="地下")*('数据-基础表'!BB11:BK11="仓储")*('数据-基础表'!BB5:BK5))</f>
        <v>0</v>
      </c>
      <c r="F12" s="1389"/>
      <c r="G12" s="2235"/>
      <c r="H12" s="2235"/>
      <c r="I12" s="1389"/>
      <c r="J12" s="1389"/>
      <c r="K12" s="1389"/>
      <c r="L12" s="1389"/>
      <c r="M12" s="1389"/>
      <c r="N12" s="1389"/>
      <c r="O12" s="1389"/>
      <c r="P12" s="1389"/>
    </row>
    <row r="13" spans="1:16">
      <c r="A13" s="2236"/>
      <c r="B13" s="2237"/>
      <c r="C13" s="48" t="s">
        <v>1931</v>
      </c>
      <c r="D13" s="48">
        <f t="shared" si="0"/>
        <v>0</v>
      </c>
      <c r="E13" s="51">
        <f>SUMPRODUCT(('数据-基础表'!BB10:BK10="地下")*('数据-基础表'!BB11:BK11="车库")*('数据-基础表'!BB5:BK5))</f>
        <v>0</v>
      </c>
      <c r="F13" s="1389"/>
      <c r="G13" s="2235"/>
      <c r="H13" s="2235"/>
      <c r="I13" s="1389"/>
      <c r="J13" s="1389"/>
      <c r="K13" s="1389"/>
      <c r="L13" s="1389"/>
      <c r="M13" s="1389"/>
      <c r="N13" s="1389"/>
      <c r="O13" s="1389"/>
      <c r="P13" s="1389"/>
    </row>
    <row r="14" spans="1:16">
      <c r="A14" s="2236"/>
      <c r="B14" s="2237"/>
      <c r="C14" s="48" t="s">
        <v>1943</v>
      </c>
      <c r="D14" s="48">
        <f t="shared" si="0"/>
        <v>0</v>
      </c>
      <c r="E14" s="51">
        <f>SUMPRODUCT(('数据-基础表'!BB10:BK10="地下")*('数据-基础表'!BB11:BK11="车库—商业")*('数据-基础表'!BB5:BK5))</f>
        <v>0</v>
      </c>
      <c r="F14" s="1389"/>
      <c r="G14" s="2235"/>
      <c r="H14" s="2235"/>
      <c r="I14" s="1389"/>
      <c r="J14" s="1389"/>
      <c r="K14" s="1389"/>
      <c r="L14" s="1389"/>
      <c r="M14" s="1389"/>
      <c r="N14" s="1389"/>
      <c r="O14" s="1389"/>
      <c r="P14" s="1389"/>
    </row>
    <row r="15" spans="1:16" ht="15" thickBot="1">
      <c r="A15" s="2236"/>
      <c r="B15" s="2237"/>
      <c r="C15" s="48" t="s">
        <v>1938</v>
      </c>
      <c r="D15" s="48">
        <f t="shared" si="0"/>
        <v>0</v>
      </c>
      <c r="E15" s="51">
        <f>SUMPRODUCT(('数据-基础表'!BB10:BK10="地下")*('数据-基础表'!BB11:BK11="车库—办公")*('数据-基础表'!BB5:BK5))</f>
        <v>0</v>
      </c>
      <c r="F15" s="1389"/>
      <c r="G15" s="2235"/>
      <c r="H15" s="2235"/>
      <c r="I15" s="1389"/>
      <c r="J15" s="1389"/>
      <c r="K15" s="1389"/>
      <c r="L15" s="1389"/>
      <c r="M15" s="1389"/>
      <c r="N15" s="1389"/>
      <c r="O15" s="1389"/>
      <c r="P15" s="1389"/>
    </row>
    <row r="16" spans="1:16" ht="15.75" thickBot="1">
      <c r="A16" s="2232"/>
      <c r="B16" s="2237"/>
      <c r="C16" s="50" t="s">
        <v>1932</v>
      </c>
      <c r="D16" s="50">
        <f>SUM(D8:D15)</f>
        <v>0.4</v>
      </c>
      <c r="E16" s="53">
        <f>SUM(E8:E15)</f>
        <v>1</v>
      </c>
      <c r="F16" s="1389"/>
      <c r="G16" s="2235"/>
      <c r="H16" s="2238" t="s">
        <v>1944</v>
      </c>
      <c r="I16" s="2239"/>
      <c r="J16" s="1389"/>
      <c r="K16" s="3202" t="s">
        <v>1944</v>
      </c>
      <c r="L16" s="3203"/>
      <c r="M16" s="3203"/>
      <c r="N16" s="3203"/>
      <c r="O16" s="3203"/>
      <c r="P16" s="3204"/>
    </row>
    <row r="17" spans="1:19" ht="15">
      <c r="A17" s="2240" t="s">
        <v>1945</v>
      </c>
      <c r="B17" s="2241" t="s">
        <v>1946</v>
      </c>
      <c r="C17" s="2242" t="s">
        <v>1947</v>
      </c>
      <c r="D17" s="2243" t="s">
        <v>1935</v>
      </c>
      <c r="E17" s="2244" t="s">
        <v>1936</v>
      </c>
      <c r="F17" s="2245"/>
      <c r="G17" s="2246"/>
      <c r="H17" s="2247" t="s">
        <v>1948</v>
      </c>
      <c r="I17" s="2248" t="s">
        <v>1933</v>
      </c>
      <c r="J17" s="1389"/>
      <c r="K17" s="3199" t="s">
        <v>1949</v>
      </c>
      <c r="L17" s="3200"/>
      <c r="M17" s="3201"/>
      <c r="N17" s="3199" t="s">
        <v>1950</v>
      </c>
      <c r="O17" s="3200"/>
      <c r="P17" s="3201"/>
      <c r="R17" s="2226" t="s">
        <v>1951</v>
      </c>
      <c r="S17" s="64"/>
    </row>
    <row r="18" spans="1:19" ht="15">
      <c r="A18" s="2236"/>
      <c r="B18" s="2249"/>
      <c r="C18" s="2250"/>
      <c r="D18" s="2251"/>
      <c r="E18" s="2252" t="s">
        <v>1952</v>
      </c>
      <c r="F18" s="2253" t="s">
        <v>1953</v>
      </c>
      <c r="G18" s="2254" t="s">
        <v>1954</v>
      </c>
      <c r="H18" s="1260" t="s">
        <v>1955</v>
      </c>
      <c r="I18" s="2255" t="s">
        <v>1956</v>
      </c>
      <c r="J18" s="1389"/>
      <c r="K18" s="1260" t="s">
        <v>1957</v>
      </c>
      <c r="L18" s="2256" t="s">
        <v>1958</v>
      </c>
      <c r="M18" s="1044" t="s">
        <v>1959</v>
      </c>
      <c r="N18" s="1260" t="s">
        <v>1957</v>
      </c>
      <c r="O18" s="2256" t="s">
        <v>1958</v>
      </c>
      <c r="P18" s="1044" t="s">
        <v>1959</v>
      </c>
      <c r="R18" s="1245" t="s">
        <v>1960</v>
      </c>
      <c r="S18" s="1245" t="s">
        <v>1961</v>
      </c>
    </row>
    <row r="19" spans="1:19">
      <c r="A19" s="2257"/>
      <c r="B19" s="50" t="s">
        <v>1934</v>
      </c>
      <c r="C19" s="2943" t="str">
        <f>'数据-基础表'!C13</f>
        <v>DX00-1002-003</v>
      </c>
      <c r="D19" s="48">
        <f>ROUND($D$3*E19/$E$3,2)</f>
        <v>0.4</v>
      </c>
      <c r="E19" s="56">
        <f t="shared" ref="E19:E26" si="1">SUM(F19:G19)</f>
        <v>1</v>
      </c>
      <c r="F19" s="57">
        <f>'数据-基础表'!I13</f>
        <v>1</v>
      </c>
      <c r="G19" s="58"/>
      <c r="H19" s="718">
        <f>ROUND($D$3*I19/$E$3,2)</f>
        <v>0</v>
      </c>
      <c r="I19" s="51">
        <f t="shared" ref="I19:I26" si="2">IF($I$17="自定义",P19,M19)</f>
        <v>0</v>
      </c>
      <c r="J19" s="1389"/>
      <c r="K19" s="1388">
        <f t="shared" ref="K19:K26" si="3">ROUND(E$28*E19/E$27,2)</f>
        <v>0</v>
      </c>
      <c r="L19" s="1245">
        <f t="shared" ref="L19:L26" si="4">ROUND(IF(COUNTIF(C19,"*住宅*")&gt;0,E$29*E19/E$32,0),2)</f>
        <v>0</v>
      </c>
      <c r="M19" s="1400">
        <f>K19+L19</f>
        <v>0</v>
      </c>
      <c r="N19" s="2259"/>
      <c r="O19" s="2260"/>
      <c r="P19" s="1400">
        <f>N19+O19</f>
        <v>0</v>
      </c>
      <c r="R19" s="1245">
        <f t="shared" ref="R19:S26" si="5">D19+H19</f>
        <v>0.4</v>
      </c>
      <c r="S19" s="1246">
        <f t="shared" si="5"/>
        <v>1</v>
      </c>
    </row>
    <row r="20" spans="1:19">
      <c r="A20" s="2261"/>
      <c r="B20" s="50" t="s">
        <v>1962</v>
      </c>
      <c r="C20" s="2258"/>
      <c r="D20" s="48">
        <f t="shared" ref="D20:D26" si="6">ROUND($D$3*E20/$E$3,2)</f>
        <v>0</v>
      </c>
      <c r="E20" s="56">
        <f t="shared" si="1"/>
        <v>0</v>
      </c>
      <c r="F20" s="57"/>
      <c r="G20" s="58"/>
      <c r="H20" s="718">
        <f t="shared" ref="H20:H26" si="7">ROUND($D$3*I20/$E$3,2)</f>
        <v>0</v>
      </c>
      <c r="I20" s="51">
        <f t="shared" si="2"/>
        <v>0</v>
      </c>
      <c r="J20" s="1389"/>
      <c r="K20" s="1388">
        <f t="shared" si="3"/>
        <v>0</v>
      </c>
      <c r="L20" s="1245">
        <f t="shared" si="4"/>
        <v>0</v>
      </c>
      <c r="M20" s="1400">
        <f t="shared" ref="M20:M26" si="8">K20+L20</f>
        <v>0</v>
      </c>
      <c r="N20" s="2259"/>
      <c r="O20" s="2260"/>
      <c r="P20" s="1400">
        <f t="shared" ref="P20:P26" si="9">N20+O20</f>
        <v>0</v>
      </c>
      <c r="R20" s="1245">
        <f t="shared" si="5"/>
        <v>0</v>
      </c>
      <c r="S20" s="1246">
        <f t="shared" si="5"/>
        <v>0</v>
      </c>
    </row>
    <row r="21" spans="1:19">
      <c r="A21" s="2261"/>
      <c r="B21" s="50" t="s">
        <v>1962</v>
      </c>
      <c r="C21" s="2258"/>
      <c r="D21" s="48">
        <f t="shared" si="6"/>
        <v>0</v>
      </c>
      <c r="E21" s="56">
        <f t="shared" si="1"/>
        <v>0</v>
      </c>
      <c r="F21" s="57"/>
      <c r="G21" s="58"/>
      <c r="H21" s="718">
        <f t="shared" si="7"/>
        <v>0</v>
      </c>
      <c r="I21" s="51">
        <f t="shared" si="2"/>
        <v>0</v>
      </c>
      <c r="J21" s="1389"/>
      <c r="K21" s="1388">
        <f t="shared" si="3"/>
        <v>0</v>
      </c>
      <c r="L21" s="1245">
        <f t="shared" si="4"/>
        <v>0</v>
      </c>
      <c r="M21" s="1400">
        <f t="shared" si="8"/>
        <v>0</v>
      </c>
      <c r="N21" s="2259"/>
      <c r="O21" s="2260"/>
      <c r="P21" s="1400">
        <f t="shared" si="9"/>
        <v>0</v>
      </c>
      <c r="R21" s="1245">
        <f t="shared" si="5"/>
        <v>0</v>
      </c>
      <c r="S21" s="1246">
        <f t="shared" si="5"/>
        <v>0</v>
      </c>
    </row>
    <row r="22" spans="1:19">
      <c r="A22" s="2261"/>
      <c r="B22" s="50" t="s">
        <v>1962</v>
      </c>
      <c r="C22" s="60"/>
      <c r="D22" s="48">
        <f t="shared" si="6"/>
        <v>0</v>
      </c>
      <c r="E22" s="56">
        <f t="shared" si="1"/>
        <v>0</v>
      </c>
      <c r="F22" s="61"/>
      <c r="G22" s="62"/>
      <c r="H22" s="718">
        <f t="shared" si="7"/>
        <v>0</v>
      </c>
      <c r="I22" s="51">
        <f t="shared" si="2"/>
        <v>0</v>
      </c>
      <c r="J22" s="1389"/>
      <c r="K22" s="1388">
        <f t="shared" si="3"/>
        <v>0</v>
      </c>
      <c r="L22" s="1245">
        <f t="shared" si="4"/>
        <v>0</v>
      </c>
      <c r="M22" s="1400">
        <f t="shared" si="8"/>
        <v>0</v>
      </c>
      <c r="N22" s="2259"/>
      <c r="O22" s="2260"/>
      <c r="P22" s="1400">
        <f t="shared" si="9"/>
        <v>0</v>
      </c>
      <c r="R22" s="1245">
        <f t="shared" si="5"/>
        <v>0</v>
      </c>
      <c r="S22" s="1246">
        <f t="shared" si="5"/>
        <v>0</v>
      </c>
    </row>
    <row r="23" spans="1:19">
      <c r="A23" s="2261"/>
      <c r="B23" s="50" t="s">
        <v>1962</v>
      </c>
      <c r="C23" s="60"/>
      <c r="D23" s="48">
        <f>ROUND($D$3*E23/$E$3,2)</f>
        <v>0</v>
      </c>
      <c r="E23" s="56">
        <f>SUM(F23:G23)</f>
        <v>0</v>
      </c>
      <c r="F23" s="61"/>
      <c r="G23" s="62"/>
      <c r="H23" s="718">
        <f>ROUND($D$3*I23/$E$3,2)</f>
        <v>0</v>
      </c>
      <c r="I23" s="51">
        <f t="shared" si="2"/>
        <v>0</v>
      </c>
      <c r="J23" s="1389"/>
      <c r="K23" s="1388">
        <f t="shared" si="3"/>
        <v>0</v>
      </c>
      <c r="L23" s="1245">
        <f t="shared" si="4"/>
        <v>0</v>
      </c>
      <c r="M23" s="1400">
        <f t="shared" si="8"/>
        <v>0</v>
      </c>
      <c r="N23" s="2259"/>
      <c r="O23" s="2260"/>
      <c r="P23" s="1400">
        <f t="shared" si="9"/>
        <v>0</v>
      </c>
      <c r="R23" s="1245">
        <f t="shared" si="5"/>
        <v>0</v>
      </c>
      <c r="S23" s="1246">
        <f t="shared" si="5"/>
        <v>0</v>
      </c>
    </row>
    <row r="24" spans="1:19">
      <c r="A24" s="2261"/>
      <c r="B24" s="50" t="s">
        <v>1962</v>
      </c>
      <c r="C24" s="60"/>
      <c r="D24" s="48">
        <f>ROUND($D$3*E24/$E$3,2)</f>
        <v>0</v>
      </c>
      <c r="E24" s="56">
        <f>SUM(F24:G24)</f>
        <v>0</v>
      </c>
      <c r="F24" s="61"/>
      <c r="G24" s="62"/>
      <c r="H24" s="718">
        <f>ROUND($D$3*I24/$E$3,2)</f>
        <v>0</v>
      </c>
      <c r="I24" s="51">
        <f t="shared" si="2"/>
        <v>0</v>
      </c>
      <c r="J24" s="1389"/>
      <c r="K24" s="1388">
        <f t="shared" si="3"/>
        <v>0</v>
      </c>
      <c r="L24" s="1245">
        <f t="shared" si="4"/>
        <v>0</v>
      </c>
      <c r="M24" s="1400">
        <f t="shared" si="8"/>
        <v>0</v>
      </c>
      <c r="N24" s="2259"/>
      <c r="O24" s="2260"/>
      <c r="P24" s="1400">
        <f t="shared" si="9"/>
        <v>0</v>
      </c>
      <c r="R24" s="1245">
        <f t="shared" si="5"/>
        <v>0</v>
      </c>
      <c r="S24" s="1246">
        <f t="shared" si="5"/>
        <v>0</v>
      </c>
    </row>
    <row r="25" spans="1:19">
      <c r="A25" s="2261"/>
      <c r="B25" s="50" t="s">
        <v>1962</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59"/>
      <c r="O25" s="2260"/>
      <c r="P25" s="1400">
        <f t="shared" si="9"/>
        <v>0</v>
      </c>
      <c r="R25" s="1245">
        <f t="shared" si="5"/>
        <v>0</v>
      </c>
      <c r="S25" s="1246">
        <f t="shared" si="5"/>
        <v>0</v>
      </c>
    </row>
    <row r="26" spans="1:19">
      <c r="A26" s="2261"/>
      <c r="B26" s="50" t="s">
        <v>1962</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2"/>
      <c r="O26" s="2263"/>
      <c r="P26" s="67">
        <f t="shared" si="9"/>
        <v>0</v>
      </c>
      <c r="R26" s="1245">
        <f t="shared" si="5"/>
        <v>0</v>
      </c>
      <c r="S26" s="1246">
        <f t="shared" si="5"/>
        <v>0</v>
      </c>
    </row>
    <row r="27" spans="1:19" ht="15.75" thickBot="1">
      <c r="A27" s="2261"/>
      <c r="B27" s="48"/>
      <c r="C27" s="2264" t="s">
        <v>1963</v>
      </c>
      <c r="D27" s="1390">
        <f>SUM(D19:D26)</f>
        <v>0.4</v>
      </c>
      <c r="E27" s="1391">
        <f>IF(SUM(E19:E26)='数据-基础表'!BA5,SUM(E19:E26),IF(F27="地上面积有误","面积有误","地下面积有误"))</f>
        <v>1</v>
      </c>
      <c r="F27" s="1390">
        <f>IF(SUM(F19:F26)=E8,SUM(F19:F26),"地上面积有误")</f>
        <v>1</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7">
        <f>IF(SUM(R19:R26)=$D$3,SUM(R19:R26),SUM(R19:R26)&amp;"误差"&amp;ROUND(SUM(R19:R26)-$D$3,2))</f>
        <v>0.4</v>
      </c>
      <c r="S27" s="1245">
        <f>IF(SUM(S19:S26)=$E$3,SUM(S19:S26),SUM(S19:S26)&amp;"误差"&amp;ROUND(SUM(S19:S26)-E3,2))</f>
        <v>1</v>
      </c>
    </row>
    <row r="28" spans="1:19">
      <c r="A28" s="2261"/>
      <c r="B28" s="50" t="s">
        <v>1964</v>
      </c>
      <c r="C28" s="1257" t="s">
        <v>1965</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61"/>
      <c r="B29" s="50" t="s">
        <v>1964</v>
      </c>
      <c r="C29" s="2265" t="s">
        <v>1966</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61"/>
      <c r="B30" s="50"/>
      <c r="C30" s="2266" t="s">
        <v>1963</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7"/>
      <c r="B31" s="2268"/>
      <c r="C31" s="1005" t="s">
        <v>1967</v>
      </c>
      <c r="D31" s="724">
        <f>D27+D30</f>
        <v>0.4</v>
      </c>
      <c r="E31" s="724">
        <f>E27+E30</f>
        <v>1</v>
      </c>
      <c r="F31" s="725">
        <f>F27+F30</f>
        <v>1</v>
      </c>
      <c r="G31" s="726">
        <f>G27+G30</f>
        <v>0</v>
      </c>
      <c r="H31" s="1389"/>
      <c r="I31" s="1389"/>
      <c r="J31" s="1389"/>
      <c r="K31" s="1389"/>
      <c r="L31" s="1389"/>
      <c r="M31" s="1389"/>
      <c r="N31" s="1389"/>
      <c r="O31" s="1389"/>
      <c r="P31" s="1389"/>
    </row>
    <row r="32" spans="1:19">
      <c r="A32" s="2231"/>
      <c r="B32" s="2231" t="s">
        <v>1968</v>
      </c>
      <c r="C32" s="2231"/>
      <c r="D32" s="2231"/>
      <c r="E32" s="1272">
        <f>SUMIF(C19:C26,"*住宅*",E19:E26)</f>
        <v>0</v>
      </c>
      <c r="F32" s="2231"/>
      <c r="G32" s="2231"/>
      <c r="H32" s="1389"/>
      <c r="I32" s="1389"/>
      <c r="J32" s="1389"/>
      <c r="K32" s="1389"/>
      <c r="L32" s="1389"/>
      <c r="M32" s="1389"/>
      <c r="N32" s="1389"/>
      <c r="O32" s="1389"/>
      <c r="P32" s="1389"/>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27"/>
      <c r="C1" s="1578"/>
      <c r="D1" s="2271"/>
      <c r="E1" s="1578"/>
      <c r="F1" s="1578"/>
      <c r="G1" s="1578"/>
      <c r="H1" s="1578"/>
      <c r="I1" s="1578"/>
      <c r="J1" s="1578"/>
      <c r="K1" s="165"/>
      <c r="L1" s="165"/>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4" t="s">
        <v>1970</v>
      </c>
      <c r="B2" s="1264">
        <f>项目基本情况!D3</f>
        <v>43621</v>
      </c>
      <c r="C2" s="2275"/>
      <c r="D2" s="2276"/>
      <c r="E2" s="2275"/>
      <c r="F2" s="2275"/>
      <c r="G2" s="2275"/>
      <c r="H2" s="2275"/>
      <c r="I2" s="2275"/>
      <c r="J2" s="2275"/>
      <c r="K2" s="1424"/>
      <c r="L2" s="1424"/>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4"/>
      <c r="L3" s="1424"/>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1977</v>
      </c>
      <c r="B5" s="2288" t="s">
        <v>1978</v>
      </c>
      <c r="C5" s="2289" t="s">
        <v>1979</v>
      </c>
      <c r="D5" s="2290" t="s">
        <v>1980</v>
      </c>
      <c r="E5" s="1266" t="s">
        <v>1981</v>
      </c>
      <c r="F5" s="2291" t="s">
        <v>1982</v>
      </c>
      <c r="G5" s="1266" t="s">
        <v>1983</v>
      </c>
      <c r="H5" s="1266" t="s">
        <v>1984</v>
      </c>
      <c r="I5" s="1266" t="s">
        <v>1985</v>
      </c>
      <c r="J5" s="2292" t="s">
        <v>1986</v>
      </c>
      <c r="K5" s="2293" t="s">
        <v>1987</v>
      </c>
      <c r="L5" s="2294" t="s">
        <v>1988</v>
      </c>
      <c r="M5" s="2295" t="s">
        <v>1989</v>
      </c>
      <c r="N5" s="2296" t="s">
        <v>3061</v>
      </c>
      <c r="O5" s="2294" t="s">
        <v>1990</v>
      </c>
      <c r="P5" s="2297" t="s">
        <v>1991</v>
      </c>
      <c r="Q5" s="69" t="s">
        <v>1992</v>
      </c>
      <c r="R5" s="2298" t="s">
        <v>1993</v>
      </c>
      <c r="S5" s="2299" t="s">
        <v>1994</v>
      </c>
      <c r="T5" s="2300" t="s">
        <v>1995</v>
      </c>
      <c r="U5" s="1265" t="s">
        <v>1996</v>
      </c>
      <c r="V5" s="1266" t="s">
        <v>1997</v>
      </c>
      <c r="W5" s="1266" t="s">
        <v>1998</v>
      </c>
      <c r="X5" s="71"/>
      <c r="Y5" s="70" t="s">
        <v>1999</v>
      </c>
      <c r="Z5" s="2301" t="s">
        <v>1996</v>
      </c>
      <c r="AA5" s="1266" t="s">
        <v>1997</v>
      </c>
      <c r="AB5" s="1266" t="s">
        <v>1998</v>
      </c>
      <c r="AC5" s="71"/>
      <c r="AD5" s="71" t="s">
        <v>1999</v>
      </c>
      <c r="AE5" s="1265" t="s">
        <v>2000</v>
      </c>
      <c r="AF5" s="1266" t="s">
        <v>2001</v>
      </c>
      <c r="AG5" s="70" t="s">
        <v>2002</v>
      </c>
      <c r="AH5" s="1265" t="s">
        <v>2003</v>
      </c>
      <c r="AI5" s="2301" t="s">
        <v>2004</v>
      </c>
      <c r="AJ5" s="2301" t="s">
        <v>2005</v>
      </c>
      <c r="AK5" s="1266" t="s">
        <v>2006</v>
      </c>
      <c r="AL5" s="1266" t="s">
        <v>2007</v>
      </c>
      <c r="AM5" s="70" t="s">
        <v>2008</v>
      </c>
      <c r="AN5" s="2302" t="s">
        <v>2009</v>
      </c>
      <c r="AO5" s="2072" t="s">
        <v>2010</v>
      </c>
      <c r="AP5" s="1247" t="s">
        <v>2011</v>
      </c>
      <c r="AQ5" s="2303" t="s">
        <v>2012</v>
      </c>
      <c r="AR5" s="2303"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DX00-1002-003</v>
      </c>
      <c r="B6" s="2305" t="str">
        <f>IF(A6=0,"","经营性")</f>
        <v>经营性</v>
      </c>
      <c r="C6" s="2306" t="s">
        <v>3049</v>
      </c>
      <c r="D6" s="1049">
        <f>SUMIF(项目基本情况!D$12:I$12,C6,项目基本情况!D$14:I$14)</f>
        <v>70</v>
      </c>
      <c r="E6" s="1046">
        <f>IF(B6="","",SUMIF(项目基本情况!D$12:I$12,C6,项目基本情况!D$13:I$13))</f>
        <v>72476</v>
      </c>
      <c r="F6" s="72">
        <f>SUMIF(项目基本情况!D$12:I$12,C6,项目基本情况!D$15:I$15)</f>
        <v>70</v>
      </c>
      <c r="G6" s="73">
        <f>IF(ISERROR(ROUND(POWER(1+H6,D6-F6)*(POWER(1+H6,F6)-1)/(POWER(1+H6,D6)-1),3)),0,ROUND(POWER(1+H6,D6-F6)*(POWER(1+H6,F6)-1)/(POWER(1+H6,D6)-1),3))</f>
        <v>1</v>
      </c>
      <c r="H6" s="797">
        <v>0.04</v>
      </c>
      <c r="I6" s="797">
        <v>4.4999999999999998E-2</v>
      </c>
      <c r="J6" s="74">
        <v>0.08</v>
      </c>
      <c r="K6" s="1249">
        <f>SUMIF('数据-汇总表'!C$19:C$33,A6,'数据-汇总表'!E$19:E$33)</f>
        <v>1</v>
      </c>
      <c r="L6" s="798">
        <v>5000</v>
      </c>
      <c r="M6" s="75">
        <f>ROUND(K6*L6,0)</f>
        <v>5000</v>
      </c>
      <c r="N6" s="796">
        <v>1</v>
      </c>
      <c r="O6" s="75" t="str">
        <f>IF($N$5="成新度","——",ROUND(M6*N6,0))</f>
        <v>——</v>
      </c>
      <c r="P6" s="76" t="str">
        <f>IF($N$5="成新度","——",M6-O6)</f>
        <v>——</v>
      </c>
      <c r="Q6" s="3078">
        <v>0.12</v>
      </c>
      <c r="R6" s="77">
        <f ca="1">SUMIF('数据-汇总表'!C$19:C$33,A6,'数据-汇总表'!R$19:R$27)</f>
        <v>0.4</v>
      </c>
      <c r="S6" s="54">
        <f>IF('数据-汇总表'!$I$17="按面积比例",SUMIF('数据-汇总表'!C$19:C$33,A6,'数据-汇总表'!K$19:K$33),SUMIF('数据-汇总表'!C$19:C$33,A6,'数据-汇总表'!N$19:N$33))</f>
        <v>0</v>
      </c>
      <c r="T6" s="1440">
        <f>ROUND($L$14*S6/10000,0)</f>
        <v>0</v>
      </c>
      <c r="U6" s="78"/>
      <c r="V6" s="79"/>
      <c r="W6" s="79"/>
      <c r="X6" s="1259"/>
      <c r="Y6" s="80"/>
      <c r="Z6" s="81"/>
      <c r="AA6" s="74"/>
      <c r="AB6" s="74"/>
      <c r="AC6" s="1259"/>
      <c r="AD6" s="82"/>
      <c r="AE6" s="1260">
        <f ca="1">IF(AN6="",0,SUMIF(INDIRECT("'"&amp;AN6&amp;"'"&amp;"!E:E"),$AE$5,INDIRECT("'"&amp;AN6&amp;"'"&amp;"!F:F")))</f>
        <v>0</v>
      </c>
      <c r="AF6" s="1801"/>
      <c r="AG6" s="144">
        <f>IF(AF6="",0,AE6-AF6)</f>
        <v>0</v>
      </c>
      <c r="AH6" s="83"/>
      <c r="AI6" s="85"/>
      <c r="AJ6" s="86"/>
      <c r="AK6" s="87"/>
      <c r="AL6" s="88"/>
      <c r="AM6" s="89"/>
      <c r="AN6" s="2307" t="s">
        <v>3060</v>
      </c>
      <c r="AO6" s="55">
        <f ca="1">SUMIF(INDIRECT("'"&amp;AN6&amp;"'"&amp;"!A:A"),"总价",INDIRECT("'"&amp;AN6&amp;"'"&amp;"!B:B"))</f>
        <v>3</v>
      </c>
      <c r="AP6" s="2308">
        <f>IF(C6="住宅",K6*L6,0)</f>
        <v>5000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f>'数据-汇总表'!C20</f>
        <v>0</v>
      </c>
      <c r="B7" s="2305" t="str">
        <f t="shared" ref="B7:B13" si="0">IF(A7=0,"","经营性")</f>
        <v/>
      </c>
      <c r="C7" s="2306"/>
      <c r="D7" s="1049">
        <f>SUMIF(项目基本情况!D$12:I$12,C7,项目基本情况!D$14:I$14)</f>
        <v>0</v>
      </c>
      <c r="E7" s="1046"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797"/>
      <c r="I7" s="797"/>
      <c r="J7" s="74"/>
      <c r="K7" s="1249">
        <f>SUMIF('数据-汇总表'!C$19:C$33,A7,'数据-汇总表'!E$19:E$33)</f>
        <v>0</v>
      </c>
      <c r="L7" s="798"/>
      <c r="M7" s="75">
        <f t="shared" ref="M7:M14" si="2">ROUND(K7*L7/10000,0)</f>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4">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0"/>
        <v/>
      </c>
      <c r="C8" s="2306"/>
      <c r="D8" s="1049">
        <f>SUMIF(项目基本情况!D$12:I$12,C8,项目基本情况!D$14:I$14)</f>
        <v>0</v>
      </c>
      <c r="E8" s="1046" t="str">
        <f>IF(B8="","",SUMIF(项目基本情况!D$12:I$12,C8,项目基本情况!D$13:I$13))</f>
        <v/>
      </c>
      <c r="F8" s="72">
        <f>SUMIF(项目基本情况!D$12:I$12,C8,项目基本情况!D$15:I$15)</f>
        <v>0</v>
      </c>
      <c r="G8" s="73">
        <f t="shared" si="1"/>
        <v>0</v>
      </c>
      <c r="H8" s="797"/>
      <c r="I8" s="797"/>
      <c r="J8" s="74"/>
      <c r="K8" s="1249">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40">
        <f t="shared" si="5"/>
        <v>0</v>
      </c>
      <c r="U8" s="800"/>
      <c r="V8" s="801"/>
      <c r="W8" s="801"/>
      <c r="X8" s="1259"/>
      <c r="Y8" s="802"/>
      <c r="Z8" s="81"/>
      <c r="AA8" s="74"/>
      <c r="AB8" s="74"/>
      <c r="AC8" s="1259"/>
      <c r="AD8" s="82"/>
      <c r="AE8" s="1260">
        <f t="shared" ca="1" si="6"/>
        <v>0</v>
      </c>
      <c r="AF8" s="1801"/>
      <c r="AG8" s="144">
        <f t="shared" si="7"/>
        <v>0</v>
      </c>
      <c r="AH8" s="803"/>
      <c r="AI8" s="85"/>
      <c r="AJ8" s="86"/>
      <c r="AK8" s="804"/>
      <c r="AL8" s="805"/>
      <c r="AM8" s="806"/>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0"/>
        <v/>
      </c>
      <c r="C9" s="2306"/>
      <c r="D9" s="1049">
        <f>SUMIF(项目基本情况!D$12:I$12,C9,项目基本情况!D$14:I$14)</f>
        <v>0</v>
      </c>
      <c r="E9" s="1046" t="str">
        <f>IF(B9="","",SUMIF(项目基本情况!D$12:I$12,C9,项目基本情况!D$13:I$13))</f>
        <v/>
      </c>
      <c r="F9" s="72">
        <f>SUMIF(项目基本情况!D$12:I$12,C9,项目基本情况!D$15:I$15)</f>
        <v>0</v>
      </c>
      <c r="G9" s="73">
        <f t="shared" si="1"/>
        <v>0</v>
      </c>
      <c r="H9" s="74"/>
      <c r="I9" s="74"/>
      <c r="J9" s="74"/>
      <c r="K9" s="1249">
        <f>SUMIF('数据-汇总表'!C$19:C$33,A9,'数据-汇总表'!E$19:E$33)</f>
        <v>0</v>
      </c>
      <c r="L9" s="798"/>
      <c r="M9" s="75">
        <f t="shared" si="2"/>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9"/>
      <c r="Y9" s="80"/>
      <c r="Z9" s="81"/>
      <c r="AA9" s="74"/>
      <c r="AB9" s="74"/>
      <c r="AC9" s="1259"/>
      <c r="AD9" s="82"/>
      <c r="AE9" s="1260">
        <f t="shared" ca="1" si="6"/>
        <v>0</v>
      </c>
      <c r="AF9" s="1801"/>
      <c r="AG9" s="144">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0"/>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1"/>
        <v>0</v>
      </c>
      <c r="H10" s="74"/>
      <c r="I10" s="74"/>
      <c r="J10" s="74"/>
      <c r="K10" s="1249">
        <f>SUMIF('数据-汇总表'!C$19:C$33,A10,'数据-汇总表'!E$19:E$33)</f>
        <v>0</v>
      </c>
      <c r="L10" s="798"/>
      <c r="M10" s="75">
        <f t="shared" si="2"/>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9"/>
      <c r="Y10" s="80"/>
      <c r="Z10" s="81"/>
      <c r="AA10" s="74"/>
      <c r="AB10" s="74"/>
      <c r="AC10" s="1259"/>
      <c r="AD10" s="82"/>
      <c r="AE10" s="1260">
        <f t="shared" ca="1" si="6"/>
        <v>0</v>
      </c>
      <c r="AF10" s="1801"/>
      <c r="AG10" s="144">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0"/>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1"/>
        <v>0</v>
      </c>
      <c r="H11" s="74"/>
      <c r="I11" s="74"/>
      <c r="J11" s="74"/>
      <c r="K11" s="1249">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3"/>
      <c r="AA11" s="74"/>
      <c r="AB11" s="74"/>
      <c r="AC11" s="1259"/>
      <c r="AD11" s="82"/>
      <c r="AE11" s="1260">
        <f t="shared" ca="1" si="6"/>
        <v>0</v>
      </c>
      <c r="AF11" s="1801"/>
      <c r="AG11" s="144">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0"/>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3"/>
      <c r="AA12" s="74"/>
      <c r="AB12" s="74"/>
      <c r="AC12" s="1259"/>
      <c r="AD12" s="82"/>
      <c r="AE12" s="1260">
        <f t="shared" ca="1" si="6"/>
        <v>0</v>
      </c>
      <c r="AF12" s="1801"/>
      <c r="AG12" s="144">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0"/>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1"/>
      <c r="AG13" s="144">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2014</v>
      </c>
      <c r="B14" s="2305" t="s">
        <v>2015</v>
      </c>
      <c r="C14" s="2310" t="s">
        <v>2014</v>
      </c>
      <c r="D14" s="1049"/>
      <c r="E14" s="1046"/>
      <c r="F14" s="72"/>
      <c r="G14" s="73"/>
      <c r="H14" s="1248"/>
      <c r="I14" s="1248"/>
      <c r="J14" s="1248"/>
      <c r="K14" s="1249">
        <f>SUMIF('数据-汇总表'!C$19:C$33,A14,'数据-汇总表'!E$19:E$33)</f>
        <v>0</v>
      </c>
      <c r="L14" s="91"/>
      <c r="M14" s="75">
        <f t="shared" si="2"/>
        <v>0</v>
      </c>
      <c r="N14" s="92"/>
      <c r="O14" s="75" t="str">
        <f t="shared" si="3"/>
        <v>——</v>
      </c>
      <c r="P14" s="76" t="str">
        <f t="shared" si="4"/>
        <v>——</v>
      </c>
      <c r="Q14" s="1252"/>
      <c r="R14" s="77"/>
      <c r="S14" s="54"/>
      <c r="T14" s="1440"/>
      <c r="U14" s="718"/>
      <c r="V14" s="1254"/>
      <c r="W14" s="1254"/>
      <c r="X14" s="1255"/>
      <c r="Y14" s="1256"/>
      <c r="Z14" s="1257"/>
      <c r="AA14" s="1258"/>
      <c r="AB14" s="1258"/>
      <c r="AC14" s="1259"/>
      <c r="AD14" s="1255"/>
      <c r="AE14" s="1260"/>
      <c r="AF14" s="55"/>
      <c r="AG14" s="144"/>
      <c r="AH14" s="1260"/>
      <c r="AI14" s="1812"/>
      <c r="AJ14" s="768"/>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2016</v>
      </c>
      <c r="B15" s="2305" t="s">
        <v>2015</v>
      </c>
      <c r="C15" s="2310" t="s">
        <v>2017</v>
      </c>
      <c r="D15" s="1049"/>
      <c r="E15" s="1046"/>
      <c r="F15" s="72"/>
      <c r="G15" s="73"/>
      <c r="H15" s="1248"/>
      <c r="I15" s="1248"/>
      <c r="J15" s="1248"/>
      <c r="K15" s="1249">
        <f>SUMIF('数据-汇总表'!C$19:C$33,A15,'数据-汇总表'!E$19:E$33)</f>
        <v>0</v>
      </c>
      <c r="L15" s="1250"/>
      <c r="M15" s="75"/>
      <c r="N15" s="1251"/>
      <c r="O15" s="75"/>
      <c r="P15" s="76"/>
      <c r="Q15" s="1252"/>
      <c r="R15" s="77"/>
      <c r="S15" s="54"/>
      <c r="T15" s="1440"/>
      <c r="U15" s="718"/>
      <c r="V15" s="1254"/>
      <c r="W15" s="1254"/>
      <c r="X15" s="1255"/>
      <c r="Y15" s="1256"/>
      <c r="Z15" s="1257"/>
      <c r="AA15" s="1258"/>
      <c r="AB15" s="1258"/>
      <c r="AC15" s="1259"/>
      <c r="AD15" s="1255"/>
      <c r="AE15" s="1260"/>
      <c r="AF15" s="55"/>
      <c r="AG15" s="144"/>
      <c r="AH15" s="1260"/>
      <c r="AI15" s="1812"/>
      <c r="AJ15" s="768"/>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2018</v>
      </c>
      <c r="B16" s="97"/>
      <c r="C16" s="1003"/>
      <c r="D16" s="2312"/>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0.12</v>
      </c>
      <c r="R16" s="1253">
        <f ca="1">SUM(R6:R13)</f>
        <v>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27"/>
      <c r="C17" s="1578"/>
      <c r="D17" s="2271"/>
      <c r="E17" s="2271"/>
      <c r="F17" s="1578"/>
      <c r="G17" s="1578"/>
      <c r="H17" s="1578"/>
      <c r="I17" s="1578"/>
      <c r="J17" s="1578"/>
      <c r="K17" s="165"/>
      <c r="L17" s="165"/>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2019</v>
      </c>
      <c r="B18" s="2278"/>
      <c r="C18" s="2275"/>
      <c r="D18" s="2276"/>
      <c r="E18" s="2275"/>
      <c r="F18" s="2275"/>
      <c r="G18" s="2275"/>
      <c r="H18" s="2275"/>
      <c r="I18" s="2275"/>
      <c r="J18" s="2275"/>
      <c r="K18" s="165"/>
      <c r="L18" s="165"/>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4" t="s">
        <v>2020</v>
      </c>
      <c r="B19" s="112">
        <v>0</v>
      </c>
      <c r="C19" s="2275" t="s">
        <v>2021</v>
      </c>
      <c r="D19" s="2276"/>
      <c r="E19" s="2275"/>
      <c r="F19" s="2275"/>
      <c r="G19" s="2275"/>
      <c r="H19" s="2275"/>
      <c r="I19" s="2275"/>
      <c r="J19" s="2275"/>
      <c r="K19" s="165"/>
      <c r="L19" s="165"/>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5" t="s">
        <v>2022</v>
      </c>
      <c r="B20" s="3079">
        <v>2</v>
      </c>
      <c r="C20" s="2275" t="s">
        <v>2023</v>
      </c>
      <c r="D20" s="2276"/>
      <c r="E20" s="2275"/>
      <c r="F20" s="2275"/>
      <c r="G20" s="2275"/>
      <c r="H20" s="2275"/>
      <c r="I20" s="2275"/>
      <c r="J20" s="2275"/>
      <c r="K20" s="165"/>
      <c r="L20" s="165"/>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6" t="s">
        <v>2024</v>
      </c>
      <c r="B21" s="3079">
        <v>2</v>
      </c>
      <c r="C21" s="2275"/>
      <c r="D21" s="2276"/>
      <c r="E21" s="2275"/>
      <c r="F21" s="2275"/>
      <c r="G21" s="2275"/>
      <c r="H21" s="2275"/>
      <c r="I21" s="2275"/>
      <c r="J21" s="2275"/>
      <c r="K21" s="165"/>
      <c r="L21" s="165"/>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5" t="s">
        <v>2025</v>
      </c>
      <c r="B22" s="113">
        <f>B19+B20</f>
        <v>2</v>
      </c>
      <c r="C22" s="2275"/>
      <c r="D22" s="2276"/>
      <c r="E22" s="2275"/>
      <c r="F22" s="2275"/>
      <c r="G22" s="2275"/>
      <c r="H22" s="2275"/>
      <c r="I22" s="2275"/>
      <c r="J22" s="2275"/>
      <c r="K22" s="165"/>
      <c r="L22" s="165"/>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6" t="s">
        <v>2026</v>
      </c>
      <c r="B23" s="113">
        <f>B19+B21</f>
        <v>2</v>
      </c>
      <c r="C23" s="2275"/>
      <c r="D23" s="2276"/>
      <c r="E23" s="2275"/>
      <c r="F23" s="2275"/>
      <c r="G23" s="2275"/>
      <c r="H23" s="2275"/>
      <c r="I23" s="2275"/>
      <c r="J23" s="2275"/>
      <c r="K23" s="165"/>
      <c r="L23" s="165"/>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7" t="s">
        <v>2027</v>
      </c>
      <c r="B24" s="114">
        <f>B20-B21</f>
        <v>0</v>
      </c>
      <c r="C24" s="2275"/>
      <c r="D24" s="2276"/>
      <c r="E24" s="2275"/>
      <c r="F24" s="2275"/>
      <c r="G24" s="2275"/>
      <c r="H24" s="2275"/>
      <c r="I24" s="2275"/>
      <c r="J24" s="2275"/>
      <c r="K24" s="165"/>
      <c r="L24" s="165"/>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8"/>
      <c r="C25" s="2275"/>
      <c r="D25" s="2276"/>
      <c r="E25" s="2275"/>
      <c r="F25" s="2275"/>
      <c r="G25" s="2275"/>
      <c r="H25" s="2275"/>
      <c r="I25" s="2275"/>
      <c r="J25" s="2275"/>
      <c r="K25" s="165"/>
      <c r="L25" s="165"/>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4" t="s">
        <v>2028</v>
      </c>
      <c r="B26" s="2318" t="s">
        <v>2029</v>
      </c>
      <c r="C26" s="2319" t="s">
        <v>2030</v>
      </c>
      <c r="D26" s="2276"/>
      <c r="E26" s="2275"/>
      <c r="F26" s="2275"/>
      <c r="G26" s="2275"/>
      <c r="H26" s="2275"/>
      <c r="I26" s="2275"/>
      <c r="J26" s="2275"/>
      <c r="K26" s="165"/>
      <c r="L26" s="165"/>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2" customFormat="1" ht="27.75">
      <c r="A27" s="2320" t="s">
        <v>2031</v>
      </c>
      <c r="B27" s="115">
        <v>160</v>
      </c>
      <c r="C27" s="1761" t="s">
        <v>2032</v>
      </c>
      <c r="D27" s="2321"/>
      <c r="E27" s="1424"/>
      <c r="F27" s="1424"/>
      <c r="G27" s="2275"/>
      <c r="H27" s="2275"/>
      <c r="I27" s="2275"/>
      <c r="J27" s="2275"/>
      <c r="K27" s="165"/>
      <c r="L27" s="165"/>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2033</v>
      </c>
      <c r="B28" s="118"/>
      <c r="C28" s="2324"/>
      <c r="D28" s="2321"/>
      <c r="E28" s="1424"/>
      <c r="F28" s="1424"/>
      <c r="G28" s="2275"/>
      <c r="H28" s="2275"/>
      <c r="I28" s="2275"/>
      <c r="J28" s="2275"/>
      <c r="K28" s="165"/>
      <c r="L28" s="165"/>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2034</v>
      </c>
      <c r="B29" s="120"/>
      <c r="C29" s="1761" t="s">
        <v>2035</v>
      </c>
      <c r="D29" s="2321"/>
      <c r="E29" s="1424"/>
      <c r="F29" s="1424"/>
      <c r="G29" s="2275"/>
      <c r="H29" s="2275"/>
      <c r="I29" s="2275"/>
      <c r="J29" s="2275"/>
      <c r="K29" s="165"/>
      <c r="L29" s="165"/>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2036</v>
      </c>
      <c r="B30" s="719">
        <v>225</v>
      </c>
      <c r="C30" s="2324"/>
      <c r="D30" s="2321"/>
      <c r="E30" s="1424"/>
      <c r="F30" s="1424"/>
      <c r="G30" s="2275"/>
      <c r="H30" s="2275"/>
      <c r="I30" s="2275"/>
      <c r="J30" s="2275"/>
      <c r="K30" s="165"/>
      <c r="L30" s="165"/>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2037</v>
      </c>
      <c r="B31" s="119">
        <f>B30-B32</f>
        <v>225</v>
      </c>
      <c r="C31" s="1761"/>
      <c r="D31" s="2321"/>
      <c r="E31" s="1424"/>
      <c r="F31" s="1424"/>
      <c r="G31" s="2275"/>
      <c r="H31" s="2275"/>
      <c r="I31" s="2275"/>
      <c r="J31" s="2275"/>
      <c r="K31" s="165"/>
      <c r="L31" s="165"/>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2038</v>
      </c>
      <c r="B32" s="720">
        <v>0</v>
      </c>
      <c r="C32" s="2324"/>
      <c r="D32" s="2276"/>
      <c r="E32" s="2275"/>
      <c r="F32" s="2275"/>
      <c r="G32" s="2275"/>
      <c r="H32" s="2275"/>
      <c r="I32" s="2275"/>
      <c r="J32" s="2275"/>
      <c r="K32" s="165"/>
      <c r="L32" s="165"/>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2039</v>
      </c>
      <c r="B33" s="721">
        <v>0.03</v>
      </c>
      <c r="C33" s="1760" t="s">
        <v>2040</v>
      </c>
      <c r="D33" s="2276"/>
      <c r="E33" s="2275"/>
      <c r="F33" s="2275"/>
      <c r="G33" s="2275"/>
      <c r="H33" s="2275"/>
      <c r="I33" s="2275"/>
      <c r="J33" s="2275"/>
      <c r="K33" s="165"/>
      <c r="L33" s="165"/>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2041</v>
      </c>
      <c r="B34" s="121">
        <v>0.1</v>
      </c>
      <c r="C34" s="1760" t="s">
        <v>2042</v>
      </c>
      <c r="D34" s="2276" t="s">
        <v>2043</v>
      </c>
      <c r="E34" s="727"/>
      <c r="F34" s="2275"/>
      <c r="G34" s="2275"/>
      <c r="H34" s="2275"/>
      <c r="I34" s="2275"/>
      <c r="J34" s="2275"/>
      <c r="K34" s="165"/>
      <c r="L34" s="165"/>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2044</v>
      </c>
      <c r="B35" s="118">
        <v>200</v>
      </c>
      <c r="C35" s="1760" t="s">
        <v>2045</v>
      </c>
      <c r="D35" s="2321"/>
      <c r="E35" s="1424"/>
      <c r="F35" s="1424"/>
      <c r="G35" s="2275"/>
      <c r="H35" s="2275"/>
      <c r="I35" s="2275"/>
      <c r="J35" s="2275"/>
      <c r="K35" s="165"/>
      <c r="L35" s="165"/>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2046</v>
      </c>
      <c r="B36" s="122">
        <v>1.4999999999999999E-2</v>
      </c>
      <c r="C36" s="1760" t="s">
        <v>2047</v>
      </c>
      <c r="D36" s="2276"/>
      <c r="E36" s="2275"/>
      <c r="F36" s="2275"/>
      <c r="G36" s="2275"/>
      <c r="H36" s="2275"/>
      <c r="I36" s="2275"/>
      <c r="J36" s="2275"/>
      <c r="K36" s="165"/>
      <c r="L36" s="165"/>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6" t="s">
        <v>2048</v>
      </c>
      <c r="B37" s="3080">
        <v>0.02</v>
      </c>
      <c r="C37" s="1760" t="s">
        <v>2049</v>
      </c>
      <c r="D37" s="2276"/>
      <c r="E37" s="2275"/>
      <c r="F37" s="2275"/>
      <c r="G37" s="2275"/>
      <c r="H37" s="2275"/>
      <c r="I37" s="2275"/>
      <c r="J37" s="2275"/>
      <c r="K37" s="165"/>
      <c r="L37" s="165"/>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3" t="s">
        <v>2050</v>
      </c>
      <c r="B38" s="3081">
        <v>0.01</v>
      </c>
      <c r="C38" s="1760" t="s">
        <v>2049</v>
      </c>
      <c r="D38" s="2276"/>
      <c r="E38" s="2275"/>
      <c r="F38" s="2275"/>
      <c r="G38" s="2275"/>
      <c r="H38" s="2275"/>
      <c r="I38" s="2275"/>
      <c r="J38" s="2275"/>
      <c r="K38" s="165"/>
      <c r="L38" s="165"/>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7" t="s">
        <v>2051</v>
      </c>
      <c r="B39" s="359">
        <f ca="1">存贷款利率!I1</f>
        <v>1.4999999999999999E-2</v>
      </c>
      <c r="C39" s="1760"/>
      <c r="D39" s="2276"/>
      <c r="E39" s="2275"/>
      <c r="F39" s="2275"/>
      <c r="G39" s="2275"/>
      <c r="H39" s="2275"/>
      <c r="I39" s="2275"/>
      <c r="J39" s="2275"/>
      <c r="K39" s="165"/>
      <c r="L39" s="165"/>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7" t="s">
        <v>2052</v>
      </c>
      <c r="B40" s="1298">
        <f ca="1">存贷款利率!G1</f>
        <v>4.7500000000000001E-2</v>
      </c>
      <c r="C40" s="1760" t="s">
        <v>2053</v>
      </c>
      <c r="D40" s="1578"/>
      <c r="E40" s="2276"/>
      <c r="F40" s="2275"/>
      <c r="G40" s="2275"/>
      <c r="H40" s="2275"/>
      <c r="I40" s="2275"/>
      <c r="J40" s="2275"/>
      <c r="K40" s="165"/>
      <c r="L40" s="165"/>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20" t="s">
        <v>2054</v>
      </c>
      <c r="B41" s="123">
        <f>B42+B43</f>
        <v>5.5000000000000007E-2</v>
      </c>
      <c r="C41" s="1761"/>
      <c r="D41" s="1578"/>
      <c r="E41" s="2276"/>
      <c r="F41" s="2275"/>
      <c r="G41" s="2275"/>
      <c r="H41" s="2275"/>
      <c r="I41" s="2275"/>
      <c r="J41" s="2275"/>
      <c r="K41" s="165"/>
      <c r="L41" s="165"/>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8" t="s">
        <v>2055</v>
      </c>
      <c r="B42" s="124">
        <v>0.05</v>
      </c>
      <c r="C42" s="2329">
        <f>IF(B2&lt;DATE(2016,5,1),0,B42)</f>
        <v>0.05</v>
      </c>
      <c r="D42" s="2276"/>
      <c r="E42" s="2275"/>
      <c r="F42" s="2275"/>
      <c r="G42" s="2275"/>
      <c r="H42" s="2275"/>
      <c r="I42" s="2275"/>
      <c r="J42" s="2275"/>
      <c r="K42" s="165"/>
      <c r="L42" s="165"/>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8" t="s">
        <v>2056</v>
      </c>
      <c r="B43" s="125">
        <f>B42*(B44+B45+B46)+B47</f>
        <v>5.000000000000001E-3</v>
      </c>
      <c r="C43" s="1761"/>
      <c r="D43" s="2276"/>
      <c r="E43" s="2275"/>
      <c r="F43" s="2275"/>
      <c r="G43" s="2275"/>
      <c r="H43" s="2275"/>
      <c r="I43" s="2275"/>
      <c r="J43" s="2275"/>
      <c r="K43" s="165"/>
      <c r="L43" s="165"/>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30" t="s">
        <v>2057</v>
      </c>
      <c r="B44" s="3107">
        <v>0.05</v>
      </c>
      <c r="C44" s="1760" t="s">
        <v>2058</v>
      </c>
      <c r="D44" s="2276"/>
      <c r="E44" s="2275"/>
      <c r="F44" s="2275"/>
      <c r="G44" s="2275"/>
      <c r="H44" s="2275"/>
      <c r="I44" s="2275"/>
      <c r="J44" s="2275"/>
      <c r="K44" s="165"/>
      <c r="L44" s="165"/>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30" t="s">
        <v>2059</v>
      </c>
      <c r="B45" s="124">
        <v>0.03</v>
      </c>
      <c r="C45" s="1761" t="s">
        <v>2060</v>
      </c>
      <c r="D45" s="2276"/>
      <c r="E45" s="2275"/>
      <c r="F45" s="2275"/>
      <c r="G45" s="2275"/>
      <c r="H45" s="2275"/>
      <c r="I45" s="2275"/>
      <c r="J45" s="2275"/>
      <c r="K45" s="165"/>
      <c r="L45" s="165"/>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30" t="s">
        <v>2061</v>
      </c>
      <c r="B46" s="124">
        <v>0.02</v>
      </c>
      <c r="C46" s="1761" t="s">
        <v>2062</v>
      </c>
      <c r="D46" s="2276"/>
      <c r="E46" s="2275"/>
      <c r="F46" s="2275"/>
      <c r="G46" s="2275"/>
      <c r="H46" s="2275"/>
      <c r="I46" s="2275"/>
      <c r="J46" s="2275"/>
      <c r="K46" s="165"/>
      <c r="L46" s="165"/>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1" t="s">
        <v>2063</v>
      </c>
      <c r="B47" s="126"/>
      <c r="C47" s="1761" t="s">
        <v>2064</v>
      </c>
      <c r="D47" s="2276"/>
      <c r="E47" s="2275"/>
      <c r="F47" s="2275"/>
      <c r="G47" s="2275"/>
      <c r="H47" s="2275"/>
      <c r="I47" s="2275"/>
      <c r="J47" s="2275"/>
      <c r="K47" s="165"/>
      <c r="L47" s="165"/>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2" t="s">
        <v>2065</v>
      </c>
      <c r="B48" s="127">
        <v>0.03</v>
      </c>
      <c r="C48" s="1768" t="s">
        <v>2066</v>
      </c>
      <c r="D48" s="2276"/>
      <c r="E48" s="2275"/>
      <c r="F48" s="2275"/>
      <c r="G48" s="2275"/>
      <c r="H48" s="2275"/>
      <c r="I48" s="2275"/>
      <c r="J48" s="2275"/>
      <c r="K48" s="165"/>
      <c r="L48" s="165"/>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7" t="s">
        <v>2067</v>
      </c>
      <c r="B49" s="124">
        <v>5.0000000000000001E-4</v>
      </c>
      <c r="C49" s="1768" t="s">
        <v>2068</v>
      </c>
      <c r="D49" s="2276"/>
      <c r="E49" s="2275"/>
      <c r="F49" s="2275"/>
      <c r="G49" s="2275"/>
      <c r="H49" s="2275"/>
      <c r="I49" s="2275"/>
      <c r="J49" s="2275"/>
      <c r="K49" s="165"/>
      <c r="L49" s="165"/>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3" t="s">
        <v>2069</v>
      </c>
      <c r="B50" s="128">
        <v>1.2E-2</v>
      </c>
      <c r="C50" s="1424"/>
      <c r="D50" s="2276"/>
      <c r="E50" s="2275"/>
      <c r="F50" s="2275"/>
      <c r="G50" s="2275"/>
      <c r="H50" s="2275"/>
      <c r="I50" s="2275"/>
      <c r="J50" s="2275"/>
      <c r="K50" s="165"/>
      <c r="L50" s="165"/>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5" t="s">
        <v>2070</v>
      </c>
      <c r="B51" s="129">
        <v>0.12</v>
      </c>
      <c r="C51" s="1424"/>
      <c r="D51" s="2276"/>
      <c r="E51" s="2275"/>
      <c r="F51" s="2275"/>
      <c r="G51" s="2275"/>
      <c r="H51" s="2275"/>
      <c r="I51" s="2275"/>
      <c r="J51" s="2275"/>
      <c r="K51" s="165"/>
      <c r="L51" s="165"/>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3" t="s">
        <v>2071</v>
      </c>
      <c r="B52" s="130">
        <f>SUMIF(A54:A63,B53,B54:B63)</f>
        <v>1.5</v>
      </c>
      <c r="C52" s="1424"/>
      <c r="D52" s="2276"/>
      <c r="E52" s="2275"/>
      <c r="F52" s="2275"/>
      <c r="G52" s="2275"/>
      <c r="H52" s="2275"/>
      <c r="I52" s="2275"/>
      <c r="J52" s="2275"/>
      <c r="K52" s="165"/>
      <c r="L52" s="165"/>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3" t="s">
        <v>2072</v>
      </c>
      <c r="B53" s="2334" t="s">
        <v>56</v>
      </c>
      <c r="C53" s="1424" t="s">
        <v>2073</v>
      </c>
      <c r="D53" s="2335" t="s">
        <v>2074</v>
      </c>
      <c r="E53" s="2275"/>
      <c r="F53" s="2275"/>
      <c r="G53" s="2275"/>
      <c r="H53" s="2275"/>
      <c r="I53" s="2275"/>
      <c r="J53" s="2275"/>
      <c r="K53" s="165"/>
      <c r="L53" s="165"/>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6" t="s">
        <v>2075</v>
      </c>
      <c r="B54" s="84"/>
      <c r="C54" s="1424">
        <v>30</v>
      </c>
      <c r="D54" s="2276"/>
      <c r="E54" s="2275"/>
      <c r="F54" s="2275"/>
      <c r="G54" s="2275"/>
      <c r="H54" s="2275"/>
      <c r="I54" s="2275"/>
      <c r="J54" s="2275"/>
      <c r="K54" s="165"/>
      <c r="L54" s="165"/>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6" t="s">
        <v>2076</v>
      </c>
      <c r="B55" s="84"/>
      <c r="C55" s="1424">
        <v>24</v>
      </c>
      <c r="D55" s="2276"/>
      <c r="E55" s="2275"/>
      <c r="F55" s="2275"/>
      <c r="G55" s="2275"/>
      <c r="H55" s="2275"/>
      <c r="I55" s="2337"/>
      <c r="J55" s="2275"/>
      <c r="K55" s="165"/>
      <c r="L55" s="165"/>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6" t="s">
        <v>2077</v>
      </c>
      <c r="B56" s="84"/>
      <c r="C56" s="1424">
        <v>18</v>
      </c>
      <c r="D56" s="2276"/>
      <c r="E56" s="2275"/>
      <c r="F56" s="2275"/>
      <c r="G56" s="2275"/>
      <c r="H56" s="2275"/>
      <c r="I56" s="2275"/>
      <c r="J56" s="2275"/>
      <c r="K56" s="165"/>
      <c r="L56" s="165"/>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6" t="s">
        <v>2078</v>
      </c>
      <c r="B57" s="84"/>
      <c r="C57" s="1424">
        <v>12</v>
      </c>
      <c r="D57" s="2276"/>
      <c r="E57" s="2275"/>
      <c r="F57" s="2275"/>
      <c r="G57" s="2275"/>
      <c r="H57" s="2275"/>
      <c r="I57" s="2275"/>
      <c r="J57" s="2275"/>
      <c r="K57" s="165"/>
      <c r="L57" s="165"/>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6" t="s">
        <v>2079</v>
      </c>
      <c r="B58" s="84"/>
      <c r="C58" s="1424">
        <v>3</v>
      </c>
      <c r="D58" s="2276"/>
      <c r="E58" s="2275"/>
      <c r="F58" s="2275"/>
      <c r="G58" s="2275"/>
      <c r="H58" s="2275"/>
      <c r="I58" s="2275"/>
      <c r="J58" s="2275"/>
      <c r="K58" s="165"/>
      <c r="L58" s="165"/>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6" t="s">
        <v>2080</v>
      </c>
      <c r="B59" s="84">
        <v>1.5</v>
      </c>
      <c r="C59" s="1424">
        <v>1.5</v>
      </c>
      <c r="D59" s="2276"/>
      <c r="E59" s="2275"/>
      <c r="F59" s="2275"/>
      <c r="G59" s="2275"/>
      <c r="H59" s="2275"/>
      <c r="I59" s="2275"/>
      <c r="J59" s="2275"/>
      <c r="K59" s="165"/>
      <c r="L59" s="165"/>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6" t="s">
        <v>2081</v>
      </c>
      <c r="B60" s="84"/>
      <c r="C60" s="2275"/>
      <c r="D60" s="2276"/>
      <c r="E60" s="2275"/>
      <c r="F60" s="2275"/>
      <c r="G60" s="2275"/>
      <c r="H60" s="2275"/>
      <c r="I60" s="2275"/>
      <c r="J60" s="2275"/>
      <c r="K60" s="165"/>
      <c r="L60" s="165"/>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6" t="s">
        <v>2082</v>
      </c>
      <c r="B61" s="84"/>
      <c r="C61" s="2275"/>
      <c r="D61" s="2276"/>
      <c r="E61" s="2275"/>
      <c r="F61" s="2275"/>
      <c r="G61" s="2275"/>
      <c r="H61" s="2275"/>
      <c r="I61" s="2275"/>
      <c r="J61" s="2275"/>
      <c r="K61" s="165"/>
      <c r="L61" s="165"/>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6" t="s">
        <v>2083</v>
      </c>
      <c r="B62" s="84"/>
      <c r="C62" s="2275"/>
      <c r="D62" s="2276"/>
      <c r="E62" s="2275"/>
      <c r="F62" s="2275"/>
      <c r="G62" s="2275"/>
      <c r="H62" s="2275"/>
      <c r="I62" s="2275"/>
      <c r="J62" s="2275"/>
      <c r="K62" s="165"/>
      <c r="L62" s="165"/>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8" t="s">
        <v>2084</v>
      </c>
      <c r="B63" s="131"/>
      <c r="C63" s="2275"/>
      <c r="D63" s="2276"/>
      <c r="E63" s="2275"/>
      <c r="F63" s="2275"/>
      <c r="G63" s="2275"/>
      <c r="H63" s="2275"/>
      <c r="I63" s="2275"/>
      <c r="J63" s="2275"/>
      <c r="K63" s="165"/>
      <c r="L63" s="165"/>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9"/>
      <c r="D64" s="2340"/>
      <c r="K64" s="793"/>
      <c r="L64" s="793"/>
    </row>
    <row r="65" spans="1:12" s="962" customFormat="1">
      <c r="A65" s="2339"/>
      <c r="D65" s="2340"/>
      <c r="K65" s="793"/>
      <c r="L65" s="793"/>
    </row>
    <row r="66" spans="1:12" s="962" customFormat="1">
      <c r="A66" s="2339"/>
      <c r="D66" s="2340"/>
      <c r="K66" s="793"/>
      <c r="L66" s="793"/>
    </row>
    <row r="67" spans="1:12" s="962" customFormat="1">
      <c r="A67" s="2339"/>
      <c r="D67" s="2340"/>
      <c r="K67" s="793"/>
      <c r="L67" s="793"/>
    </row>
    <row r="68" spans="1:12" s="962" customFormat="1">
      <c r="A68" s="2339"/>
      <c r="D68" s="2340"/>
      <c r="K68" s="793"/>
      <c r="L68" s="793"/>
    </row>
    <row r="69" spans="1:12" s="962" customFormat="1">
      <c r="A69" s="2339"/>
      <c r="D69" s="2340"/>
      <c r="K69" s="793"/>
      <c r="L69" s="793"/>
    </row>
    <row r="70" spans="1:12" s="962" customFormat="1">
      <c r="A70" s="2339"/>
      <c r="D70" s="2340"/>
      <c r="K70" s="793"/>
      <c r="L70" s="793"/>
    </row>
    <row r="71" spans="1:12" s="962" customFormat="1">
      <c r="A71" s="2339"/>
      <c r="D71" s="2340"/>
      <c r="K71" s="793"/>
      <c r="L71" s="793"/>
    </row>
    <row r="72" spans="1:12" s="962" customFormat="1">
      <c r="A72" s="2339"/>
      <c r="D72" s="2340"/>
      <c r="K72" s="793"/>
      <c r="L72" s="793"/>
    </row>
    <row r="73" spans="1:12" s="962" customFormat="1">
      <c r="A73" s="2339"/>
      <c r="D73" s="2340"/>
      <c r="K73" s="793"/>
      <c r="L73" s="793"/>
    </row>
    <row r="74" spans="1:12" s="962" customFormat="1">
      <c r="A74" s="2339"/>
      <c r="D74" s="2340"/>
      <c r="K74" s="793"/>
      <c r="L74" s="793"/>
    </row>
    <row r="75" spans="1:12" s="962" customFormat="1">
      <c r="A75" s="2339"/>
      <c r="D75" s="2340"/>
      <c r="K75" s="793"/>
      <c r="L75" s="793"/>
    </row>
    <row r="76" spans="1:12" s="962" customFormat="1">
      <c r="A76" s="2339"/>
      <c r="D76" s="2340"/>
      <c r="K76" s="793"/>
      <c r="L76" s="793"/>
    </row>
    <row r="77" spans="1:12" s="962" customFormat="1">
      <c r="A77" s="2339"/>
      <c r="D77" s="2340"/>
      <c r="K77" s="793"/>
      <c r="L77" s="793"/>
    </row>
    <row r="78" spans="1:12" s="962" customFormat="1">
      <c r="A78" s="2339"/>
      <c r="D78" s="2340"/>
      <c r="K78" s="793"/>
      <c r="L78" s="793"/>
    </row>
    <row r="79" spans="1:12" s="962" customFormat="1">
      <c r="A79" s="2339"/>
      <c r="D79" s="2340"/>
      <c r="K79" s="793"/>
      <c r="L79" s="793"/>
    </row>
    <row r="80" spans="1:12" s="962" customFormat="1">
      <c r="A80" s="2339"/>
      <c r="D80" s="2340"/>
      <c r="K80" s="793"/>
      <c r="L80" s="793"/>
    </row>
    <row r="81" spans="1:12" s="962" customFormat="1">
      <c r="A81" s="2339"/>
      <c r="D81" s="2340"/>
      <c r="K81" s="793"/>
      <c r="L81" s="793"/>
    </row>
    <row r="82" spans="1:12" s="962" customFormat="1">
      <c r="A82" s="2339"/>
      <c r="D82" s="2340"/>
      <c r="K82" s="793"/>
      <c r="L82" s="793"/>
    </row>
    <row r="83" spans="1:12" s="962" customFormat="1">
      <c r="A83" s="2339"/>
      <c r="D83" s="2340"/>
      <c r="K83" s="793"/>
      <c r="L83" s="793"/>
    </row>
    <row r="84" spans="1:12" s="962" customFormat="1">
      <c r="A84" s="2339"/>
      <c r="D84" s="2340"/>
      <c r="K84" s="793"/>
      <c r="L84" s="793"/>
    </row>
    <row r="85" spans="1:12" s="962" customFormat="1">
      <c r="A85" s="2339"/>
      <c r="D85" s="2340"/>
      <c r="K85" s="793"/>
      <c r="L85" s="793"/>
    </row>
    <row r="86" spans="1:12" s="962" customFormat="1">
      <c r="A86" s="2339"/>
      <c r="D86" s="2340"/>
      <c r="K86" s="793"/>
      <c r="L86" s="793"/>
    </row>
    <row r="87" spans="1:12" s="962" customFormat="1">
      <c r="A87" s="2339"/>
      <c r="D87" s="2340"/>
      <c r="K87" s="793"/>
      <c r="L87" s="793"/>
    </row>
    <row r="88" spans="1:12" s="962" customFormat="1">
      <c r="A88" s="2339"/>
      <c r="D88" s="2340"/>
      <c r="K88" s="793"/>
      <c r="L88" s="793"/>
    </row>
    <row r="89" spans="1:12" s="962" customFormat="1">
      <c r="A89" s="2339"/>
      <c r="D89" s="2340"/>
      <c r="K89" s="793"/>
      <c r="L89" s="793"/>
    </row>
    <row r="90" spans="1:12" s="962" customFormat="1">
      <c r="A90" s="2339"/>
      <c r="D90" s="2340"/>
      <c r="K90" s="793"/>
      <c r="L90" s="793"/>
    </row>
    <row r="91" spans="1:12" s="962" customFormat="1">
      <c r="A91" s="2339"/>
      <c r="D91" s="2340"/>
      <c r="K91" s="793"/>
      <c r="L91" s="793"/>
    </row>
    <row r="92" spans="1:12" s="962" customFormat="1">
      <c r="A92" s="2339"/>
      <c r="D92" s="2340"/>
      <c r="K92" s="793"/>
      <c r="L92" s="793"/>
    </row>
    <row r="93" spans="1:12" s="962" customFormat="1">
      <c r="A93" s="2339"/>
      <c r="D93" s="2340"/>
      <c r="K93" s="793"/>
      <c r="L93" s="793"/>
    </row>
    <row r="94" spans="1:12" s="962" customFormat="1">
      <c r="A94" s="2339"/>
      <c r="D94" s="2340"/>
      <c r="K94" s="793"/>
      <c r="L94" s="793"/>
    </row>
    <row r="95" spans="1:12" s="962" customFormat="1">
      <c r="A95" s="2339"/>
      <c r="D95" s="2340"/>
      <c r="K95" s="793"/>
      <c r="L95" s="793"/>
    </row>
    <row r="96" spans="1:12" s="962" customFormat="1">
      <c r="A96" s="2339"/>
      <c r="D96" s="2340"/>
      <c r="K96" s="793"/>
      <c r="L96" s="793"/>
    </row>
    <row r="97" spans="1:12" s="962" customFormat="1">
      <c r="A97" s="2339"/>
      <c r="D97" s="2340"/>
      <c r="K97" s="793"/>
      <c r="L97" s="793"/>
    </row>
    <row r="98" spans="1:12" s="962" customFormat="1">
      <c r="A98" s="2339"/>
      <c r="D98" s="2340"/>
      <c r="K98" s="793"/>
      <c r="L98" s="793"/>
    </row>
    <row r="99" spans="1:12" s="962" customFormat="1">
      <c r="A99" s="2339"/>
      <c r="D99" s="2340"/>
      <c r="K99" s="793"/>
      <c r="L99" s="793"/>
    </row>
    <row r="100" spans="1:12" s="962" customFormat="1">
      <c r="A100" s="2339"/>
      <c r="D100" s="2340"/>
      <c r="K100" s="793"/>
      <c r="L100" s="793"/>
    </row>
    <row r="101" spans="1:12" s="962" customFormat="1">
      <c r="A101" s="2339"/>
      <c r="D101" s="2340"/>
      <c r="K101" s="793"/>
      <c r="L101" s="793"/>
    </row>
    <row r="102" spans="1:12" s="962" customFormat="1">
      <c r="A102" s="2339"/>
      <c r="D102" s="2340"/>
      <c r="K102" s="793"/>
      <c r="L102" s="793"/>
    </row>
    <row r="103" spans="1:12" s="962" customFormat="1">
      <c r="A103" s="2339"/>
      <c r="D103" s="2340"/>
      <c r="K103" s="793"/>
      <c r="L103" s="793"/>
    </row>
    <row r="104" spans="1:12" s="962" customFormat="1">
      <c r="A104" s="2339"/>
      <c r="D104" s="2340"/>
      <c r="K104" s="793"/>
      <c r="L104" s="793"/>
    </row>
    <row r="105" spans="1:12" s="962" customFormat="1">
      <c r="A105" s="2339"/>
      <c r="D105" s="2340"/>
      <c r="K105" s="793"/>
      <c r="L105" s="793"/>
    </row>
    <row r="106" spans="1:12" s="962" customFormat="1">
      <c r="A106" s="2339"/>
      <c r="D106" s="2340"/>
      <c r="K106" s="793"/>
      <c r="L106" s="793"/>
    </row>
    <row r="107" spans="1:12" s="962" customFormat="1">
      <c r="A107" s="2339"/>
      <c r="D107" s="2340"/>
      <c r="K107" s="793"/>
      <c r="L107" s="793"/>
    </row>
    <row r="108" spans="1:12" s="962" customFormat="1">
      <c r="A108" s="2339"/>
      <c r="D108" s="2340"/>
      <c r="K108" s="793"/>
      <c r="L108" s="793"/>
    </row>
    <row r="109" spans="1:12" s="962" customFormat="1">
      <c r="A109" s="2339"/>
      <c r="D109" s="2340"/>
      <c r="K109" s="793"/>
      <c r="L109" s="793"/>
    </row>
    <row r="110" spans="1:12" s="962" customFormat="1">
      <c r="A110" s="2339"/>
      <c r="D110" s="2340"/>
      <c r="K110" s="793"/>
      <c r="L110" s="793"/>
    </row>
    <row r="111" spans="1:12" s="962" customFormat="1">
      <c r="A111" s="2339"/>
      <c r="D111" s="2340"/>
      <c r="K111" s="793"/>
      <c r="L111" s="793"/>
    </row>
    <row r="112" spans="1:12" s="962" customFormat="1">
      <c r="A112" s="2339"/>
      <c r="D112" s="2340"/>
      <c r="K112" s="793"/>
      <c r="L112" s="793"/>
    </row>
    <row r="113" spans="1:12" s="962" customFormat="1">
      <c r="A113" s="2339"/>
      <c r="D113" s="2340"/>
      <c r="K113" s="793"/>
      <c r="L113" s="793"/>
    </row>
    <row r="114" spans="1:12" s="962" customFormat="1">
      <c r="A114" s="2339"/>
      <c r="D114" s="2340"/>
      <c r="K114" s="793"/>
      <c r="L114" s="793"/>
    </row>
    <row r="115" spans="1:12" s="962" customFormat="1">
      <c r="A115" s="2339"/>
      <c r="D115" s="2340"/>
      <c r="K115" s="793"/>
      <c r="L115" s="793"/>
    </row>
    <row r="116" spans="1:12" s="962" customFormat="1">
      <c r="A116" s="2339"/>
      <c r="D116" s="2340"/>
      <c r="K116" s="793"/>
      <c r="L116" s="793"/>
    </row>
    <row r="117" spans="1:12" s="962" customFormat="1">
      <c r="A117" s="2339"/>
      <c r="D117" s="2340"/>
      <c r="K117" s="793"/>
      <c r="L117" s="793"/>
    </row>
    <row r="118" spans="1:12" s="962" customFormat="1">
      <c r="A118" s="2339"/>
      <c r="D118" s="2340"/>
      <c r="K118" s="793"/>
      <c r="L118" s="793"/>
    </row>
    <row r="119" spans="1:12" s="962" customFormat="1">
      <c r="A119" s="2339"/>
      <c r="D119" s="2340"/>
      <c r="K119" s="793"/>
      <c r="L119" s="793"/>
    </row>
    <row r="120" spans="1:12" s="962" customFormat="1">
      <c r="A120" s="2339"/>
      <c r="D120" s="2340"/>
      <c r="K120" s="793"/>
      <c r="L120" s="793"/>
    </row>
    <row r="121" spans="1:12" s="962" customFormat="1">
      <c r="A121" s="2339"/>
      <c r="D121" s="2340"/>
      <c r="K121" s="793"/>
      <c r="L121" s="793"/>
    </row>
    <row r="122" spans="1:12" s="962" customFormat="1">
      <c r="A122" s="2339"/>
      <c r="D122" s="2340"/>
      <c r="K122" s="793"/>
      <c r="L122" s="793"/>
    </row>
    <row r="123" spans="1:12" s="962" customFormat="1">
      <c r="A123" s="2339"/>
      <c r="D123" s="2340"/>
      <c r="K123" s="793"/>
      <c r="L123" s="793"/>
    </row>
    <row r="124" spans="1:12" s="962" customFormat="1">
      <c r="A124" s="2339"/>
      <c r="D124" s="2340"/>
      <c r="K124" s="793"/>
      <c r="L124" s="793"/>
    </row>
    <row r="125" spans="1:12" s="962" customFormat="1">
      <c r="A125" s="2339"/>
      <c r="D125" s="2340"/>
      <c r="K125" s="793"/>
      <c r="L125" s="793"/>
    </row>
    <row r="126" spans="1:12" s="962" customFormat="1">
      <c r="A126" s="2339"/>
      <c r="D126" s="2340"/>
      <c r="K126" s="793"/>
      <c r="L126" s="793"/>
    </row>
    <row r="127" spans="1:12" s="962" customFormat="1">
      <c r="A127" s="2339"/>
      <c r="D127" s="2340"/>
      <c r="K127" s="793"/>
      <c r="L127" s="793"/>
    </row>
    <row r="128" spans="1:12" s="962" customFormat="1">
      <c r="A128" s="2339"/>
      <c r="D128" s="2340"/>
      <c r="K128" s="793"/>
      <c r="L128" s="793"/>
    </row>
    <row r="129" spans="1:12" s="962" customFormat="1">
      <c r="A129" s="2339"/>
      <c r="D129" s="2340"/>
      <c r="K129" s="793"/>
      <c r="L129" s="793"/>
    </row>
    <row r="130" spans="1:12" s="962" customFormat="1">
      <c r="A130" s="2339"/>
      <c r="D130" s="2340"/>
      <c r="K130" s="793"/>
      <c r="L130" s="793"/>
    </row>
    <row r="131" spans="1:12" s="962" customFormat="1">
      <c r="A131" s="2339"/>
      <c r="D131" s="2340"/>
      <c r="K131" s="793"/>
      <c r="L131" s="793"/>
    </row>
    <row r="132" spans="1:12" s="962" customFormat="1">
      <c r="A132" s="2339"/>
      <c r="D132" s="2340"/>
      <c r="K132" s="793"/>
      <c r="L132" s="793"/>
    </row>
    <row r="133" spans="1:12" s="962" customFormat="1">
      <c r="A133" s="2339"/>
      <c r="D133" s="2340"/>
      <c r="K133" s="793"/>
      <c r="L133" s="793"/>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5" sqref="B15"/>
    </sheetView>
  </sheetViews>
  <sheetFormatPr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214" t="s">
        <v>2085</v>
      </c>
      <c r="B1" s="3215"/>
      <c r="C1" s="3215"/>
      <c r="D1" s="3215"/>
      <c r="E1" s="3215"/>
      <c r="F1" s="3215"/>
      <c r="G1" s="321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67.5">
      <c r="A3" s="412" t="s">
        <v>2088</v>
      </c>
      <c r="B3" s="1266" t="s">
        <v>2089</v>
      </c>
      <c r="C3" s="2946" t="s">
        <v>3182</v>
      </c>
      <c r="D3" s="2368"/>
      <c r="E3" s="428" t="s">
        <v>2088</v>
      </c>
      <c r="F3" s="2369" t="s">
        <v>2090</v>
      </c>
      <c r="G3" s="2370" t="s">
        <v>2091</v>
      </c>
      <c r="H3" s="2366"/>
      <c r="I3" s="2366"/>
      <c r="J3" s="2366"/>
      <c r="K3" s="2366"/>
      <c r="L3" s="2366"/>
      <c r="M3" s="2366"/>
      <c r="N3" s="2366"/>
      <c r="O3" s="2366"/>
      <c r="P3" s="2366"/>
      <c r="Q3" s="2366"/>
      <c r="R3" s="2366"/>
    </row>
    <row r="4" spans="1:29" ht="41.25">
      <c r="A4" s="428"/>
      <c r="B4" s="1792" t="s">
        <v>2092</v>
      </c>
      <c r="C4" s="2371" t="s">
        <v>2093</v>
      </c>
      <c r="D4" s="2368"/>
      <c r="E4" s="2372"/>
      <c r="F4" s="42" t="s">
        <v>2094</v>
      </c>
      <c r="G4" s="2373" t="s">
        <v>2095</v>
      </c>
      <c r="H4" s="2366"/>
      <c r="I4" s="2366"/>
      <c r="J4" s="2366"/>
      <c r="K4" s="2366"/>
      <c r="L4" s="2366"/>
      <c r="M4" s="2366"/>
      <c r="N4" s="2366"/>
      <c r="O4" s="2366"/>
      <c r="P4" s="2366"/>
      <c r="Q4" s="2366"/>
      <c r="R4" s="2366"/>
    </row>
    <row r="5" spans="1:29" ht="41.25">
      <c r="A5" s="428"/>
      <c r="B5" s="1792" t="s">
        <v>2096</v>
      </c>
      <c r="C5" s="2371" t="s">
        <v>2097</v>
      </c>
      <c r="D5" s="2368"/>
      <c r="E5" s="2372"/>
      <c r="F5" s="1792" t="s">
        <v>2098</v>
      </c>
      <c r="G5" s="2373" t="s">
        <v>2099</v>
      </c>
      <c r="H5" s="2366"/>
      <c r="I5" s="2366"/>
      <c r="J5" s="2366"/>
      <c r="K5" s="2366"/>
      <c r="L5" s="2366"/>
      <c r="M5" s="2366"/>
      <c r="N5" s="2366"/>
      <c r="O5" s="2366"/>
      <c r="P5" s="2366"/>
      <c r="Q5" s="2366"/>
      <c r="R5" s="2366"/>
    </row>
    <row r="6" spans="1:29" ht="108">
      <c r="A6" s="428"/>
      <c r="B6" s="1792" t="s">
        <v>2100</v>
      </c>
      <c r="C6" s="2947" t="s">
        <v>3183</v>
      </c>
      <c r="D6" s="2368"/>
      <c r="E6" s="2372"/>
      <c r="F6" s="1792" t="s">
        <v>2101</v>
      </c>
      <c r="G6" s="2373" t="s">
        <v>2102</v>
      </c>
      <c r="H6" s="2366"/>
      <c r="I6" s="2366"/>
      <c r="J6" s="2366"/>
      <c r="K6" s="2366"/>
      <c r="L6" s="2366"/>
      <c r="M6" s="2366"/>
      <c r="N6" s="2366"/>
      <c r="O6" s="2366"/>
      <c r="P6" s="2366"/>
      <c r="Q6" s="2366"/>
      <c r="R6" s="2366"/>
    </row>
    <row r="7" spans="1:29" ht="81.75" thickBot="1">
      <c r="A7" s="428"/>
      <c r="B7" s="1792" t="s">
        <v>2098</v>
      </c>
      <c r="C7" s="2947" t="s">
        <v>3186</v>
      </c>
      <c r="D7" s="2374"/>
      <c r="E7" s="2375"/>
      <c r="F7" s="2376" t="s">
        <v>2103</v>
      </c>
      <c r="G7" s="2377" t="s">
        <v>2104</v>
      </c>
      <c r="H7" s="2366"/>
      <c r="I7" s="2366"/>
      <c r="J7" s="2366"/>
      <c r="K7" s="2366"/>
      <c r="L7" s="2366"/>
      <c r="M7" s="2366"/>
      <c r="N7" s="2366"/>
      <c r="O7" s="2366"/>
      <c r="P7" s="2366"/>
      <c r="Q7" s="2366"/>
      <c r="R7" s="2366"/>
    </row>
    <row r="8" spans="1:29" ht="27">
      <c r="A8" s="428"/>
      <c r="B8" s="1792" t="s">
        <v>2101</v>
      </c>
      <c r="C8" s="2947" t="s">
        <v>3069</v>
      </c>
      <c r="D8" s="2374"/>
      <c r="E8" s="2374"/>
      <c r="F8" s="1131"/>
      <c r="G8" s="1131"/>
      <c r="H8" s="2366"/>
      <c r="I8" s="3028" t="s">
        <v>3185</v>
      </c>
      <c r="J8" s="2366"/>
      <c r="K8" s="2366"/>
      <c r="L8" s="2366"/>
      <c r="M8" s="2366"/>
      <c r="N8" s="2366"/>
      <c r="O8" s="2366"/>
      <c r="P8" s="2366"/>
      <c r="Q8" s="2366"/>
      <c r="R8" s="2366"/>
    </row>
    <row r="9" spans="1:29" ht="67.5">
      <c r="A9" s="428"/>
      <c r="B9" s="1792" t="s">
        <v>2105</v>
      </c>
      <c r="C9" s="2948" t="s">
        <v>3184</v>
      </c>
      <c r="D9" s="2368"/>
      <c r="E9" s="2374"/>
      <c r="F9" s="1131"/>
      <c r="G9" s="1131"/>
      <c r="H9" s="2366"/>
      <c r="I9" s="2366"/>
      <c r="J9" s="2366"/>
      <c r="K9" s="2366"/>
      <c r="L9" s="2366"/>
      <c r="M9" s="2366"/>
      <c r="N9" s="2366"/>
      <c r="O9" s="2366"/>
      <c r="P9" s="2366"/>
      <c r="Q9" s="2366"/>
      <c r="R9" s="2366"/>
    </row>
    <row r="10" spans="1:29" s="116" customFormat="1" ht="15.75" thickBot="1">
      <c r="A10" s="2378"/>
      <c r="B10" s="2379" t="s">
        <v>2106</v>
      </c>
      <c r="C10" s="2380" t="s">
        <v>3070</v>
      </c>
      <c r="D10" s="2368"/>
      <c r="E10" s="2368"/>
      <c r="F10" s="1131"/>
      <c r="G10" s="1131"/>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6" customFormat="1" ht="15">
      <c r="A11" s="2384"/>
      <c r="B11" s="2374"/>
      <c r="C11" s="2368"/>
      <c r="D11" s="2368"/>
      <c r="E11" s="2368"/>
      <c r="F11" s="2374"/>
      <c r="G11" s="1149"/>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8"/>
      <c r="D12" s="2385"/>
      <c r="E12" s="2368"/>
      <c r="F12" s="2374"/>
      <c r="G12" s="1149"/>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9.5" thickBot="1">
      <c r="A13" s="2391" t="s">
        <v>2107</v>
      </c>
      <c r="B13" s="2385"/>
      <c r="C13" s="2385"/>
      <c r="D13" s="2392"/>
      <c r="E13" s="2385"/>
      <c r="F13" s="2385"/>
      <c r="G13" s="2385"/>
    </row>
    <row r="14" spans="1:29" ht="15.75" thickBot="1">
      <c r="A14" s="2396"/>
      <c r="B14" s="2397"/>
      <c r="C14" s="2398" t="s">
        <v>2108</v>
      </c>
      <c r="D14" s="2368"/>
      <c r="E14" s="2399"/>
      <c r="F14" s="2399"/>
      <c r="G14" s="2363" t="s">
        <v>2109</v>
      </c>
    </row>
    <row r="15" spans="1:29" ht="71.25">
      <c r="A15" s="68" t="s">
        <v>2110</v>
      </c>
      <c r="B15" s="1265" t="s">
        <v>2089</v>
      </c>
      <c r="C15" s="2400" t="str">
        <f>C3</f>
        <v>估价对象周边有安宁华庭、安宁佳园、当代城市家园等小区、居住小区规模较大，入住率较高，综合评价居住社区成熟度较好。</v>
      </c>
      <c r="D15" s="2368"/>
      <c r="E15" s="2401" t="s">
        <v>2111</v>
      </c>
      <c r="F15" s="1265" t="s">
        <v>2112</v>
      </c>
      <c r="G15" s="132" t="str">
        <f>G3</f>
        <v>估价对象位于XX开发区，园区建设成熟度XX，产业集聚程度XX</v>
      </c>
    </row>
    <row r="16" spans="1:29" ht="42.75">
      <c r="A16" s="640"/>
      <c r="B16" s="2402" t="s">
        <v>2092</v>
      </c>
      <c r="C16" s="2403" t="str">
        <f>C4</f>
        <v>估价对象位于XX商圈，周边商业氛围成熟，人流量大，商业繁华度好</v>
      </c>
      <c r="D16" s="2368"/>
      <c r="E16" s="2404"/>
      <c r="F16" s="2405" t="s">
        <v>2094</v>
      </c>
      <c r="G16" s="133" t="str">
        <f>G4</f>
        <v>估价对象周边道路状况、公共交通通达情况、停车便捷程度，综合评价交通便捷度较好</v>
      </c>
    </row>
    <row r="17" spans="1:18" ht="42.75">
      <c r="A17" s="640"/>
      <c r="B17" s="2402" t="s">
        <v>2096</v>
      </c>
      <c r="C17" s="2403" t="str">
        <f>C5</f>
        <v>估价对象位于XX商圈，周边办公楼项目较多，入驻率高，办公集聚程度较好</v>
      </c>
      <c r="D17" s="2374"/>
      <c r="E17" s="2404"/>
      <c r="F17" s="2405" t="s">
        <v>2113</v>
      </c>
      <c r="G17" s="1566"/>
    </row>
    <row r="18" spans="1:18" ht="114">
      <c r="A18" s="640"/>
      <c r="B18" s="2405" t="s">
        <v>2100</v>
      </c>
      <c r="C18" s="133" t="str">
        <f>C6</f>
        <v>估价对象紧邻城市次干道—安宁庄路，距首都机场约30公里、距北京火车站约25公里，周边有运通114、运通119、392、636路等公交线路，西北侧约1.5公里为城铁13号线西二旗站，综合评价交通便捷度较好。</v>
      </c>
      <c r="D18" s="2374"/>
      <c r="E18" s="2404"/>
      <c r="F18" s="2405" t="s">
        <v>2103</v>
      </c>
      <c r="G18" s="133" t="str">
        <f>G7</f>
        <v>该园区内是否有污染型企业，绿化情况，卫生条件，整体环境状况判断</v>
      </c>
    </row>
    <row r="19" spans="1:18" ht="28.5">
      <c r="A19" s="640"/>
      <c r="B19" s="2405" t="s">
        <v>2114</v>
      </c>
      <c r="C19" s="1566"/>
      <c r="D19" s="2368"/>
      <c r="E19" s="2404"/>
      <c r="F19" s="1792" t="s">
        <v>2098</v>
      </c>
      <c r="G19" s="133" t="str">
        <f>G5</f>
        <v>估价对象所在区域公共配套设施齐备情况</v>
      </c>
    </row>
    <row r="20" spans="1:18" ht="71.25">
      <c r="A20" s="640"/>
      <c r="B20" s="2405" t="s">
        <v>2115</v>
      </c>
      <c r="C20" s="2403" t="str">
        <f>C9</f>
        <v>估价对象西北侧隔路有加油站；周边2公里范围内无大型绿化及博物馆、高等教育学校等人文设施；综合评价环境状况较差。</v>
      </c>
      <c r="D20" s="2374"/>
      <c r="E20" s="2404"/>
      <c r="F20" s="1792" t="s">
        <v>2116</v>
      </c>
      <c r="G20" s="133" t="str">
        <f>G6</f>
        <v>估价对象所在区域基础设施水平</v>
      </c>
    </row>
    <row r="21" spans="1:18" ht="85.5">
      <c r="A21" s="640"/>
      <c r="B21" s="1792" t="s">
        <v>2098</v>
      </c>
      <c r="C21" s="133" t="str">
        <f>C7</f>
        <v>估价对象周边有教育机构（育鹰小学、西二旗小学）、医疗设施（清河社区卫生服务站）、金融机构（农商银行、建设银行）等，公共配套设施状况一般。</v>
      </c>
      <c r="D21" s="2368"/>
      <c r="E21" s="2404"/>
      <c r="F21" s="2405" t="s">
        <v>2117</v>
      </c>
      <c r="G21" s="2406"/>
    </row>
    <row r="22" spans="1:18" ht="13.5" customHeight="1">
      <c r="A22" s="640"/>
      <c r="B22" s="1792" t="s">
        <v>2101</v>
      </c>
      <c r="C22" s="133" t="str">
        <f>C8</f>
        <v>估价对象所在区域基础设施水平为五通一平</v>
      </c>
      <c r="D22" s="2368"/>
      <c r="E22" s="2404"/>
      <c r="F22" s="2405" t="s">
        <v>2106</v>
      </c>
      <c r="G22" s="1566"/>
    </row>
    <row r="23" spans="1:18" s="2366" customFormat="1" ht="15.75" thickBot="1">
      <c r="A23" s="640"/>
      <c r="B23" s="2405" t="s">
        <v>2117</v>
      </c>
      <c r="C23" s="2406"/>
      <c r="D23" s="2393"/>
      <c r="E23" s="2407"/>
      <c r="F23" s="2408" t="s">
        <v>2118</v>
      </c>
      <c r="G23" s="2409"/>
      <c r="H23" s="2393"/>
      <c r="I23" s="2394"/>
      <c r="J23" s="2393"/>
      <c r="K23" s="2393"/>
      <c r="L23" s="2394"/>
      <c r="M23" s="2393"/>
      <c r="N23" s="2393"/>
      <c r="O23" s="2394"/>
      <c r="P23" s="2393"/>
      <c r="Q23" s="2393"/>
      <c r="R23" s="2395"/>
    </row>
    <row r="24" spans="1:18" s="2366" customFormat="1" ht="15.75" thickBot="1">
      <c r="A24" s="2410"/>
      <c r="B24" s="2408" t="s">
        <v>2119</v>
      </c>
      <c r="C24" s="134" t="str">
        <f>C10</f>
        <v>紧邻城市支路-门头沟路</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 sqref="B2"/>
    </sheetView>
  </sheetViews>
  <sheetFormatPr defaultRowHeight="13.5"/>
  <cols>
    <col min="1" max="1" width="23.375" style="1735" customWidth="1"/>
    <col min="2" max="9" width="15.75" style="1735" customWidth="1"/>
    <col min="10" max="16384" width="9" style="1735"/>
  </cols>
  <sheetData>
    <row r="1" spans="1:10" ht="16.5">
      <c r="A1" s="1740" t="s">
        <v>1365</v>
      </c>
      <c r="B1" s="1740">
        <v>10000</v>
      </c>
      <c r="C1" s="1739"/>
      <c r="D1" s="1739"/>
      <c r="E1" s="1739"/>
      <c r="F1" s="1739"/>
      <c r="G1" s="1737"/>
    </row>
    <row r="2" spans="1:10" ht="16.5">
      <c r="A2" s="1740" t="s">
        <v>1353</v>
      </c>
      <c r="B2" s="1740">
        <f>面积汇总!E18*10000</f>
        <v>174600</v>
      </c>
      <c r="C2" s="1739"/>
      <c r="D2" s="1739"/>
      <c r="E2" s="1739"/>
      <c r="F2" s="1739"/>
      <c r="G2" s="1737"/>
    </row>
    <row r="3" spans="1:10" ht="16.5">
      <c r="A3" s="1740" t="s">
        <v>1362</v>
      </c>
      <c r="B3" s="1741">
        <f>项目基本情况!D3</f>
        <v>43621</v>
      </c>
      <c r="C3" s="1739"/>
      <c r="D3" s="1739"/>
      <c r="E3" s="1739"/>
      <c r="F3" s="1739"/>
      <c r="G3" s="1737"/>
    </row>
    <row r="4" spans="1:10" ht="33">
      <c r="A4" s="1740" t="s">
        <v>1361</v>
      </c>
      <c r="B4" s="1740" t="s">
        <v>1360</v>
      </c>
      <c r="C4" s="1740" t="s">
        <v>1359</v>
      </c>
      <c r="D4" s="1740" t="s">
        <v>1358</v>
      </c>
      <c r="E4" s="1739"/>
      <c r="F4" s="1737"/>
      <c r="G4" s="1737"/>
    </row>
    <row r="5" spans="1:10" ht="16.5">
      <c r="A5" s="1740" t="s">
        <v>1357</v>
      </c>
      <c r="B5" s="2961">
        <f ca="1">SUM(D14:D23)</f>
        <v>29329</v>
      </c>
      <c r="C5" s="1740">
        <f ca="1">ROUND(B5*10000/$B$1,0)</f>
        <v>29329</v>
      </c>
      <c r="D5" s="1740">
        <f ca="1">ROUND(B5*10000/$B$2,0)</f>
        <v>1680</v>
      </c>
      <c r="E5" s="1739"/>
      <c r="F5" s="1737"/>
      <c r="G5" s="1737"/>
    </row>
    <row r="6" spans="1:10" ht="16.5">
      <c r="A6" s="1740" t="s">
        <v>1356</v>
      </c>
      <c r="B6" s="1740">
        <f ca="1">SUM(G14:G23)</f>
        <v>3</v>
      </c>
      <c r="C6" s="1740">
        <f ca="1">ROUND(B6*10000/$B$1,0)</f>
        <v>3</v>
      </c>
      <c r="D6" s="1740">
        <f ca="1">ROUND(B6*10000/$B$2,0)</f>
        <v>0</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B1</f>
        <v>10000</v>
      </c>
      <c r="C14" s="1738">
        <f>B2</f>
        <v>174600</v>
      </c>
      <c r="D14" s="2960">
        <f ca="1">E14*B14/10000</f>
        <v>29329</v>
      </c>
      <c r="E14" s="1738">
        <f ca="1">结果表!G20</f>
        <v>29329</v>
      </c>
      <c r="F14" s="1738">
        <f ca="1">ROUND(D14*10000/C14,0)</f>
        <v>1680</v>
      </c>
      <c r="G14" s="1738">
        <f ca="1">结果表!D122</f>
        <v>3</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7" sqref="K7"/>
    </sheetView>
  </sheetViews>
  <sheetFormatPr defaultColWidth="12.625" defaultRowHeight="21.75" customHeight="1"/>
  <cols>
    <col min="1" max="2" width="12.625" style="2422"/>
    <col min="3" max="4" width="12.625" style="2422" customWidth="1"/>
    <col min="5" max="5" width="0" style="2422" hidden="1" customWidth="1"/>
    <col min="6" max="9" width="12.625" style="2422"/>
    <col min="10" max="11" width="12.625" style="790" customWidth="1"/>
    <col min="12" max="12" width="12.625" style="790"/>
    <col min="13" max="13" width="14.125" style="790" bestFit="1" customWidth="1"/>
    <col min="14" max="26" width="12.625" style="790"/>
    <col min="27" max="35" width="12.625" style="2421"/>
    <col min="36" max="16384" width="12.625" style="2422"/>
  </cols>
  <sheetData>
    <row r="1" spans="1:12" ht="21.75" customHeight="1" thickBot="1">
      <c r="A1" s="2223" t="s">
        <v>2120</v>
      </c>
      <c r="B1" s="2416"/>
      <c r="C1" s="2417" t="s">
        <v>3049</v>
      </c>
      <c r="D1" s="2416"/>
      <c r="E1" s="2416"/>
      <c r="F1" s="2418" t="s">
        <v>2121</v>
      </c>
      <c r="G1" s="2068" t="s">
        <v>3059</v>
      </c>
      <c r="H1" s="2419" t="str">
        <f>IF(G1="现房","——","估价对象范围")</f>
        <v>——</v>
      </c>
      <c r="I1" s="2420" t="s">
        <v>3138</v>
      </c>
    </row>
    <row r="2" spans="1:12" ht="21.75" customHeight="1" thickBot="1">
      <c r="A2" s="3249" t="str">
        <f>项目基本情况!S2</f>
        <v>北京市房地产</v>
      </c>
      <c r="B2" s="3250"/>
      <c r="C2" s="3250"/>
      <c r="D2" s="3250"/>
      <c r="E2" s="3250"/>
      <c r="F2" s="3250"/>
      <c r="G2" s="3250"/>
      <c r="H2" s="3250"/>
      <c r="I2" s="3251"/>
    </row>
    <row r="3" spans="1:12" ht="12.75">
      <c r="A3" s="3253" t="s">
        <v>2122</v>
      </c>
      <c r="B3" s="3254"/>
      <c r="C3" s="3254"/>
      <c r="D3" s="3254"/>
      <c r="E3" s="3254"/>
      <c r="F3" s="3254"/>
      <c r="G3" s="3254"/>
      <c r="H3" s="3254"/>
      <c r="I3" s="3254"/>
    </row>
    <row r="4" spans="1:12" ht="14.25">
      <c r="A4" s="2423" t="s">
        <v>2123</v>
      </c>
      <c r="B4" s="2424" t="s">
        <v>2124</v>
      </c>
      <c r="C4" s="2425" t="s">
        <v>3060</v>
      </c>
      <c r="D4" s="2425" t="s">
        <v>3137</v>
      </c>
      <c r="E4" s="3246" t="s">
        <v>2125</v>
      </c>
      <c r="F4" s="3247"/>
      <c r="G4" s="3247"/>
      <c r="H4" s="3247"/>
      <c r="I4" s="3255"/>
      <c r="K4" s="2426"/>
      <c r="L4" s="2426"/>
    </row>
    <row r="5" spans="1:12" ht="12.75">
      <c r="A5" s="3229" t="s">
        <v>2126</v>
      </c>
      <c r="B5" s="3167">
        <v>25</v>
      </c>
      <c r="C5" s="3232">
        <v>5</v>
      </c>
      <c r="D5" s="3252">
        <f>10-C5</f>
        <v>5</v>
      </c>
      <c r="E5" s="137" t="s">
        <v>2127</v>
      </c>
      <c r="F5" s="2427"/>
      <c r="G5" s="2427"/>
      <c r="H5" s="2427"/>
      <c r="I5" s="1828"/>
    </row>
    <row r="6" spans="1:12" ht="12.75">
      <c r="A6" s="3229"/>
      <c r="B6" s="3167"/>
      <c r="C6" s="3233"/>
      <c r="D6" s="3252"/>
      <c r="E6" s="137" t="s">
        <v>2128</v>
      </c>
      <c r="F6" s="2427"/>
      <c r="G6" s="2427"/>
      <c r="H6" s="2427"/>
      <c r="I6" s="1828"/>
    </row>
    <row r="7" spans="1:12" ht="12.75">
      <c r="A7" s="3229"/>
      <c r="B7" s="3167"/>
      <c r="C7" s="3234"/>
      <c r="D7" s="3252"/>
      <c r="E7" s="137" t="s">
        <v>2129</v>
      </c>
      <c r="F7" s="2427"/>
      <c r="G7" s="2427"/>
      <c r="H7" s="2427"/>
      <c r="I7" s="1828"/>
    </row>
    <row r="8" spans="1:12" ht="12.75" hidden="1">
      <c r="A8" s="3229" t="s">
        <v>2130</v>
      </c>
      <c r="B8" s="3167">
        <v>15</v>
      </c>
      <c r="C8" s="3232"/>
      <c r="D8" s="3252"/>
      <c r="E8" s="137" t="s">
        <v>2131</v>
      </c>
      <c r="F8" s="2427"/>
      <c r="G8" s="2427"/>
      <c r="H8" s="2427"/>
      <c r="I8" s="1828"/>
    </row>
    <row r="9" spans="1:12" ht="12.75" hidden="1">
      <c r="A9" s="3229"/>
      <c r="B9" s="3167"/>
      <c r="C9" s="3234"/>
      <c r="D9" s="3252"/>
      <c r="E9" s="137" t="s">
        <v>2132</v>
      </c>
      <c r="F9" s="2427"/>
      <c r="G9" s="2427"/>
      <c r="H9" s="2427"/>
      <c r="I9" s="1828"/>
    </row>
    <row r="10" spans="1:12" ht="12.75" hidden="1">
      <c r="A10" s="3229" t="s">
        <v>2133</v>
      </c>
      <c r="B10" s="3167">
        <v>15</v>
      </c>
      <c r="C10" s="3232"/>
      <c r="D10" s="3252"/>
      <c r="E10" s="137" t="s">
        <v>2134</v>
      </c>
      <c r="F10" s="2427"/>
      <c r="G10" s="2427"/>
      <c r="H10" s="2427"/>
      <c r="I10" s="1828"/>
    </row>
    <row r="11" spans="1:12" ht="12.75" hidden="1">
      <c r="A11" s="3229"/>
      <c r="B11" s="3167"/>
      <c r="C11" s="3234"/>
      <c r="D11" s="3252"/>
      <c r="E11" s="137" t="s">
        <v>2135</v>
      </c>
      <c r="F11" s="2427"/>
      <c r="G11" s="2427"/>
      <c r="H11" s="2427"/>
      <c r="I11" s="1828"/>
    </row>
    <row r="12" spans="1:12" ht="12.75" hidden="1">
      <c r="A12" s="3229" t="s">
        <v>2136</v>
      </c>
      <c r="B12" s="3167">
        <v>15</v>
      </c>
      <c r="C12" s="3232"/>
      <c r="D12" s="3252"/>
      <c r="E12" s="137" t="s">
        <v>2137</v>
      </c>
      <c r="F12" s="2427"/>
      <c r="G12" s="2427"/>
      <c r="H12" s="2427"/>
      <c r="I12" s="1828"/>
    </row>
    <row r="13" spans="1:12" ht="12.75" hidden="1">
      <c r="A13" s="3229"/>
      <c r="B13" s="3167"/>
      <c r="C13" s="3234"/>
      <c r="D13" s="3252"/>
      <c r="E13" s="137" t="s">
        <v>2138</v>
      </c>
      <c r="F13" s="2427"/>
      <c r="G13" s="2427"/>
      <c r="H13" s="2427"/>
      <c r="I13" s="1828"/>
    </row>
    <row r="14" spans="1:12" ht="12.75" hidden="1">
      <c r="A14" s="3229" t="s">
        <v>2139</v>
      </c>
      <c r="B14" s="3167">
        <v>30</v>
      </c>
      <c r="C14" s="3232"/>
      <c r="D14" s="3252"/>
      <c r="E14" s="137" t="s">
        <v>2140</v>
      </c>
      <c r="F14" s="2427"/>
      <c r="G14" s="2427"/>
      <c r="H14" s="2427"/>
      <c r="I14" s="1828"/>
    </row>
    <row r="15" spans="1:12" ht="12.75" hidden="1">
      <c r="A15" s="3229"/>
      <c r="B15" s="3167"/>
      <c r="C15" s="3233"/>
      <c r="D15" s="3252"/>
      <c r="E15" s="137" t="s">
        <v>2141</v>
      </c>
      <c r="F15" s="2427"/>
      <c r="G15" s="2427"/>
      <c r="H15" s="2427"/>
      <c r="I15" s="1828"/>
    </row>
    <row r="16" spans="1:12" ht="12.75" hidden="1">
      <c r="A16" s="3229"/>
      <c r="B16" s="3167"/>
      <c r="C16" s="3234"/>
      <c r="D16" s="3252"/>
      <c r="E16" s="137" t="s">
        <v>2142</v>
      </c>
      <c r="F16" s="2427"/>
      <c r="G16" s="2427"/>
      <c r="H16" s="2427"/>
      <c r="I16" s="1828"/>
    </row>
    <row r="17" spans="1:35" ht="15" hidden="1">
      <c r="A17" s="2428" t="s">
        <v>2143</v>
      </c>
      <c r="B17" s="64"/>
      <c r="C17" s="138">
        <f>SUM(C5:C16)</f>
        <v>5</v>
      </c>
      <c r="D17" s="138">
        <f>SUM(D5:D16)</f>
        <v>5</v>
      </c>
      <c r="E17" s="135"/>
      <c r="F17" s="135"/>
      <c r="G17" s="135"/>
      <c r="H17" s="135"/>
      <c r="I17" s="135"/>
      <c r="K17" s="2426"/>
      <c r="L17" s="2429" t="s">
        <v>2144</v>
      </c>
      <c r="M17" s="2429" t="s">
        <v>2145</v>
      </c>
    </row>
    <row r="18" spans="1:35" ht="15.75" hidden="1" thickBot="1">
      <c r="A18" s="2430" t="s">
        <v>2146</v>
      </c>
      <c r="B18" s="2431"/>
      <c r="C18" s="139">
        <f>ROUND(C17/SUM(C17:D17),2)</f>
        <v>0.5</v>
      </c>
      <c r="D18" s="139">
        <f>1-C18</f>
        <v>0.5</v>
      </c>
      <c r="E18" s="135"/>
      <c r="F18" s="135"/>
      <c r="G18" s="135"/>
      <c r="H18" s="135"/>
      <c r="I18" s="135"/>
      <c r="K18" s="2426" t="s">
        <v>2147</v>
      </c>
      <c r="L18" s="2426">
        <f>IF(C1="",'数据-汇总表'!E3,SUMIF(项目类型,C1,'数据-汇总表'!E17:E26)+SUMIF(项目类型,C1,'数据-汇总表'!I17:I26))</f>
        <v>0</v>
      </c>
      <c r="M18" s="2426">
        <f>IF(C1="",'数据-汇总表'!E3,SUMIF(项目类型,C1,'数据-汇总表'!E17:E26))</f>
        <v>0</v>
      </c>
    </row>
    <row r="19" spans="1:35" ht="15" hidden="1">
      <c r="A19" s="2432" t="s">
        <v>2148</v>
      </c>
      <c r="B19" s="2433" t="s">
        <v>2149</v>
      </c>
      <c r="C19" s="140">
        <f ca="1">SUMIF(INDIRECT("'"&amp;C4&amp;"'"&amp;"!A:A"),结果表!B19,INDIRECT("'"&amp;C4&amp;"'"&amp;"!B:B"))</f>
        <v>3</v>
      </c>
      <c r="D19" s="141">
        <f ca="1">SUMIF(INDIRECT("'"&amp;D4&amp;"'"&amp;"!A:A"),结果表!B19,INDIRECT("'"&amp;D4&amp;"'"&amp;"!B:B"))</f>
        <v>3</v>
      </c>
      <c r="E19" s="2432" t="s">
        <v>2150</v>
      </c>
      <c r="F19" s="2433" t="s">
        <v>2149</v>
      </c>
      <c r="G19" s="142">
        <f ca="1">ROUND(C19*$C$18+D19*$D$18,0)</f>
        <v>3</v>
      </c>
      <c r="H19" s="2434" t="s">
        <v>2151</v>
      </c>
      <c r="I19" s="135"/>
      <c r="K19" s="2426" t="s">
        <v>2152</v>
      </c>
      <c r="L19" s="2426">
        <f>IF(C1="",'数据-汇总表'!D3,SUMIF(项目类型,C1,'数据-汇总表'!D17:D26)+SUMIF(项目类型,C1,'数据-汇总表'!H17:H27))</f>
        <v>0</v>
      </c>
      <c r="M19" s="2426">
        <f>IF(C1="",'数据-汇总表'!D3,SUMIF(项目类型,C1,'数据-汇总表'!D17:D26))</f>
        <v>0</v>
      </c>
    </row>
    <row r="20" spans="1:35" ht="15">
      <c r="A20" s="2435"/>
      <c r="B20" s="1245" t="s">
        <v>2153</v>
      </c>
      <c r="C20" s="143">
        <f ca="1">'成本法 (元)'!C52</f>
        <v>29213</v>
      </c>
      <c r="D20" s="144">
        <f>'比较法-住宅'!B3</f>
        <v>29444</v>
      </c>
      <c r="E20" s="2435"/>
      <c r="F20" s="1245" t="s">
        <v>2153</v>
      </c>
      <c r="G20" s="145">
        <f ca="1">ROUND(C20*$C$18+D20*$D$18,0)</f>
        <v>29329</v>
      </c>
      <c r="H20" s="978" t="s">
        <v>2154</v>
      </c>
      <c r="I20" s="135"/>
    </row>
    <row r="21" spans="1:35" ht="15" customHeight="1" thickBot="1">
      <c r="A21" s="998"/>
      <c r="B21" s="2436" t="s">
        <v>2155</v>
      </c>
      <c r="C21" s="784" t="e">
        <f ca="1">ROUND(C19*10000/L19,0)</f>
        <v>#DIV/0!</v>
      </c>
      <c r="D21" s="785" t="e">
        <f ca="1">ROUND(D19*10000/L19,0)</f>
        <v>#DIV/0!</v>
      </c>
      <c r="E21" s="998"/>
      <c r="F21" s="2436" t="s">
        <v>2155</v>
      </c>
      <c r="G21" s="146" t="e">
        <f ca="1">ROUND(G19*10000/L19,0)</f>
        <v>#DIV/0!</v>
      </c>
      <c r="H21" s="2437" t="s">
        <v>2154</v>
      </c>
      <c r="I21" s="135"/>
    </row>
    <row r="22" spans="1:35" ht="15" thickBot="1">
      <c r="A22" s="2279" t="s">
        <v>2156</v>
      </c>
      <c r="B22" s="2438"/>
      <c r="C22" s="2439"/>
      <c r="D22" s="786">
        <f ca="1">IF(C19&lt;D19,D19/C19-1,C19/D19-1)</f>
        <v>0</v>
      </c>
      <c r="E22" s="135"/>
      <c r="F22" s="135"/>
      <c r="G22" s="135"/>
      <c r="H22" s="135"/>
      <c r="I22" s="135"/>
    </row>
    <row r="23" spans="1:35" ht="13.5" thickBot="1">
      <c r="A23" s="2416"/>
      <c r="B23" s="2416"/>
      <c r="C23" s="2416"/>
      <c r="D23" s="2416"/>
      <c r="E23" s="135"/>
      <c r="F23" s="135"/>
      <c r="G23" s="135"/>
      <c r="H23" s="135"/>
      <c r="I23" s="135"/>
    </row>
    <row r="24" spans="1:35" ht="14.25">
      <c r="A24" s="3223" t="s">
        <v>2157</v>
      </c>
      <c r="B24" s="2433" t="s">
        <v>2149</v>
      </c>
      <c r="C24" s="142">
        <f>IF(B30=0,0,D30)</f>
        <v>0</v>
      </c>
      <c r="D24" s="2440"/>
      <c r="E24" s="135"/>
      <c r="F24" s="135"/>
      <c r="G24" s="135"/>
      <c r="H24" s="135"/>
      <c r="I24" s="135"/>
    </row>
    <row r="25" spans="1:35" ht="14.25">
      <c r="A25" s="3224"/>
      <c r="B25" s="1245" t="s">
        <v>2153</v>
      </c>
      <c r="C25" s="147">
        <f>IF(B30=0,0,C30)</f>
        <v>0</v>
      </c>
      <c r="D25" s="2441"/>
      <c r="E25" s="135"/>
      <c r="F25" s="135"/>
      <c r="G25" s="135"/>
      <c r="H25" s="135"/>
      <c r="I25" s="135"/>
    </row>
    <row r="26" spans="1:35" ht="13.5" customHeight="1">
      <c r="A26" s="2442" t="s">
        <v>2158</v>
      </c>
      <c r="B26" s="148" t="s">
        <v>2159</v>
      </c>
      <c r="C26" s="148" t="s">
        <v>2160</v>
      </c>
      <c r="D26" s="149" t="s">
        <v>2161</v>
      </c>
      <c r="E26" s="135"/>
      <c r="F26" s="135"/>
      <c r="G26" s="135"/>
      <c r="H26" s="135"/>
      <c r="I26" s="135"/>
    </row>
    <row r="27" spans="1:35" ht="14.25">
      <c r="A27" s="2442"/>
      <c r="B27" s="148">
        <v>0</v>
      </c>
      <c r="C27" s="148">
        <v>0</v>
      </c>
      <c r="D27" s="149">
        <f>ROUND(C27*B27/10000,0)</f>
        <v>0</v>
      </c>
      <c r="E27" s="135"/>
      <c r="F27" s="135"/>
      <c r="G27" s="135"/>
      <c r="H27" s="135"/>
      <c r="I27" s="135"/>
    </row>
    <row r="28" spans="1:35" ht="14.25">
      <c r="A28" s="2442"/>
      <c r="B28" s="148"/>
      <c r="C28" s="148"/>
      <c r="D28" s="149"/>
      <c r="E28" s="135"/>
      <c r="F28" s="135"/>
      <c r="G28" s="135"/>
      <c r="H28" s="135"/>
      <c r="I28" s="135"/>
    </row>
    <row r="29" spans="1:35" ht="14.25">
      <c r="A29" s="2442"/>
      <c r="B29" s="148"/>
      <c r="C29" s="148"/>
      <c r="D29" s="149"/>
      <c r="E29" s="135"/>
      <c r="F29" s="135"/>
      <c r="G29" s="135"/>
      <c r="H29" s="135"/>
      <c r="I29" s="135"/>
    </row>
    <row r="30" spans="1:35" ht="14.25">
      <c r="A30" s="148" t="s">
        <v>2162</v>
      </c>
      <c r="B30" s="148"/>
      <c r="C30" s="148"/>
      <c r="D30" s="148"/>
      <c r="E30" s="2925" t="s">
        <v>3037</v>
      </c>
      <c r="F30" s="135"/>
      <c r="G30" s="135"/>
      <c r="H30" s="135"/>
      <c r="I30" s="135"/>
    </row>
    <row r="31" spans="1:35" s="2444" customFormat="1" ht="15" thickBot="1">
      <c r="A31" s="2443"/>
      <c r="B31" s="2443"/>
      <c r="C31" s="2443"/>
      <c r="D31" s="2443"/>
      <c r="E31" s="135"/>
      <c r="F31" s="135"/>
      <c r="G31" s="135"/>
      <c r="H31" s="135"/>
      <c r="I31" s="135"/>
      <c r="J31" s="790"/>
      <c r="K31" s="790"/>
      <c r="L31" s="790"/>
      <c r="M31" s="790"/>
      <c r="N31" s="790"/>
      <c r="O31" s="790"/>
      <c r="P31" s="790"/>
      <c r="Q31" s="790"/>
      <c r="R31" s="790"/>
      <c r="S31" s="790"/>
      <c r="T31" s="790"/>
      <c r="U31" s="790"/>
      <c r="V31" s="790"/>
      <c r="W31" s="790"/>
      <c r="X31" s="790"/>
      <c r="Y31" s="790"/>
      <c r="Z31" s="790"/>
      <c r="AA31" s="2421"/>
      <c r="AB31" s="2421"/>
      <c r="AC31" s="2421"/>
      <c r="AD31" s="2421"/>
      <c r="AE31" s="2421"/>
      <c r="AF31" s="2421"/>
      <c r="AG31" s="2421"/>
      <c r="AH31" s="2421"/>
      <c r="AI31" s="2421"/>
    </row>
    <row r="32" spans="1:35" ht="15.75" thickBot="1">
      <c r="A32" s="2445" t="s">
        <v>2163</v>
      </c>
      <c r="B32" s="2446"/>
      <c r="C32" s="150">
        <f ca="1">IF(D32="总价",G19-C24,G20-C25)</f>
        <v>3</v>
      </c>
      <c r="D32" s="2447" t="s">
        <v>2164</v>
      </c>
      <c r="E32" s="135"/>
      <c r="F32" s="135"/>
      <c r="G32" s="135"/>
      <c r="H32" s="135"/>
      <c r="I32" s="135"/>
      <c r="L32" s="3114"/>
    </row>
    <row r="33" spans="1:15" ht="15.75" thickBot="1">
      <c r="A33" s="955" t="s">
        <v>2165</v>
      </c>
      <c r="B33" s="2448"/>
      <c r="C33" s="2449"/>
      <c r="D33" s="2450"/>
      <c r="E33" s="2451" t="s">
        <v>2166</v>
      </c>
      <c r="F33" s="2452" t="str">
        <f>IF(D32="楼面单价","取值（单价）","取值（总价）")</f>
        <v>取值（总价）</v>
      </c>
      <c r="G33" s="135"/>
      <c r="H33" s="135"/>
      <c r="I33" s="135"/>
      <c r="L33" s="3114"/>
    </row>
    <row r="34" spans="1:15" ht="15.75" thickBot="1">
      <c r="A34" s="2453"/>
      <c r="B34" s="2454" t="s">
        <v>2167</v>
      </c>
      <c r="C34" s="154" t="e">
        <f ca="1">IF(C33="自定义",F34,C32-C35)</f>
        <v>#REF!</v>
      </c>
      <c r="D34" s="1053" t="e">
        <f ca="1">IF(C33="自定义",ROUND(C34/C32,3),IF(C33="收益比率",SUMIF(INDIRECT("'"&amp;D33&amp;"'"&amp;"!b:b"),"土地收益比率",INDIRECT("'"&amp;D33&amp;"'"&amp;"!c:c")),SUMIF(INDIRECT("'"&amp;D33&amp;"'"&amp;"!b:b"),"土地成本比率",INDIRECT("'"&amp;D33&amp;"'"&amp;"!c:c"))))</f>
        <v>#REF!</v>
      </c>
      <c r="E34" s="2455" t="s">
        <v>2168</v>
      </c>
      <c r="F34" s="1733"/>
      <c r="G34" s="135"/>
      <c r="H34" s="135"/>
      <c r="I34" s="135"/>
      <c r="L34" s="3114"/>
    </row>
    <row r="35" spans="1:15" ht="15.75" thickBot="1">
      <c r="A35" s="2456"/>
      <c r="B35" s="2457" t="s">
        <v>2169</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8" t="s">
        <v>2170</v>
      </c>
      <c r="F35" s="160"/>
      <c r="G35" s="135"/>
      <c r="H35" s="135"/>
      <c r="I35" s="135"/>
      <c r="L35" s="3114"/>
    </row>
    <row r="36" spans="1:15" ht="15.75" thickBot="1">
      <c r="A36" s="3241" t="s">
        <v>2171</v>
      </c>
      <c r="B36" s="2459" t="s">
        <v>2172</v>
      </c>
      <c r="C36" s="151"/>
      <c r="D36" s="2460"/>
      <c r="E36" s="2461"/>
      <c r="F36" s="2462"/>
      <c r="G36" s="135"/>
      <c r="H36" s="135"/>
      <c r="I36" s="135"/>
    </row>
    <row r="37" spans="1:15" ht="15.75" thickBot="1">
      <c r="A37" s="3242"/>
      <c r="B37" s="2265" t="s">
        <v>2173</v>
      </c>
      <c r="C37" s="153"/>
      <c r="D37" s="1389"/>
      <c r="E37" s="1389"/>
      <c r="F37" s="2462"/>
      <c r="G37" s="135"/>
      <c r="H37" s="135"/>
      <c r="I37" s="135"/>
    </row>
    <row r="38" spans="1:15" ht="15.75" thickBot="1">
      <c r="A38" s="3243"/>
      <c r="B38" s="2463" t="s">
        <v>2174</v>
      </c>
      <c r="C38" s="722"/>
      <c r="D38" s="2464" t="s">
        <v>2175</v>
      </c>
      <c r="E38" s="1389"/>
      <c r="F38" s="2462"/>
      <c r="G38" s="135"/>
      <c r="H38" s="135"/>
      <c r="I38" s="135"/>
    </row>
    <row r="39" spans="1:15" ht="15">
      <c r="A39" s="2435" t="s">
        <v>2176</v>
      </c>
      <c r="B39" s="2465" t="s">
        <v>2177</v>
      </c>
      <c r="C39" s="2466" t="s">
        <v>2178</v>
      </c>
      <c r="D39" s="2466" t="s">
        <v>2179</v>
      </c>
      <c r="E39" s="2467" t="s">
        <v>2180</v>
      </c>
      <c r="F39" s="2462"/>
      <c r="G39" s="135"/>
      <c r="H39" s="135"/>
      <c r="I39" s="135"/>
    </row>
    <row r="40" spans="1:15" ht="14.25">
      <c r="A40" s="2468" t="s">
        <v>2181</v>
      </c>
      <c r="B40" s="155"/>
      <c r="C40" s="156"/>
      <c r="D40" s="156"/>
      <c r="E40" s="157"/>
      <c r="F40" s="2462"/>
      <c r="G40" s="135"/>
      <c r="H40" s="135"/>
      <c r="I40" s="135"/>
    </row>
    <row r="41" spans="1:15" ht="14.25">
      <c r="A41" s="2468" t="s">
        <v>2182</v>
      </c>
      <c r="B41" s="155"/>
      <c r="C41" s="156"/>
      <c r="D41" s="156"/>
      <c r="E41" s="157"/>
      <c r="F41" s="2462"/>
      <c r="G41" s="135"/>
      <c r="H41" s="135"/>
      <c r="I41" s="135"/>
    </row>
    <row r="42" spans="1:15" ht="15" thickBot="1">
      <c r="A42" s="2469"/>
      <c r="B42" s="158"/>
      <c r="C42" s="159"/>
      <c r="D42" s="159"/>
      <c r="E42" s="160"/>
      <c r="F42" s="2462"/>
      <c r="G42" s="135"/>
      <c r="H42" s="135"/>
      <c r="I42" s="135"/>
    </row>
    <row r="43" spans="1:15" ht="12.75">
      <c r="A43" s="2163"/>
      <c r="B43" s="2163"/>
      <c r="C43" s="2163"/>
      <c r="D43" s="2163"/>
      <c r="E43" s="2163"/>
      <c r="F43" s="2470"/>
      <c r="G43" s="2470"/>
      <c r="H43" s="2470"/>
      <c r="I43" s="2471"/>
    </row>
    <row r="44" spans="1:15" ht="18.75">
      <c r="A44" s="2472" t="s">
        <v>2183</v>
      </c>
      <c r="B44" s="2473"/>
      <c r="C44" s="2473"/>
      <c r="D44" s="2474"/>
      <c r="E44" s="2474"/>
      <c r="F44" s="2475"/>
      <c r="G44" s="2475"/>
      <c r="H44" s="2475"/>
      <c r="I44" s="2475"/>
      <c r="J44" s="2476" t="s">
        <v>2184</v>
      </c>
      <c r="K44" s="2477"/>
      <c r="L44" s="2477"/>
      <c r="M44" s="2477"/>
      <c r="N44" s="2477"/>
      <c r="O44" s="2477"/>
    </row>
    <row r="45" spans="1:15" ht="14.25" customHeight="1" thickBot="1">
      <c r="A45" s="3220" t="s">
        <v>2185</v>
      </c>
      <c r="B45" s="3221"/>
      <c r="C45" s="3222"/>
      <c r="D45" s="161">
        <f ca="1">ROUND(H101*F45,0)</f>
        <v>3</v>
      </c>
      <c r="E45" s="162" t="s">
        <v>2186</v>
      </c>
      <c r="F45" s="163">
        <v>1</v>
      </c>
      <c r="G45" s="164" t="s">
        <v>2187</v>
      </c>
      <c r="H45" s="135"/>
      <c r="I45" s="135"/>
      <c r="J45" s="3280" t="s">
        <v>2188</v>
      </c>
      <c r="K45" s="3280"/>
      <c r="L45" s="3280"/>
      <c r="M45" s="3280"/>
      <c r="N45" s="3280"/>
      <c r="O45" s="3280"/>
    </row>
    <row r="46" spans="1:15" ht="14.25" customHeight="1">
      <c r="A46" s="3217" t="s">
        <v>2189</v>
      </c>
      <c r="B46" s="3218"/>
      <c r="C46" s="3218"/>
      <c r="D46" s="3218"/>
      <c r="E46" s="3218"/>
      <c r="F46" s="3218"/>
      <c r="G46" s="3219"/>
      <c r="H46" s="2478"/>
      <c r="I46" s="165"/>
      <c r="J46" s="1806">
        <v>1</v>
      </c>
      <c r="K46" s="3280" t="s">
        <v>2190</v>
      </c>
      <c r="L46" s="3280"/>
      <c r="M46" s="3300"/>
      <c r="N46" s="3300"/>
      <c r="O46" s="3300"/>
    </row>
    <row r="47" spans="1:15" ht="12" customHeight="1">
      <c r="A47" s="166" t="s">
        <v>2191</v>
      </c>
      <c r="B47" s="167"/>
      <c r="C47" s="168"/>
      <c r="D47" s="169" t="s">
        <v>2192</v>
      </c>
      <c r="E47" s="24" t="s">
        <v>2193</v>
      </c>
      <c r="F47" s="170" t="s">
        <v>2194</v>
      </c>
      <c r="G47" s="171" t="s">
        <v>2195</v>
      </c>
      <c r="H47" s="2478"/>
      <c r="I47" s="165"/>
      <c r="J47" s="1806">
        <v>2</v>
      </c>
      <c r="K47" s="3280" t="s">
        <v>2196</v>
      </c>
      <c r="L47" s="3280"/>
      <c r="M47" s="3301">
        <f>'数据-取费表'!B2</f>
        <v>43621</v>
      </c>
      <c r="N47" s="3301"/>
      <c r="O47" s="3301"/>
    </row>
    <row r="48" spans="1:15" ht="25.5">
      <c r="A48" s="3248" t="s">
        <v>2197</v>
      </c>
      <c r="B48" s="3231"/>
      <c r="C48" s="3231"/>
      <c r="D48" s="137">
        <f>IF(H48="情况1",0,IF(H48="情况2",D52,IF(H48="情况3",D53,IF(H48="情况4",D54))))</f>
        <v>0</v>
      </c>
      <c r="E48" s="1795" t="str">
        <f>IF(H48="情况4","(销售额-原购置价)×税（费）率","销售额×税（费）率")</f>
        <v>销售额×税（费）率</v>
      </c>
      <c r="F48" s="172" t="str">
        <f>IF(H48="情况1","免征",'数据-取费表'!B41)</f>
        <v>免征</v>
      </c>
      <c r="G48" s="2479" t="s">
        <v>2198</v>
      </c>
      <c r="H48" s="2480" t="s">
        <v>2199</v>
      </c>
      <c r="I48" s="2478"/>
      <c r="J48" s="1806">
        <v>3</v>
      </c>
      <c r="K48" s="3280" t="s">
        <v>2200</v>
      </c>
      <c r="L48" s="3280"/>
      <c r="M48" s="3302">
        <f ca="1">H101</f>
        <v>3</v>
      </c>
      <c r="N48" s="3302"/>
      <c r="O48" s="3302"/>
    </row>
    <row r="49" spans="1:35" ht="25.5" customHeight="1">
      <c r="A49" s="173" t="s">
        <v>2201</v>
      </c>
      <c r="B49" s="3216" t="s">
        <v>2202</v>
      </c>
      <c r="C49" s="3216"/>
      <c r="D49" s="174">
        <v>0</v>
      </c>
      <c r="E49" s="23" t="s">
        <v>2203</v>
      </c>
      <c r="F49" s="28" t="s">
        <v>34</v>
      </c>
      <c r="G49" s="3286"/>
      <c r="H49" s="135"/>
      <c r="I49" s="2481"/>
      <c r="J49" s="1806">
        <v>4</v>
      </c>
      <c r="K49" s="3280" t="str">
        <f>IF(项目基本情况!E8="房地产抵押价值","房地产抵押价值","抵押担保权已注销时的房地产抵押价值")</f>
        <v>抵押担保权已注销时的房地产抵押价值</v>
      </c>
      <c r="L49" s="3280"/>
      <c r="M49" s="3302" t="str">
        <f>IF(项目基本情况!E8="房地产抵押价值",H107,H109)</f>
        <v>——</v>
      </c>
      <c r="N49" s="3302"/>
      <c r="O49" s="3302"/>
    </row>
    <row r="50" spans="1:35" ht="25.5" customHeight="1">
      <c r="A50" s="175"/>
      <c r="B50" s="3216" t="s">
        <v>2204</v>
      </c>
      <c r="C50" s="3216"/>
      <c r="D50" s="176"/>
      <c r="E50" s="31"/>
      <c r="F50" s="177"/>
      <c r="G50" s="3287"/>
      <c r="H50" s="135"/>
      <c r="I50" s="2481"/>
      <c r="J50" s="3280" t="s">
        <v>2205</v>
      </c>
      <c r="K50" s="3280"/>
      <c r="L50" s="3280"/>
      <c r="M50" s="3280"/>
      <c r="N50" s="3280"/>
      <c r="O50" s="3280"/>
    </row>
    <row r="51" spans="1:35" ht="12" customHeight="1">
      <c r="A51" s="178"/>
      <c r="B51" s="3216" t="s">
        <v>2206</v>
      </c>
      <c r="C51" s="3216"/>
      <c r="D51" s="179"/>
      <c r="E51" s="30"/>
      <c r="F51" s="177"/>
      <c r="G51" s="3288"/>
      <c r="H51" s="135"/>
      <c r="I51" s="2481"/>
      <c r="J51" s="2482" t="s">
        <v>2207</v>
      </c>
      <c r="K51" s="3280" t="s">
        <v>2208</v>
      </c>
      <c r="L51" s="3280"/>
      <c r="M51" s="2482" t="s">
        <v>2209</v>
      </c>
      <c r="N51" s="2482" t="s">
        <v>2210</v>
      </c>
      <c r="O51" s="2482" t="s">
        <v>2211</v>
      </c>
    </row>
    <row r="52" spans="1:35" ht="24" customHeight="1">
      <c r="A52" s="180" t="s">
        <v>2212</v>
      </c>
      <c r="B52" s="3216" t="s">
        <v>2213</v>
      </c>
      <c r="C52" s="3216"/>
      <c r="D52" s="179">
        <f ca="1">ROUND(D45*'数据-取费表'!B41/(1+'数据-取费表'!C42),0)</f>
        <v>0</v>
      </c>
      <c r="E52" s="11" t="s">
        <v>2214</v>
      </c>
      <c r="F52" s="181">
        <f>'数据-取费表'!B41</f>
        <v>5.5000000000000007E-2</v>
      </c>
      <c r="G52" s="2483"/>
      <c r="H52" s="135"/>
      <c r="I52" s="2481"/>
      <c r="J52" s="1806">
        <v>1</v>
      </c>
      <c r="K52" s="3281" t="s">
        <v>2215</v>
      </c>
      <c r="L52" s="3281"/>
      <c r="M52" s="1748">
        <f>D48</f>
        <v>0</v>
      </c>
      <c r="N52" s="1806" t="str">
        <f>E48</f>
        <v>销售额×税（费）率</v>
      </c>
      <c r="O52" s="1749" t="str">
        <f>F48</f>
        <v>免征</v>
      </c>
    </row>
    <row r="53" spans="1:35" ht="12" customHeight="1">
      <c r="A53" s="180" t="s">
        <v>2216</v>
      </c>
      <c r="B53" s="3239" t="s">
        <v>2217</v>
      </c>
      <c r="C53" s="3240"/>
      <c r="D53" s="179">
        <f ca="1">ROUND(D45*'数据-取费表'!B41/(1+'数据-取费表'!C42),0)</f>
        <v>0</v>
      </c>
      <c r="E53" s="11" t="s">
        <v>2214</v>
      </c>
      <c r="F53" s="181">
        <f>'数据-取费表'!B41</f>
        <v>5.5000000000000007E-2</v>
      </c>
      <c r="G53" s="2483"/>
      <c r="H53" s="135"/>
      <c r="I53" s="2481"/>
      <c r="J53" s="1806">
        <v>2</v>
      </c>
      <c r="K53" s="3281" t="s">
        <v>2218</v>
      </c>
      <c r="L53" s="3281"/>
      <c r="M53" s="1748">
        <f t="shared" ref="M53:O54" ca="1" si="0">D55</f>
        <v>0</v>
      </c>
      <c r="N53" s="1806" t="str">
        <f t="shared" si="0"/>
        <v>销售额×税（费）率</v>
      </c>
      <c r="O53" s="1749">
        <f t="shared" si="0"/>
        <v>5.0000000000000001E-4</v>
      </c>
    </row>
    <row r="54" spans="1:35" ht="12" customHeight="1">
      <c r="A54" s="180" t="s">
        <v>2219</v>
      </c>
      <c r="B54" s="3239" t="s">
        <v>2220</v>
      </c>
      <c r="C54" s="3240"/>
      <c r="D54" s="179">
        <f ca="1">C68</f>
        <v>0</v>
      </c>
      <c r="E54" s="30" t="s">
        <v>2221</v>
      </c>
      <c r="F54" s="181">
        <f>'数据-取费表'!B41</f>
        <v>5.5000000000000007E-2</v>
      </c>
      <c r="G54" s="2483"/>
      <c r="H54" s="2484"/>
      <c r="I54" s="2481"/>
      <c r="J54" s="1806">
        <v>3</v>
      </c>
      <c r="K54" s="3281" t="s">
        <v>2222</v>
      </c>
      <c r="L54" s="3281"/>
      <c r="M54" s="1748" t="e">
        <f t="shared" ca="1" si="0"/>
        <v>#DIV/0!</v>
      </c>
      <c r="N54" s="1806" t="str">
        <f t="shared" si="0"/>
        <v>增值额×税（费）率</v>
      </c>
      <c r="O54" s="1750" t="str">
        <f t="shared" si="0"/>
        <v>——</v>
      </c>
    </row>
    <row r="55" spans="1:35" ht="24" customHeight="1">
      <c r="A55" s="3230" t="s">
        <v>2223</v>
      </c>
      <c r="B55" s="3231"/>
      <c r="C55" s="3231"/>
      <c r="D55" s="182">
        <f ca="1">IF(H55="个人住宅",0,ROUND(D45*I55,0))</f>
        <v>0</v>
      </c>
      <c r="E55" s="11" t="s">
        <v>2224</v>
      </c>
      <c r="F55" s="181">
        <f>IF(H55="正常",I55,"免征")</f>
        <v>5.0000000000000001E-4</v>
      </c>
      <c r="G55" s="2483"/>
      <c r="H55" s="2480" t="s">
        <v>2225</v>
      </c>
      <c r="I55" s="183">
        <f>'数据-取费表'!B49</f>
        <v>5.0000000000000001E-4</v>
      </c>
      <c r="J55" s="1806" t="str">
        <f>IF(H59="非个人房产","",4)</f>
        <v/>
      </c>
      <c r="K55" s="3281" t="str">
        <f>IF(H59="非个人房产","——","个人所得税")</f>
        <v>——</v>
      </c>
      <c r="L55" s="3281"/>
      <c r="M55" s="1751" t="str">
        <f>D59</f>
        <v>——</v>
      </c>
      <c r="N55" s="1804" t="str">
        <f>E59</f>
        <v>——</v>
      </c>
      <c r="O55" s="1752" t="str">
        <f>F59</f>
        <v>——</v>
      </c>
    </row>
    <row r="56" spans="1:35" ht="24.75">
      <c r="A56" s="3230" t="s">
        <v>2226</v>
      </c>
      <c r="B56" s="3231"/>
      <c r="C56" s="3231"/>
      <c r="D56" s="182" t="e">
        <f ca="1">IF(H56="个人住宅",D57,D58)</f>
        <v>#DIV/0!</v>
      </c>
      <c r="E56" s="11" t="s">
        <v>2227</v>
      </c>
      <c r="F56" s="181" t="str">
        <f>IF(H56="正常",F58,"免征")</f>
        <v>——</v>
      </c>
      <c r="G56" s="2485" t="s">
        <v>2228</v>
      </c>
      <c r="H56" s="2486" t="s">
        <v>2225</v>
      </c>
      <c r="I56" s="2487"/>
      <c r="J56" s="1806" t="str">
        <f>IF(项目基本情况!K6="上海银行",IF(J55="",4,J55+1),"")</f>
        <v/>
      </c>
      <c r="K56" s="3304" t="str">
        <f>IF(项目基本情况!K6="上海银行","其他处置费用","")</f>
        <v/>
      </c>
      <c r="L56" s="3305"/>
      <c r="M56" s="1748" t="str">
        <f>IF(项目基本情况!K6="上海银行",M69,"")</f>
        <v/>
      </c>
      <c r="N56" s="3307" t="str">
        <f>IF(项目基本情况!K6="上海银行","包含处置中涉及的律师、诉讼、拍卖、评估等费用","")</f>
        <v/>
      </c>
      <c r="O56" s="3308"/>
    </row>
    <row r="57" spans="1:35" ht="12.75">
      <c r="A57" s="180" t="s">
        <v>2201</v>
      </c>
      <c r="B57" s="3246" t="s">
        <v>2229</v>
      </c>
      <c r="C57" s="3255"/>
      <c r="D57" s="184">
        <v>0</v>
      </c>
      <c r="E57" s="23" t="s">
        <v>2203</v>
      </c>
      <c r="F57" s="152"/>
      <c r="G57" s="2483"/>
      <c r="H57" s="2487"/>
      <c r="I57" s="2487"/>
      <c r="J57" s="3281">
        <f>IF(AND(J55="",J56=""),4,IF(项目基本情况!K6="上海银行",结果表!J56+1,结果表!J55+1))</f>
        <v>4</v>
      </c>
      <c r="K57" s="3281" t="s">
        <v>2230</v>
      </c>
      <c r="L57" s="2488" t="s">
        <v>2231</v>
      </c>
      <c r="M57" s="1753"/>
      <c r="N57" s="1754">
        <f ca="1">SUMIF(M52:M56,"&lt;9e307")</f>
        <v>0</v>
      </c>
      <c r="O57" s="2489"/>
      <c r="P57" s="1747" t="e">
        <f ca="1">N57/M49</f>
        <v>#VALUE!</v>
      </c>
    </row>
    <row r="58" spans="1:35" ht="24.75">
      <c r="A58" s="180" t="s">
        <v>2212</v>
      </c>
      <c r="B58" s="3246" t="s">
        <v>2232</v>
      </c>
      <c r="C58" s="3247"/>
      <c r="D58" s="182" t="e">
        <f ca="1">IF(H58="转让取得",C81,C97)</f>
        <v>#DIV/0!</v>
      </c>
      <c r="E58" s="11" t="s">
        <v>2227</v>
      </c>
      <c r="F58" s="24" t="s">
        <v>34</v>
      </c>
      <c r="G58" s="2483"/>
      <c r="H58" s="2486" t="s">
        <v>2233</v>
      </c>
      <c r="I58" s="2487"/>
      <c r="J58" s="3281"/>
      <c r="K58" s="3281"/>
      <c r="L58" s="2488" t="s">
        <v>2234</v>
      </c>
      <c r="M58" s="1755"/>
      <c r="N58" s="2490" t="str">
        <f ca="1">NUMBERSTRING(INT(N57*10000),2)&amp;"元整"</f>
        <v>零元整</v>
      </c>
      <c r="O58" s="2491"/>
    </row>
    <row r="59" spans="1:35" ht="24.75" thickBot="1">
      <c r="A59" s="3284" t="s">
        <v>2235</v>
      </c>
      <c r="B59" s="3285"/>
      <c r="C59" s="3285"/>
      <c r="D59" s="185" t="str">
        <f>IF(H59="非个人房产","——",IF(H59="个人住宅",0,ROUND(D45*I59,0)))</f>
        <v>——</v>
      </c>
      <c r="E59" s="186" t="str">
        <f>IF(H59="非个人房产","——","销售额×税（费）率")</f>
        <v>——</v>
      </c>
      <c r="F59" s="187" t="str">
        <f>IF(H59="非个人房产","——",IF(H59="个人住宅","免征",I59))</f>
        <v>——</v>
      </c>
      <c r="G59" s="2492" t="s">
        <v>2228</v>
      </c>
      <c r="H59" s="2486" t="s">
        <v>2236</v>
      </c>
      <c r="I59" s="188">
        <v>0.01</v>
      </c>
      <c r="J59" s="3282">
        <f>J57+1</f>
        <v>5</v>
      </c>
      <c r="K59" s="3281" t="s">
        <v>2237</v>
      </c>
      <c r="L59" s="1806" t="s">
        <v>2231</v>
      </c>
      <c r="M59" s="1756"/>
      <c r="N59" s="1757" t="e">
        <f ca="1">M49-N57</f>
        <v>#VALUE!</v>
      </c>
      <c r="O59" s="2493"/>
    </row>
    <row r="60" spans="1:35" ht="12" customHeight="1">
      <c r="A60" s="2494"/>
      <c r="B60" s="2416"/>
      <c r="C60" s="2416"/>
      <c r="D60" s="2416"/>
      <c r="E60" s="2164"/>
      <c r="F60" s="2487"/>
      <c r="G60" s="2487"/>
      <c r="H60" s="2495"/>
      <c r="I60" s="135"/>
      <c r="J60" s="3283"/>
      <c r="K60" s="3281"/>
      <c r="L60" s="2488" t="s">
        <v>2234</v>
      </c>
      <c r="M60" s="1755"/>
      <c r="N60" s="2490" t="e">
        <f ca="1">NUMBERSTRING(INT(N59*10000),2)&amp;"元整"</f>
        <v>#VALUE!</v>
      </c>
      <c r="O60" s="2491"/>
    </row>
    <row r="61" spans="1:35" ht="13.5" thickBot="1">
      <c r="A61" s="3228" t="s">
        <v>2238</v>
      </c>
      <c r="B61" s="3228"/>
      <c r="C61" s="3228"/>
      <c r="D61" s="3228"/>
      <c r="E61" s="3228"/>
      <c r="F61" s="2487"/>
      <c r="G61" s="2487"/>
      <c r="H61" s="2495"/>
      <c r="I61" s="135"/>
      <c r="J61" s="1806">
        <f>J59+1</f>
        <v>6</v>
      </c>
      <c r="K61" s="3281" t="s">
        <v>2239</v>
      </c>
      <c r="L61" s="3281"/>
      <c r="M61" s="1758"/>
      <c r="N61" s="1759" t="e">
        <f ca="1">ROUND(N59*10000/'数据-汇总表'!E3,0)</f>
        <v>#VALUE!</v>
      </c>
      <c r="O61" s="2496"/>
    </row>
    <row r="62" spans="1:35" ht="12.75">
      <c r="A62" s="3244" t="s">
        <v>2240</v>
      </c>
      <c r="B62" s="3245"/>
      <c r="C62" s="1798"/>
      <c r="D62" s="1798" t="s">
        <v>2241</v>
      </c>
      <c r="E62" s="189" t="s">
        <v>2242</v>
      </c>
      <c r="F62" s="2487"/>
      <c r="G62" s="2487"/>
      <c r="H62" s="2495"/>
      <c r="I62" s="135"/>
    </row>
    <row r="63" spans="1:35" ht="12.75">
      <c r="A63" s="200" t="s">
        <v>775</v>
      </c>
      <c r="B63" s="190" t="s">
        <v>2243</v>
      </c>
      <c r="C63" s="191">
        <f ca="1">ROUND((C64+C65)/(1+'数据-取费表'!C42),0)</f>
        <v>3</v>
      </c>
      <c r="D63" s="192"/>
      <c r="E63" s="193"/>
      <c r="F63" s="2487"/>
      <c r="G63" s="2487"/>
      <c r="H63" s="2495"/>
      <c r="I63" s="135"/>
      <c r="J63" s="3306" t="s">
        <v>2244</v>
      </c>
      <c r="K63" s="2497" t="s">
        <v>2245</v>
      </c>
      <c r="L63" s="1746" t="e">
        <f>IF(M49&gt;10000,M49*0.5%,IF(AND(M49&gt;1000,M49&lt;=10000),M49*1%,IF(AND(M49&gt;100,M49&lt;=1000),M49*3%,IF(AND(M49&gt;10,M49&lt;=100),M49*5%,M49*8%))))</f>
        <v>#VALUE!</v>
      </c>
      <c r="M63" s="24" t="e">
        <f>ROUND(L63,1)</f>
        <v>#VALUE!</v>
      </c>
      <c r="Z63" s="2421"/>
      <c r="AI63" s="2422"/>
    </row>
    <row r="64" spans="1:35" ht="14.25" customHeight="1">
      <c r="A64" s="194" t="s">
        <v>770</v>
      </c>
      <c r="B64" s="195" t="s">
        <v>2246</v>
      </c>
      <c r="C64" s="196">
        <f ca="1">D45</f>
        <v>3</v>
      </c>
      <c r="D64" s="197" t="s">
        <v>32</v>
      </c>
      <c r="E64" s="198"/>
      <c r="F64" s="2487"/>
      <c r="G64" s="2487"/>
      <c r="H64" s="2495"/>
      <c r="I64" s="135"/>
      <c r="J64" s="3306"/>
      <c r="K64" s="2497" t="s">
        <v>2247</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5" t="s">
        <v>2248</v>
      </c>
      <c r="Z64" s="2421"/>
      <c r="AI64" s="2422"/>
    </row>
    <row r="65" spans="1:35" ht="14.25" customHeight="1">
      <c r="A65" s="194" t="s">
        <v>771</v>
      </c>
      <c r="B65" s="195" t="s">
        <v>2249</v>
      </c>
      <c r="C65" s="199"/>
      <c r="D65" s="197"/>
      <c r="E65" s="198"/>
      <c r="F65" s="2487"/>
      <c r="G65" s="2487"/>
      <c r="H65" s="2495"/>
      <c r="I65" s="135"/>
      <c r="J65" s="3306"/>
      <c r="K65" s="2497" t="s">
        <v>2250</v>
      </c>
      <c r="L65" s="1746" t="e">
        <f>IF(M49&gt;1000,M49*0.1%,IF(AND(M49&gt;500,M49&lt;=1000),M49*0.5%,IF(AND(M49&gt;50,M49&lt;=500),M49*1%,IF(AND(M49&gt;1,M49&lt;=50),M49*1.5%))))</f>
        <v>#VALUE!</v>
      </c>
      <c r="M65" s="24" t="e">
        <f t="shared" si="1"/>
        <v>#VALUE!</v>
      </c>
      <c r="N65" s="135" t="s">
        <v>2248</v>
      </c>
      <c r="Z65" s="2421"/>
      <c r="AI65" s="2422"/>
    </row>
    <row r="66" spans="1:35" ht="14.25" customHeight="1">
      <c r="A66" s="200" t="s">
        <v>772</v>
      </c>
      <c r="B66" s="201" t="s">
        <v>2251</v>
      </c>
      <c r="C66" s="202"/>
      <c r="D66" s="203" t="s">
        <v>32</v>
      </c>
      <c r="E66" s="1770" t="s">
        <v>1371</v>
      </c>
      <c r="F66" s="2487"/>
      <c r="G66" s="2487"/>
      <c r="H66" s="2495"/>
      <c r="I66" s="135"/>
      <c r="J66" s="3306"/>
      <c r="K66" s="2497" t="s">
        <v>2252</v>
      </c>
      <c r="L66" s="1746" t="e">
        <f>M49*0.5%</f>
        <v>#VALUE!</v>
      </c>
      <c r="M66" s="24" t="e">
        <f>IF(L66&gt;0.5,0.5,ROUND(L66,0))</f>
        <v>#VALUE!</v>
      </c>
      <c r="N66" s="135" t="s">
        <v>2253</v>
      </c>
      <c r="Z66" s="2421"/>
      <c r="AI66" s="2422"/>
    </row>
    <row r="67" spans="1:35" ht="14.25" customHeight="1">
      <c r="A67" s="200" t="s">
        <v>773</v>
      </c>
      <c r="B67" s="201" t="s">
        <v>2254</v>
      </c>
      <c r="C67" s="204">
        <f ca="1">C63-C66</f>
        <v>3</v>
      </c>
      <c r="D67" s="197" t="s">
        <v>32</v>
      </c>
      <c r="E67" s="198"/>
      <c r="F67" s="2487"/>
      <c r="G67" s="2487"/>
      <c r="H67" s="2495"/>
      <c r="I67" s="135"/>
      <c r="J67" s="3306"/>
      <c r="K67" s="2497" t="s">
        <v>2255</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5" t="s">
        <v>774</v>
      </c>
      <c r="B68" s="206" t="s">
        <v>2256</v>
      </c>
      <c r="C68" s="207">
        <f ca="1">IF(C67&lt;=0,0,ROUND(C67*D68,0))</f>
        <v>0</v>
      </c>
      <c r="D68" s="208">
        <f>'数据-取费表'!B41</f>
        <v>5.5000000000000007E-2</v>
      </c>
      <c r="E68" s="209"/>
      <c r="F68" s="2487"/>
      <c r="G68" s="2487"/>
      <c r="H68" s="2495"/>
      <c r="I68" s="135"/>
      <c r="J68" s="3306"/>
      <c r="K68" s="2497" t="s">
        <v>2257</v>
      </c>
      <c r="L68" s="1746"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306"/>
      <c r="K69" s="2497" t="s">
        <v>2258</v>
      </c>
      <c r="L69" s="2503"/>
      <c r="M69" s="24" t="e">
        <f>ROUND(SUM(M63:M68),0)</f>
        <v>#VALUE!</v>
      </c>
      <c r="N69" s="1747" t="e">
        <f>M69/M49</f>
        <v>#VALUE!</v>
      </c>
      <c r="O69" s="790"/>
      <c r="P69" s="790"/>
      <c r="Q69" s="790"/>
      <c r="R69" s="790"/>
      <c r="S69" s="790"/>
      <c r="T69" s="790"/>
      <c r="U69" s="790"/>
      <c r="V69" s="790"/>
      <c r="W69" s="790"/>
      <c r="X69" s="790"/>
      <c r="Y69" s="790"/>
      <c r="Z69" s="2421"/>
      <c r="AA69" s="2421"/>
      <c r="AB69" s="2421"/>
      <c r="AC69" s="2421"/>
      <c r="AD69" s="2421"/>
      <c r="AE69" s="2421"/>
      <c r="AF69" s="2421"/>
      <c r="AG69" s="2421"/>
      <c r="AH69" s="2421"/>
    </row>
    <row r="70" spans="1:35" s="2505" customFormat="1" ht="15" thickBot="1">
      <c r="A70" s="3265" t="s">
        <v>2259</v>
      </c>
      <c r="B70" s="3266"/>
      <c r="C70" s="3266"/>
      <c r="D70" s="3266"/>
      <c r="E70" s="3266"/>
      <c r="F70" s="3266"/>
      <c r="G70" s="3266"/>
      <c r="H70" s="326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244" t="s">
        <v>2240</v>
      </c>
      <c r="B71" s="3245"/>
      <c r="C71" s="1798"/>
      <c r="D71" s="1798" t="s">
        <v>2241</v>
      </c>
      <c r="E71" s="210" t="s">
        <v>2242</v>
      </c>
      <c r="F71" s="211"/>
      <c r="G71" s="211"/>
      <c r="H71" s="212"/>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0" t="s">
        <v>775</v>
      </c>
      <c r="B72" s="201" t="s">
        <v>2260</v>
      </c>
      <c r="C72" s="204">
        <f ca="1">ROUND(D45/(1+'数据-取费表'!C42),0)</f>
        <v>3</v>
      </c>
      <c r="D72" s="197" t="s">
        <v>32</v>
      </c>
      <c r="E72" s="1797"/>
      <c r="F72" s="1791"/>
      <c r="G72" s="1791"/>
      <c r="H72" s="213"/>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0" t="s">
        <v>772</v>
      </c>
      <c r="B73" s="170" t="s">
        <v>2261</v>
      </c>
      <c r="C73" s="204">
        <f ca="1">C74+C78</f>
        <v>0</v>
      </c>
      <c r="D73" s="197" t="s">
        <v>32</v>
      </c>
      <c r="E73" s="1797"/>
      <c r="F73" s="1791"/>
      <c r="G73" s="1791"/>
      <c r="H73" s="213"/>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4" t="s">
        <v>770</v>
      </c>
      <c r="B74" s="195" t="s">
        <v>2262</v>
      </c>
      <c r="C74" s="197">
        <f>ROUND(IF(G77="2016年5月1日后购买",C75/(1+'数据-取费表'!C42)+C76+C77,C75+C76+C77),0)</f>
        <v>0</v>
      </c>
      <c r="D74" s="197" t="s">
        <v>32</v>
      </c>
      <c r="E74" s="1797"/>
      <c r="F74" s="1791"/>
      <c r="G74" s="1791"/>
      <c r="H74" s="213"/>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4" t="s">
        <v>776</v>
      </c>
      <c r="B75" s="195" t="s">
        <v>2263</v>
      </c>
      <c r="C75" s="215"/>
      <c r="D75" s="197" t="s">
        <v>32</v>
      </c>
      <c r="E75" s="216" t="s">
        <v>2264</v>
      </c>
      <c r="F75" s="2509" t="s">
        <v>2265</v>
      </c>
      <c r="G75" s="216" t="s">
        <v>2266</v>
      </c>
      <c r="H75" s="217"/>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4" t="s">
        <v>777</v>
      </c>
      <c r="B76" s="218" t="s">
        <v>2267</v>
      </c>
      <c r="C76" s="197">
        <f>IF(F75="购房发票",ROUND(C75*H75*D76,0),0)</f>
        <v>0</v>
      </c>
      <c r="D76" s="219">
        <v>0.05</v>
      </c>
      <c r="E76" s="3239" t="s">
        <v>2268</v>
      </c>
      <c r="F76" s="3216"/>
      <c r="G76" s="3216"/>
      <c r="H76" s="326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4" t="s">
        <v>778</v>
      </c>
      <c r="B77" s="195" t="s">
        <v>2269</v>
      </c>
      <c r="C77" s="197">
        <f>ROUND(IF(G77="个人住宅",0,IF(G77="2016年5月1日前购买",C75*D77,C75*D77/(1+'数据-取费表'!C42))),0)</f>
        <v>0</v>
      </c>
      <c r="D77" s="220">
        <f>'数据-取费表'!B48+'数据-取费表'!B49</f>
        <v>3.0499999999999999E-2</v>
      </c>
      <c r="E77" s="15" t="s">
        <v>2270</v>
      </c>
      <c r="F77" s="221"/>
      <c r="G77" s="2511" t="s">
        <v>2271</v>
      </c>
      <c r="H77" s="180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4" t="s">
        <v>771</v>
      </c>
      <c r="B78" s="195" t="s">
        <v>2272</v>
      </c>
      <c r="C78" s="222">
        <f ca="1">ROUND(D45*D78/(1+'数据-取费表'!C42),0)</f>
        <v>0</v>
      </c>
      <c r="D78" s="223">
        <f>'数据-取费表'!B43</f>
        <v>5.000000000000001E-3</v>
      </c>
      <c r="E78" s="3225" t="s">
        <v>2273</v>
      </c>
      <c r="F78" s="3226"/>
      <c r="G78" s="3226"/>
      <c r="H78" s="323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1" t="s">
        <v>2274</v>
      </c>
      <c r="C79" s="204">
        <f ca="1">C72-C73</f>
        <v>3</v>
      </c>
      <c r="D79" s="197" t="s">
        <v>32</v>
      </c>
      <c r="E79" s="1797"/>
      <c r="F79" s="1791"/>
      <c r="G79" s="1791"/>
      <c r="H79" s="213"/>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1" t="s">
        <v>2275</v>
      </c>
      <c r="C80" s="224" t="e">
        <f ca="1">IF(C79&lt;=0,0,C79/C73)</f>
        <v>#DIV/0!</v>
      </c>
      <c r="D80" s="197" t="s">
        <v>32</v>
      </c>
      <c r="E80" s="15" t="e">
        <f ca="1">IF(C80&gt;=200%,"增值额超过扣除项目金额200%",IF(C80&gt;=100%,"增值额超过扣除项目金额100%，未超过200%",IF(C80&gt;=50%,"增值额超过扣除项目金额50%，未超过100%",IF(C80&lt;50%,"增值额未超过扣除项目金额50%"))))</f>
        <v>#DIV/0!</v>
      </c>
      <c r="F80" s="1791"/>
      <c r="G80" s="1791"/>
      <c r="H80" s="213"/>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6" t="s">
        <v>2276</v>
      </c>
      <c r="C81" s="225" t="e">
        <f ca="1">ROUND(IF(C79&lt;=0,0,IF(C80&gt;=200%,C79*60%-C73*35%,IF(C80&gt;=100%,C79*50%-C73*15%,IF(C80&gt;=50%,C79*40%-C73*5%,IF(C80&lt;50%,C79*30%,0))))),0)</f>
        <v>#DIV/0!</v>
      </c>
      <c r="D81" s="226" t="s">
        <v>32</v>
      </c>
      <c r="E81" s="2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8"/>
      <c r="G81" s="228"/>
      <c r="H81" s="229"/>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28"/>
      <c r="B82" s="729"/>
      <c r="C82" s="7"/>
      <c r="D82" s="7"/>
      <c r="E82" s="729"/>
      <c r="F82" s="729"/>
      <c r="G82" s="729"/>
      <c r="H82" s="730"/>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265" t="s">
        <v>2277</v>
      </c>
      <c r="B83" s="3266"/>
      <c r="C83" s="3266"/>
      <c r="D83" s="3266"/>
      <c r="E83" s="3266"/>
      <c r="F83" s="3266"/>
      <c r="G83" s="3266"/>
      <c r="H83" s="326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244" t="s">
        <v>2240</v>
      </c>
      <c r="B84" s="3245"/>
      <c r="C84" s="1798"/>
      <c r="D84" s="1798" t="s">
        <v>2241</v>
      </c>
      <c r="E84" s="210" t="s">
        <v>2242</v>
      </c>
      <c r="F84" s="211"/>
      <c r="G84" s="211"/>
      <c r="H84" s="230"/>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0" t="s">
        <v>775</v>
      </c>
      <c r="B85" s="201" t="s">
        <v>2260</v>
      </c>
      <c r="C85" s="204">
        <f ca="1">ROUND(D45/(1+'数据-取费表'!C42),0)</f>
        <v>3</v>
      </c>
      <c r="D85" s="197" t="s">
        <v>32</v>
      </c>
      <c r="E85" s="1797"/>
      <c r="F85" s="1791"/>
      <c r="G85" s="1791"/>
      <c r="H85" s="231"/>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0" t="s">
        <v>772</v>
      </c>
      <c r="B86" s="170" t="s">
        <v>2261</v>
      </c>
      <c r="C86" s="204">
        <f ca="1">IF(H88="仅含出让金",C87+C90+C91+C92+C93+C94,C87+C91+C92+C93+C94)</f>
        <v>0</v>
      </c>
      <c r="D86" s="232"/>
      <c r="E86" s="1797"/>
      <c r="F86" s="1791"/>
      <c r="G86" s="1791"/>
      <c r="H86" s="231"/>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4" t="s">
        <v>770</v>
      </c>
      <c r="B87" s="195" t="s">
        <v>2278</v>
      </c>
      <c r="C87" s="222">
        <f>C88+C89</f>
        <v>0</v>
      </c>
      <c r="D87" s="223"/>
      <c r="E87" s="1793"/>
      <c r="F87" s="1794"/>
      <c r="G87" s="1794"/>
      <c r="H87" s="179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4" t="s">
        <v>776</v>
      </c>
      <c r="B88" s="195" t="s">
        <v>2279</v>
      </c>
      <c r="C88" s="233"/>
      <c r="D88" s="223"/>
      <c r="E88" s="234" t="s">
        <v>2280</v>
      </c>
      <c r="F88" s="1794"/>
      <c r="G88" s="235" t="s">
        <v>2281</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4" t="s">
        <v>777</v>
      </c>
      <c r="B89" s="195" t="s">
        <v>2269</v>
      </c>
      <c r="C89" s="222">
        <f>ROUND(C88*D89,0)</f>
        <v>0</v>
      </c>
      <c r="D89" s="223">
        <f>'数据-取费表'!B48+'数据-取费表'!B49</f>
        <v>3.0499999999999999E-2</v>
      </c>
      <c r="E89" s="234" t="s">
        <v>2282</v>
      </c>
      <c r="F89" s="1794"/>
      <c r="G89" s="1794"/>
      <c r="H89" s="179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4" t="s">
        <v>771</v>
      </c>
      <c r="B90" s="195" t="s">
        <v>2283</v>
      </c>
      <c r="C90" s="233"/>
      <c r="D90" s="223"/>
      <c r="E90" s="234" t="str">
        <f>IF(H88="-","土地取得成本中已包含该笔费用"," ")</f>
        <v xml:space="preserve"> </v>
      </c>
      <c r="F90" s="1794"/>
      <c r="G90" s="1794"/>
      <c r="H90" s="179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4" t="s">
        <v>2284</v>
      </c>
      <c r="B91" s="195" t="s">
        <v>2285</v>
      </c>
      <c r="C91" s="222">
        <f>IF(H91="——",成本法!C33,I91)</f>
        <v>0</v>
      </c>
      <c r="D91" s="223"/>
      <c r="E91" s="3225" t="s">
        <v>2286</v>
      </c>
      <c r="F91" s="3226"/>
      <c r="G91" s="3226"/>
      <c r="H91" s="2516" t="s">
        <v>2287</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4" t="s">
        <v>2288</v>
      </c>
      <c r="B92" s="195" t="s">
        <v>2289</v>
      </c>
      <c r="C92" s="222">
        <f>ROUND((C87+C90+C91)*D92,0)</f>
        <v>0</v>
      </c>
      <c r="D92" s="223">
        <v>0.1</v>
      </c>
      <c r="E92" s="3225" t="s">
        <v>2290</v>
      </c>
      <c r="F92" s="3226"/>
      <c r="G92" s="3226"/>
      <c r="H92" s="323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4" t="s">
        <v>2291</v>
      </c>
      <c r="B93" s="195" t="s">
        <v>2272</v>
      </c>
      <c r="C93" s="222">
        <f ca="1">ROUND(D45*D93/(1+'数据-取费表'!C42),0)</f>
        <v>0</v>
      </c>
      <c r="D93" s="223">
        <f>'数据-取费表'!B43</f>
        <v>5.000000000000001E-3</v>
      </c>
      <c r="E93" s="3225" t="s">
        <v>2273</v>
      </c>
      <c r="F93" s="3226"/>
      <c r="G93" s="3226"/>
      <c r="H93" s="323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4" t="s">
        <v>2292</v>
      </c>
      <c r="B94" s="195" t="s">
        <v>2293</v>
      </c>
      <c r="C94" s="233">
        <f>ROUND((C87+C90+C91)*D94,0)</f>
        <v>0</v>
      </c>
      <c r="D94" s="223">
        <v>0.2</v>
      </c>
      <c r="E94" s="3236" t="s">
        <v>2294</v>
      </c>
      <c r="F94" s="3237"/>
      <c r="G94" s="3237"/>
      <c r="H94" s="323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1" t="s">
        <v>2274</v>
      </c>
      <c r="C95" s="204">
        <f ca="1">ROUND(C85-C86,0)</f>
        <v>3</v>
      </c>
      <c r="D95" s="197" t="s">
        <v>32</v>
      </c>
      <c r="E95" s="1797"/>
      <c r="F95" s="1791"/>
      <c r="G95" s="1791"/>
      <c r="H95" s="231"/>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1" t="s">
        <v>2275</v>
      </c>
      <c r="C96" s="224" t="e">
        <f ca="1">IF(C95&lt;=0,0,C95/C86)</f>
        <v>#DIV/0!</v>
      </c>
      <c r="D96" s="197" t="s">
        <v>32</v>
      </c>
      <c r="E96" s="15" t="e">
        <f ca="1">IF(C96&gt;=200%,"增值额超过扣除项目金额200%",IF(C96&gt;=100%,"增值额超过扣除项目金额100%，未超过200%",IF(C96&gt;=50%,"增值额超过扣除项目金额50%，未超过100%",IF(C96&lt;50%,"增值额未超过扣除项目金额50%"))))</f>
        <v>#DIV/0!</v>
      </c>
      <c r="F96" s="1791"/>
      <c r="G96" s="1791"/>
      <c r="H96" s="231"/>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6" t="s">
        <v>2276</v>
      </c>
      <c r="C97" s="225" t="e">
        <f ca="1">ROUND(IF(C95&lt;=0,0,IF(C96&gt;=200%,C95*60%-C86*35%,IF(C96&gt;=100%,C95*50%-C86*15%,IF(C96&gt;=50%,C95*40%-C86*5%,IF(C96&lt;50%,C95*30%,0))))),0)</f>
        <v>#DIV/0!</v>
      </c>
      <c r="D97" s="226" t="s">
        <v>32</v>
      </c>
      <c r="E97" s="2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8"/>
      <c r="G97" s="228"/>
      <c r="H97" s="236"/>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5"/>
    </row>
    <row r="99" spans="1:35" ht="21.75" customHeight="1" thickBot="1">
      <c r="A99" s="2472" t="s">
        <v>2295</v>
      </c>
      <c r="B99" s="2416"/>
      <c r="C99" s="2416"/>
      <c r="D99" s="2416"/>
      <c r="E99" s="2164"/>
      <c r="F99" s="2164"/>
      <c r="G99" s="2164"/>
      <c r="H99" s="2163"/>
      <c r="I99" s="135"/>
    </row>
    <row r="100" spans="1:35" ht="18.75" customHeight="1">
      <c r="A100" s="3210" t="s">
        <v>2296</v>
      </c>
      <c r="B100" s="3211"/>
      <c r="C100" s="3211"/>
      <c r="D100" s="3227"/>
      <c r="E100" s="3211" t="s">
        <v>2297</v>
      </c>
      <c r="F100" s="3211"/>
      <c r="G100" s="3211"/>
      <c r="H100" s="3227"/>
      <c r="I100" s="135"/>
    </row>
    <row r="101" spans="1:35" ht="18.75" customHeight="1">
      <c r="A101" s="3289" t="s">
        <v>2298</v>
      </c>
      <c r="B101" s="3290"/>
      <c r="C101" s="731" t="str">
        <f>C4</f>
        <v>成本法 (元)</v>
      </c>
      <c r="D101" s="732" t="str">
        <f>D4</f>
        <v>比较法-住宅</v>
      </c>
      <c r="E101" s="3303" t="s">
        <v>2299</v>
      </c>
      <c r="F101" s="3257"/>
      <c r="G101" s="2518" t="s">
        <v>2300</v>
      </c>
      <c r="H101" s="1043">
        <f ca="1">H118</f>
        <v>3</v>
      </c>
      <c r="I101" s="135"/>
    </row>
    <row r="102" spans="1:35" ht="18.75" customHeight="1">
      <c r="A102" s="3259" t="s">
        <v>2301</v>
      </c>
      <c r="B102" s="2518" t="s">
        <v>2300</v>
      </c>
      <c r="C102" s="731">
        <f ca="1">C19</f>
        <v>3</v>
      </c>
      <c r="D102" s="732">
        <f ca="1">D19</f>
        <v>3</v>
      </c>
      <c r="E102" s="3303"/>
      <c r="F102" s="3257"/>
      <c r="G102" s="2518" t="s">
        <v>2302</v>
      </c>
      <c r="H102" s="368" t="e">
        <f ca="1">I118</f>
        <v>#DIV/0!</v>
      </c>
      <c r="I102" s="135"/>
    </row>
    <row r="103" spans="1:35" ht="42.75" customHeight="1">
      <c r="A103" s="3259"/>
      <c r="B103" s="2518" t="s">
        <v>2302</v>
      </c>
      <c r="C103" s="733">
        <f ca="1">C20</f>
        <v>29213</v>
      </c>
      <c r="D103" s="734">
        <f>D20</f>
        <v>29444</v>
      </c>
      <c r="E103" s="3298" t="s">
        <v>2303</v>
      </c>
      <c r="F103" s="3299"/>
      <c r="G103" s="2519" t="s">
        <v>2304</v>
      </c>
      <c r="H103" s="1043">
        <f>IF(D36="正常操作",H104+H105+H106,H105+H106)</f>
        <v>0</v>
      </c>
      <c r="I103" s="135"/>
    </row>
    <row r="104" spans="1:35" ht="18.75" customHeight="1">
      <c r="A104" s="3259" t="s">
        <v>2305</v>
      </c>
      <c r="B104" s="2520" t="s">
        <v>2300</v>
      </c>
      <c r="C104" s="735">
        <f ca="1">H118</f>
        <v>3</v>
      </c>
      <c r="D104" s="736"/>
      <c r="E104" s="2265" t="s">
        <v>2306</v>
      </c>
      <c r="F104" s="2256"/>
      <c r="G104" s="2519" t="s">
        <v>2304</v>
      </c>
      <c r="H104" s="1044">
        <f>IF(D36="同一抵押权人同一抵押物续贷",C36&amp;"（未扣减，详见特别提示）",C36)</f>
        <v>0</v>
      </c>
      <c r="I104" s="135"/>
    </row>
    <row r="105" spans="1:35" ht="18.75" customHeight="1" thickBot="1">
      <c r="A105" s="3260"/>
      <c r="B105" s="2521" t="s">
        <v>2302</v>
      </c>
      <c r="C105" s="737" t="e">
        <f ca="1">I118</f>
        <v>#DIV/0!</v>
      </c>
      <c r="D105" s="738"/>
      <c r="E105" s="2265" t="s">
        <v>2307</v>
      </c>
      <c r="F105" s="2256"/>
      <c r="G105" s="2519" t="s">
        <v>2304</v>
      </c>
      <c r="H105" s="1044">
        <f>C37</f>
        <v>0</v>
      </c>
      <c r="I105" s="135"/>
    </row>
    <row r="106" spans="1:35" ht="18.75" customHeight="1">
      <c r="A106" s="2416" t="s">
        <v>2308</v>
      </c>
      <c r="B106" s="2416"/>
      <c r="C106" s="2416"/>
      <c r="D106" s="2416"/>
      <c r="E106" s="2522" t="s">
        <v>2309</v>
      </c>
      <c r="F106" s="2256"/>
      <c r="G106" s="2519" t="s">
        <v>2304</v>
      </c>
      <c r="H106" s="1044">
        <f>C38</f>
        <v>0</v>
      </c>
      <c r="I106" s="135"/>
    </row>
    <row r="107" spans="1:35" ht="18.75" customHeight="1">
      <c r="A107" s="135"/>
      <c r="B107" s="135"/>
      <c r="C107" s="135"/>
      <c r="D107" s="135"/>
      <c r="E107" s="3256" t="str">
        <f>IF(项目基本情况!E8="已注销","——","3.房地产抵押价值")</f>
        <v>3.房地产抵押价值</v>
      </c>
      <c r="F107" s="3257"/>
      <c r="G107" s="2518" t="s">
        <v>2300</v>
      </c>
      <c r="H107" s="1043">
        <f ca="1">IF(E107="——","——",H101-H103)</f>
        <v>3</v>
      </c>
      <c r="I107" s="135"/>
    </row>
    <row r="108" spans="1:35" ht="18.75" customHeight="1">
      <c r="A108" s="135"/>
      <c r="B108" s="135"/>
      <c r="C108" s="135"/>
      <c r="D108" s="135"/>
      <c r="E108" s="3256"/>
      <c r="F108" s="3257"/>
      <c r="G108" s="2518" t="s">
        <v>2302</v>
      </c>
      <c r="H108" s="368">
        <f ca="1">ROUND(H107*10000/'数据-汇总表'!E3,0)</f>
        <v>30000</v>
      </c>
      <c r="I108" s="135"/>
    </row>
    <row r="109" spans="1:35" ht="18.75" customHeight="1">
      <c r="A109" s="135"/>
      <c r="B109" s="135"/>
      <c r="C109" s="135"/>
      <c r="D109" s="135"/>
      <c r="E109" s="3256" t="str">
        <f>IF(项目基本情况!E8="已注销及未注销","4.抵押担保权已注销时的房地产抵押价值",IF(项目基本情况!E8="已注销","3.抵押担保权已注销时的房地产抵押价值","——"))</f>
        <v>——</v>
      </c>
      <c r="F109" s="3257"/>
      <c r="G109" s="2518" t="s">
        <v>2300</v>
      </c>
      <c r="H109" s="345" t="str">
        <f>IF(E109="——","——",H101-H105-H106)</f>
        <v>——</v>
      </c>
      <c r="I109" s="135"/>
    </row>
    <row r="110" spans="1:35" ht="18.75" customHeight="1">
      <c r="A110" s="135"/>
      <c r="B110" s="135"/>
      <c r="C110" s="135"/>
      <c r="D110" s="135"/>
      <c r="E110" s="3256"/>
      <c r="F110" s="3257"/>
      <c r="G110" s="2518" t="s">
        <v>2302</v>
      </c>
      <c r="H110" s="368" t="str">
        <f>IF(H109="——","——",ROUND(H109*10000/'数据-汇总表'!E3,0))</f>
        <v>——</v>
      </c>
      <c r="I110" s="135"/>
    </row>
    <row r="111" spans="1:35" ht="18.75" customHeight="1">
      <c r="A111" s="135"/>
      <c r="B111" s="135"/>
      <c r="C111" s="135"/>
      <c r="D111" s="135"/>
      <c r="E111" s="3291" t="str">
        <f>IF(项目基本情况!E9="抵押净值",IF(OR(项目基本情况!E8="已注销",项目基本情况!E8="房地产抵押价值"),"4.抵押净值","5.抵押净值"),"——")</f>
        <v>——</v>
      </c>
      <c r="F111" s="3292"/>
      <c r="G111" s="2518" t="s">
        <v>2300</v>
      </c>
      <c r="H111" s="1043" t="str">
        <f>IF(E111="——","——",N59)</f>
        <v>——</v>
      </c>
      <c r="I111" s="135"/>
    </row>
    <row r="112" spans="1:35" ht="18.75" customHeight="1" thickBot="1">
      <c r="A112" s="135"/>
      <c r="B112" s="135"/>
      <c r="C112" s="135"/>
      <c r="D112" s="135"/>
      <c r="E112" s="3293"/>
      <c r="F112" s="3294"/>
      <c r="G112" s="2523" t="s">
        <v>2302</v>
      </c>
      <c r="H112" s="785" t="str">
        <f>IF(E111="——","——",N61)</f>
        <v>——</v>
      </c>
      <c r="I112" s="135"/>
    </row>
    <row r="113" spans="1:11" ht="18.75" customHeight="1">
      <c r="A113" s="135"/>
      <c r="B113" s="135"/>
      <c r="C113" s="135"/>
      <c r="D113" s="135"/>
      <c r="E113" s="3261" t="s">
        <v>2308</v>
      </c>
      <c r="F113" s="3261"/>
      <c r="G113" s="3261"/>
      <c r="H113" s="3261"/>
      <c r="I113" s="135"/>
    </row>
    <row r="114" spans="1:11" ht="3.75" customHeight="1">
      <c r="A114" s="2416"/>
      <c r="B114" s="2416"/>
      <c r="C114" s="2416"/>
      <c r="D114" s="2416"/>
      <c r="E114" s="2494"/>
      <c r="F114" s="2494"/>
      <c r="G114" s="2494"/>
      <c r="H114" s="2494"/>
      <c r="I114" s="2416"/>
    </row>
    <row r="115" spans="1:11" ht="18.75" customHeight="1">
      <c r="A115" s="3274" t="s">
        <v>2310</v>
      </c>
      <c r="B115" s="3275"/>
      <c r="C115" s="3275"/>
      <c r="D115" s="3275"/>
      <c r="E115" s="3275"/>
      <c r="F115" s="3275"/>
      <c r="G115" s="3275"/>
      <c r="H115" s="3275"/>
      <c r="I115" s="3276"/>
    </row>
    <row r="116" spans="1:11" ht="27" customHeight="1">
      <c r="A116" s="3167" t="s">
        <v>2311</v>
      </c>
      <c r="B116" s="3262" t="s">
        <v>2312</v>
      </c>
      <c r="C116" s="3262" t="s">
        <v>2313</v>
      </c>
      <c r="D116" s="3278" t="s">
        <v>2314</v>
      </c>
      <c r="E116" s="3279"/>
      <c r="F116" s="3270" t="s">
        <v>2315</v>
      </c>
      <c r="G116" s="3270"/>
      <c r="H116" s="3167" t="s">
        <v>2316</v>
      </c>
      <c r="I116" s="3167"/>
    </row>
    <row r="117" spans="1:11" ht="18.75" customHeight="1">
      <c r="A117" s="3167"/>
      <c r="B117" s="3263"/>
      <c r="C117" s="3263"/>
      <c r="D117" s="1792" t="s">
        <v>2317</v>
      </c>
      <c r="E117" s="1792" t="s">
        <v>2318</v>
      </c>
      <c r="F117" s="1792" t="s">
        <v>2317</v>
      </c>
      <c r="G117" s="1792" t="s">
        <v>2319</v>
      </c>
      <c r="H117" s="1792" t="s">
        <v>2317</v>
      </c>
      <c r="I117" s="1792" t="s">
        <v>2319</v>
      </c>
    </row>
    <row r="118" spans="1:11" ht="24.75" customHeight="1">
      <c r="A118" s="2524" t="str">
        <f>项目基本情况!S2</f>
        <v>北京市房地产</v>
      </c>
      <c r="B118" s="1792">
        <f>M18</f>
        <v>0</v>
      </c>
      <c r="C118" s="1792">
        <f>M19</f>
        <v>0</v>
      </c>
      <c r="D118" s="1792" t="e">
        <f ca="1">ROUND(IF(D32="总价",C34,E118*B118/10000),0)</f>
        <v>#REF!</v>
      </c>
      <c r="E118" s="1792" t="e">
        <f ca="1">ROUND(IF(C33="自定义",IF(D32="楼面单价",C34,D118*10000/B118),I118-G118),0)</f>
        <v>#DIV/0!</v>
      </c>
      <c r="F118" s="1792" t="e">
        <f ca="1">ROUND(IF(D32="总价",C35,G118*B118/10000),0)</f>
        <v>#REF!</v>
      </c>
      <c r="G118" s="1792" t="e">
        <f ca="1">ROUND(IF(D32="楼面单价",C35,F118*10000/B118),0)</f>
        <v>#REF!</v>
      </c>
      <c r="H118" s="1792">
        <f ca="1">ROUND(IF(D32="总价",C32,I118*B118/10000),0)</f>
        <v>3</v>
      </c>
      <c r="I118" s="1792" t="e">
        <f ca="1">ROUND(IF(D32="楼面单价",C32,H118*10000/B118),0)</f>
        <v>#DIV/0!</v>
      </c>
    </row>
    <row r="119" spans="1:11" ht="18.75" customHeight="1">
      <c r="A119" s="3167" t="s">
        <v>2320</v>
      </c>
      <c r="B119" s="3167"/>
      <c r="C119" s="3167"/>
      <c r="D119" s="3267" t="e">
        <f ca="1">NUMBERSTRING(INT(D118*10000),2)&amp;"元整"</f>
        <v>#REF!</v>
      </c>
      <c r="E119" s="3269"/>
      <c r="F119" s="3267" t="e">
        <f ca="1">NUMBERSTRING(INT(F118*10000),2)&amp;"元整"</f>
        <v>#REF!</v>
      </c>
      <c r="G119" s="3269"/>
      <c r="H119" s="3267" t="str">
        <f ca="1">NUMBERSTRING(INT(H118*10000),2)&amp;"元整"</f>
        <v>叁万元整</v>
      </c>
      <c r="I119" s="3269"/>
    </row>
    <row r="120" spans="1:11" ht="18.75" customHeight="1">
      <c r="A120" s="3295" t="str">
        <f>IF(项目基本情况!B9="房地产市场价值","",MID(E103,3,LEN(E103)-2))</f>
        <v/>
      </c>
      <c r="B120" s="3296"/>
      <c r="C120" s="3297"/>
      <c r="D120" s="3295">
        <f>H103</f>
        <v>0</v>
      </c>
      <c r="E120" s="3296"/>
      <c r="F120" s="3296"/>
      <c r="G120" s="3296"/>
      <c r="H120" s="3296"/>
      <c r="I120" s="3297"/>
      <c r="K120" s="2421" t="str">
        <f>IF(D120=0,"故，本次评估不存在"&amp;A120,"故，本次评估"&amp;A120&amp;"为人民币"&amp;D120&amp;"万元整。")</f>
        <v>故，本次评估不存在</v>
      </c>
    </row>
    <row r="121" spans="1:11" ht="18.75" customHeight="1">
      <c r="A121" s="3271" t="s">
        <v>2320</v>
      </c>
      <c r="B121" s="3272"/>
      <c r="C121" s="3273"/>
      <c r="D121" s="3267" t="str">
        <f>IF(D120=0,"零元整",NUMBERSTRING(INT(D120*10000),2)&amp;"元整")</f>
        <v>零元整</v>
      </c>
      <c r="E121" s="3268"/>
      <c r="F121" s="3268"/>
      <c r="G121" s="3268"/>
      <c r="H121" s="3268"/>
      <c r="I121" s="3269"/>
    </row>
    <row r="122" spans="1:11" ht="18.75" customHeight="1">
      <c r="A122" s="3258" t="str">
        <f>IF(项目基本情况!B9="房地产市场价值","",MID(E107,3,LEN(E107)-2))</f>
        <v/>
      </c>
      <c r="B122" s="3258"/>
      <c r="C122" s="3258"/>
      <c r="D122" s="3295">
        <f ca="1">H107</f>
        <v>3</v>
      </c>
      <c r="E122" s="3296"/>
      <c r="F122" s="3296"/>
      <c r="G122" s="3296"/>
      <c r="H122" s="3296"/>
      <c r="I122" s="3297"/>
    </row>
    <row r="123" spans="1:11" ht="18.75" customHeight="1">
      <c r="A123" s="3167" t="s">
        <v>2320</v>
      </c>
      <c r="B123" s="3167"/>
      <c r="C123" s="3167"/>
      <c r="D123" s="3267" t="str">
        <f ca="1">NUMBERSTRING(INT(D122*10000),2)&amp;"元整"</f>
        <v>叁万元整</v>
      </c>
      <c r="E123" s="3268"/>
      <c r="F123" s="3268"/>
      <c r="G123" s="3268"/>
      <c r="H123" s="3268"/>
      <c r="I123" s="3269"/>
    </row>
    <row r="124" spans="1:11" ht="18.75" customHeight="1">
      <c r="A124" s="3258" t="str">
        <f>IF(项目基本情况!B9="房地产市场价值","",MID(E109,3,LEN(E109)-2))</f>
        <v/>
      </c>
      <c r="B124" s="3258"/>
      <c r="C124" s="3258"/>
      <c r="D124" s="3295" t="str">
        <f>H109</f>
        <v>——</v>
      </c>
      <c r="E124" s="3296"/>
      <c r="F124" s="3296"/>
      <c r="G124" s="3296"/>
      <c r="H124" s="3296"/>
      <c r="I124" s="3297"/>
    </row>
    <row r="125" spans="1:11" ht="18.75" customHeight="1">
      <c r="A125" s="3167" t="s">
        <v>2320</v>
      </c>
      <c r="B125" s="3167"/>
      <c r="C125" s="3167"/>
      <c r="D125" s="3267" t="e">
        <f>NUMBERSTRING(INT(D124*10000),2)&amp;"元整"</f>
        <v>#VALUE!</v>
      </c>
      <c r="E125" s="3268"/>
      <c r="F125" s="3268"/>
      <c r="G125" s="3268"/>
      <c r="H125" s="3268"/>
      <c r="I125" s="3269"/>
    </row>
    <row r="126" spans="1:11" ht="18.75" customHeight="1">
      <c r="A126" s="3258" t="str">
        <f>IF(项目基本情况!B9="房地产市场价值","",MID(E111,3,LEN(E111)-2))</f>
        <v/>
      </c>
      <c r="B126" s="3258"/>
      <c r="C126" s="3258"/>
      <c r="D126" s="3295" t="str">
        <f>H111</f>
        <v>——</v>
      </c>
      <c r="E126" s="3296"/>
      <c r="F126" s="3296"/>
      <c r="G126" s="3296"/>
      <c r="H126" s="3296"/>
      <c r="I126" s="3297"/>
    </row>
    <row r="127" spans="1:11" ht="18.75" customHeight="1">
      <c r="A127" s="3167" t="s">
        <v>2320</v>
      </c>
      <c r="B127" s="3167"/>
      <c r="C127" s="3167"/>
      <c r="D127" s="3267" t="e">
        <f>NUMBERSTRING(INT(D126*10000),2)&amp;"元整"</f>
        <v>#VALUE!</v>
      </c>
      <c r="E127" s="3268"/>
      <c r="F127" s="3268"/>
      <c r="G127" s="3268"/>
      <c r="H127" s="3268"/>
      <c r="I127" s="3269"/>
    </row>
    <row r="128" spans="1:11" ht="21.75" customHeight="1">
      <c r="A128" s="3277" t="s">
        <v>2321</v>
      </c>
      <c r="B128" s="3277"/>
      <c r="C128" s="3277"/>
      <c r="D128" s="3277"/>
      <c r="E128" s="3277"/>
      <c r="F128" s="3277"/>
      <c r="G128" s="3277"/>
      <c r="H128" s="3277"/>
      <c r="I128" s="3277"/>
    </row>
    <row r="129" spans="1:35" ht="21.75" customHeight="1">
      <c r="A129" s="2525" t="s">
        <v>2322</v>
      </c>
      <c r="B129" s="2526"/>
      <c r="C129" s="2527" t="s">
        <v>2323</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0"/>
    </row>
    <row r="135" spans="1:35" ht="21.75" customHeight="1">
      <c r="A135" s="790"/>
      <c r="B135" s="790"/>
      <c r="C135" s="790"/>
      <c r="D135" s="790"/>
      <c r="E135" s="790"/>
      <c r="F135" s="2541" t="s">
        <v>2324</v>
      </c>
      <c r="G135" s="2542"/>
      <c r="H135" s="2542"/>
      <c r="I135" s="2543" t="s">
        <v>2325</v>
      </c>
    </row>
    <row r="136" spans="1:35" ht="21.75" customHeight="1">
      <c r="A136" s="790"/>
      <c r="B136" s="2544" t="s">
        <v>2326</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2"/>
      <c r="C138" s="2542"/>
      <c r="D138" s="2542"/>
      <c r="E138" s="2542"/>
      <c r="F138" s="2542"/>
      <c r="G138" s="2542"/>
      <c r="H138" s="2542"/>
      <c r="I138" s="2543" t="s">
        <v>2327</v>
      </c>
    </row>
    <row r="139" spans="1:35" ht="21.75" customHeight="1">
      <c r="A139" s="790"/>
      <c r="B139" s="2544" t="s">
        <v>2328</v>
      </c>
      <c r="C139" s="790"/>
      <c r="D139" s="790"/>
      <c r="E139" s="790"/>
      <c r="F139" s="790"/>
      <c r="G139" s="790"/>
      <c r="H139" s="790"/>
      <c r="I139" s="790"/>
    </row>
    <row r="140" spans="1:35" ht="21.75" customHeight="1">
      <c r="A140" s="790"/>
      <c r="B140" s="2544"/>
      <c r="C140" s="790"/>
      <c r="D140" s="790"/>
      <c r="E140" s="790"/>
      <c r="F140" s="790"/>
      <c r="G140" s="790"/>
      <c r="H140" s="790"/>
      <c r="I140" s="790"/>
    </row>
    <row r="141" spans="1:35" ht="21.75" customHeight="1">
      <c r="A141" s="790"/>
      <c r="B141" s="2542"/>
      <c r="C141" s="2542"/>
      <c r="D141" s="2542"/>
      <c r="E141" s="2542"/>
      <c r="F141" s="2542"/>
      <c r="G141" s="2542"/>
      <c r="H141" s="2542"/>
      <c r="I141" s="2543" t="s">
        <v>2327</v>
      </c>
    </row>
    <row r="142" spans="1:35" ht="21.75" customHeight="1">
      <c r="A142" s="790"/>
      <c r="B142" s="2544"/>
      <c r="C142" s="2545"/>
      <c r="D142" s="2546"/>
      <c r="E142" s="2546"/>
      <c r="F142" s="2339"/>
      <c r="G142" s="790"/>
      <c r="H142" s="790"/>
      <c r="I142" s="790"/>
    </row>
    <row r="143" spans="1:35" s="136" customFormat="1" ht="21.75" customHeight="1">
      <c r="A143" s="790"/>
      <c r="B143" s="2544"/>
      <c r="C143" s="2545"/>
      <c r="D143" s="2546"/>
      <c r="E143" s="2546"/>
      <c r="F143" s="2339"/>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6"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21"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21"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21"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21"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21"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21"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21"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21"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21"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21"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21"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21"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21"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21"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21"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21"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21"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21"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21"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21"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21"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21"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21"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21"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21"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21"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21"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21"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21"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21"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21"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21"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21"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21"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21"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21"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21"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21"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21"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21"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21"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21"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21"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21"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21"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21"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21"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21"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21"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21"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21"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21"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21"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21"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21"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21"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21"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21"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21"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21"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21"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21"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21"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21"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21"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21"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21"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21"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21"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21"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21"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21"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21"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21"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21"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21"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21"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21"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21"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21"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21"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21"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21"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21"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21"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21"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21"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21"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21"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21"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21"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21"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21"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21"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21"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21"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21"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21"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21"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21"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21"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21"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21"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21"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C39" sqref="C39"/>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2624"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2531</v>
      </c>
      <c r="B1" s="2582" t="s">
        <v>2532</v>
      </c>
      <c r="C1" s="1631" t="s">
        <v>2533</v>
      </c>
      <c r="D1" s="1618" t="s">
        <v>3378</v>
      </c>
      <c r="E1" s="2583"/>
      <c r="F1" s="2584" t="s">
        <v>3321</v>
      </c>
      <c r="G1" s="1628" t="s">
        <v>2534</v>
      </c>
      <c r="H1" s="1627"/>
      <c r="I1" s="1627"/>
      <c r="J1" s="1627"/>
      <c r="K1" s="1629"/>
      <c r="L1" s="1630"/>
      <c r="M1" s="1631"/>
      <c r="N1" s="1631"/>
      <c r="O1" s="1631"/>
      <c r="P1" s="2585"/>
      <c r="Q1" s="1617"/>
      <c r="R1" s="1617"/>
      <c r="S1" s="1617"/>
      <c r="T1" s="1617"/>
      <c r="U1" s="1617"/>
      <c r="V1" s="1617"/>
      <c r="W1" s="1617"/>
      <c r="X1" s="1617"/>
      <c r="Y1" s="1617"/>
      <c r="Z1" s="1617"/>
      <c r="AA1" s="1617"/>
      <c r="AB1" s="1617"/>
      <c r="AC1" s="1625"/>
    </row>
    <row r="2" spans="1:29" s="390" customFormat="1" ht="28.5" customHeight="1" thickTop="1">
      <c r="A2" s="1614" t="s">
        <v>1394</v>
      </c>
      <c r="B2" s="1415">
        <f>IF(C2="——",ROUND(C49*D3/10000,0),ROUND(C49*D3/10000,0)-D2)</f>
        <v>3</v>
      </c>
      <c r="C2" s="2586" t="s">
        <v>70</v>
      </c>
      <c r="D2" s="1363" t="e">
        <f ca="1">SUMIF(INDIRECT("'"&amp;F2&amp;"'"&amp;"!A:A"),"承租人权益价值",INDIRECT("'"&amp;F2&amp;"'"&amp;"!c:c"))</f>
        <v>#REF!</v>
      </c>
      <c r="E2" s="2587" t="s">
        <v>2535</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0" customFormat="1" ht="28.5" customHeight="1" thickBot="1">
      <c r="A3" s="244" t="s">
        <v>1395</v>
      </c>
      <c r="B3" s="396">
        <f>IF(C2="——",C49,ROUND(B2*10000/D3,0))</f>
        <v>29444</v>
      </c>
      <c r="C3" s="397" t="s">
        <v>2536</v>
      </c>
      <c r="D3" s="396">
        <f>IF(D1="",'数据-汇总表'!E3,SUMIF('数据-汇总表'!$C19:$C33,D1,'数据-汇总表'!$E19:$E33))</f>
        <v>1</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398" t="s">
        <v>2537</v>
      </c>
      <c r="B4" s="399"/>
      <c r="C4" s="3330" t="s">
        <v>2538</v>
      </c>
      <c r="D4" s="3331"/>
      <c r="E4" s="3332" t="s">
        <v>2539</v>
      </c>
      <c r="F4" s="3333"/>
      <c r="G4" s="3330" t="s">
        <v>2540</v>
      </c>
      <c r="H4" s="3331"/>
      <c r="I4" s="3330" t="s">
        <v>2541</v>
      </c>
      <c r="J4" s="3331"/>
      <c r="K4" s="2596" t="s">
        <v>2542</v>
      </c>
      <c r="L4" s="1128"/>
      <c r="M4" s="1129"/>
      <c r="N4" s="1129"/>
      <c r="O4" s="1129"/>
      <c r="P4" s="3334" t="s">
        <v>2543</v>
      </c>
      <c r="Q4" s="3335"/>
      <c r="R4" s="3340" t="s">
        <v>2539</v>
      </c>
      <c r="S4" s="3341"/>
      <c r="T4" s="3340" t="s">
        <v>2540</v>
      </c>
      <c r="U4" s="3341"/>
      <c r="V4" s="3346" t="s">
        <v>2541</v>
      </c>
      <c r="W4" s="3346"/>
      <c r="X4" s="1810"/>
      <c r="Y4" s="3340" t="s">
        <v>2543</v>
      </c>
      <c r="Z4" s="3341"/>
      <c r="AA4" s="3327" t="s">
        <v>2539</v>
      </c>
      <c r="AB4" s="3327" t="s">
        <v>2540</v>
      </c>
      <c r="AC4" s="3327" t="s">
        <v>2541</v>
      </c>
    </row>
    <row r="5" spans="1:29" ht="39" customHeight="1">
      <c r="A5" s="401"/>
      <c r="B5" s="402"/>
      <c r="C5" s="3354" t="str">
        <f>'土地比较法-拆迁'!C5:D5</f>
        <v>大兴区瀛海镇YZ00-0803-6040等地块</v>
      </c>
      <c r="D5" s="3355"/>
      <c r="E5" s="3349" t="s">
        <v>3380</v>
      </c>
      <c r="F5" s="3350"/>
      <c r="G5" s="3349" t="s">
        <v>3381</v>
      </c>
      <c r="H5" s="3350"/>
      <c r="I5" s="3349" t="s">
        <v>3382</v>
      </c>
      <c r="J5" s="3350"/>
      <c r="K5" s="2597"/>
      <c r="L5" s="1128"/>
      <c r="M5" s="1129"/>
      <c r="N5" s="1129"/>
      <c r="O5" s="1129"/>
      <c r="P5" s="3336"/>
      <c r="Q5" s="3337"/>
      <c r="R5" s="3342"/>
      <c r="S5" s="3343"/>
      <c r="T5" s="3342"/>
      <c r="U5" s="3343"/>
      <c r="V5" s="3346"/>
      <c r="W5" s="3346"/>
      <c r="X5" s="1810"/>
      <c r="Y5" s="3342"/>
      <c r="Z5" s="3343"/>
      <c r="AA5" s="3328"/>
      <c r="AB5" s="3328"/>
      <c r="AC5" s="3328"/>
    </row>
    <row r="6" spans="1:29" ht="15.75" thickBot="1">
      <c r="A6" s="403"/>
      <c r="B6" s="404"/>
      <c r="C6" s="3356" t="s">
        <v>3248</v>
      </c>
      <c r="D6" s="3357"/>
      <c r="E6" s="3347" t="s">
        <v>3246</v>
      </c>
      <c r="F6" s="3348"/>
      <c r="G6" s="3347" t="s">
        <v>3247</v>
      </c>
      <c r="H6" s="3348"/>
      <c r="I6" s="3347" t="s">
        <v>3248</v>
      </c>
      <c r="J6" s="3348"/>
      <c r="K6" s="2597" t="s">
        <v>2549</v>
      </c>
      <c r="L6" s="1128"/>
      <c r="M6" s="1129"/>
      <c r="N6" s="1129"/>
      <c r="O6" s="1129"/>
      <c r="P6" s="3338"/>
      <c r="Q6" s="3339"/>
      <c r="R6" s="3342"/>
      <c r="S6" s="3343"/>
      <c r="T6" s="3344"/>
      <c r="U6" s="3345"/>
      <c r="V6" s="3346"/>
      <c r="W6" s="3346"/>
      <c r="X6" s="1810"/>
      <c r="Y6" s="3344"/>
      <c r="Z6" s="3345"/>
      <c r="AA6" s="3329"/>
      <c r="AB6" s="3329"/>
      <c r="AC6" s="3329"/>
    </row>
    <row r="7" spans="1:29" s="116" customFormat="1" ht="15.75" thickBot="1">
      <c r="A7" s="405" t="s">
        <v>2550</v>
      </c>
      <c r="B7" s="406"/>
      <c r="C7" s="407">
        <f>'数据-取费表'!B2</f>
        <v>43621</v>
      </c>
      <c r="D7" s="408">
        <v>100</v>
      </c>
      <c r="E7" s="409">
        <v>43313</v>
      </c>
      <c r="F7" s="410">
        <f>SUMIF(58:58,YEAR(E7)&amp;"-"&amp;MONTH(E7),59:59)</f>
        <v>99</v>
      </c>
      <c r="G7" s="409">
        <v>43282</v>
      </c>
      <c r="H7" s="408">
        <v>99</v>
      </c>
      <c r="I7" s="409">
        <v>43349</v>
      </c>
      <c r="J7" s="408">
        <f>SUMIF(58:58,YEAR(I7)&amp;"-"&amp;MONTH(I7),59:59)</f>
        <v>99</v>
      </c>
      <c r="K7" s="2598"/>
      <c r="L7" s="1130"/>
      <c r="M7" s="1131"/>
      <c r="N7" s="1131"/>
      <c r="O7" s="1131"/>
      <c r="P7" s="3351" t="s">
        <v>2551</v>
      </c>
      <c r="Q7" s="3353"/>
      <c r="R7" s="765" t="s">
        <v>23</v>
      </c>
      <c r="S7" s="766">
        <f t="shared" ref="S7:S15" si="0">F7</f>
        <v>99</v>
      </c>
      <c r="T7" s="765" t="s">
        <v>23</v>
      </c>
      <c r="U7" s="766">
        <f t="shared" ref="U7:U15" si="1">H7</f>
        <v>99</v>
      </c>
      <c r="V7" s="765" t="s">
        <v>23</v>
      </c>
      <c r="W7" s="766">
        <f t="shared" ref="W7:W15" si="2">J7</f>
        <v>99</v>
      </c>
      <c r="X7" s="767"/>
      <c r="Y7" s="3351" t="s">
        <v>2551</v>
      </c>
      <c r="Z7" s="3352"/>
      <c r="AA7" s="768">
        <f>D7/F7</f>
        <v>1.0101010101010102</v>
      </c>
      <c r="AB7" s="768">
        <f>D7/H7</f>
        <v>1.0101010101010102</v>
      </c>
      <c r="AC7" s="768">
        <f>D7/J7</f>
        <v>1.0101010101010102</v>
      </c>
    </row>
    <row r="8" spans="1:29" s="116" customFormat="1" ht="15.75" thickBot="1">
      <c r="A8" s="405" t="s">
        <v>2552</v>
      </c>
      <c r="B8" s="406"/>
      <c r="C8" s="411" t="s">
        <v>2553</v>
      </c>
      <c r="D8" s="408">
        <v>100</v>
      </c>
      <c r="E8" s="2599" t="s">
        <v>3064</v>
      </c>
      <c r="F8" s="410">
        <f>SUMIF(61:61,E8,62:62)-SUMIF(61:61,C8,62:62)+100</f>
        <v>100</v>
      </c>
      <c r="G8" s="411" t="s">
        <v>3064</v>
      </c>
      <c r="H8" s="408">
        <f>SUMIF(61:61,G8,62:62)-SUMIF(61:61,C8,62:62)+100</f>
        <v>100</v>
      </c>
      <c r="I8" s="2599" t="s">
        <v>3064</v>
      </c>
      <c r="J8" s="408">
        <f>SUMIF(61:61,I8,62:62)-SUMIF(61:61,C8,62:62)+100</f>
        <v>100</v>
      </c>
      <c r="K8" s="2598"/>
      <c r="L8" s="1130"/>
      <c r="M8" s="1131"/>
      <c r="N8" s="1131"/>
      <c r="O8" s="1131"/>
      <c r="P8" s="3351" t="s">
        <v>2554</v>
      </c>
      <c r="Q8" s="3352"/>
      <c r="R8" s="765" t="s">
        <v>23</v>
      </c>
      <c r="S8" s="766">
        <f t="shared" si="0"/>
        <v>100</v>
      </c>
      <c r="T8" s="765" t="s">
        <v>23</v>
      </c>
      <c r="U8" s="766">
        <f t="shared" si="1"/>
        <v>100</v>
      </c>
      <c r="V8" s="765" t="s">
        <v>23</v>
      </c>
      <c r="W8" s="766">
        <f t="shared" si="2"/>
        <v>100</v>
      </c>
      <c r="X8" s="767"/>
      <c r="Y8" s="3351" t="s">
        <v>2554</v>
      </c>
      <c r="Z8" s="3352"/>
      <c r="AA8" s="768">
        <f t="shared" ref="AA8:AA19" si="3">D8/F8</f>
        <v>1</v>
      </c>
      <c r="AB8" s="768">
        <f t="shared" ref="AB8:AB19" si="4">D8/H8</f>
        <v>1</v>
      </c>
      <c r="AC8" s="768">
        <f t="shared" ref="AC8:AC19" si="5">D8/J8</f>
        <v>1</v>
      </c>
    </row>
    <row r="9" spans="1:29" s="116" customFormat="1">
      <c r="A9" s="412" t="s">
        <v>2555</v>
      </c>
      <c r="B9" s="71" t="s">
        <v>2556</v>
      </c>
      <c r="C9" s="2955" t="s">
        <v>3121</v>
      </c>
      <c r="D9" s="132">
        <v>100</v>
      </c>
      <c r="E9" s="414" t="s">
        <v>3049</v>
      </c>
      <c r="F9" s="415">
        <f>SUMIF(63:63,E9,64:64)-SUMIF(63:63,C9,64:64)+100</f>
        <v>100</v>
      </c>
      <c r="G9" s="416" t="s">
        <v>3049</v>
      </c>
      <c r="H9" s="132">
        <f>SUMIF(63:63,G9,64:64)-SUMIF(63:63,C9,64:64)+100</f>
        <v>100</v>
      </c>
      <c r="I9" s="416" t="s">
        <v>3049</v>
      </c>
      <c r="J9" s="132">
        <f>SUMIF(63:63,I9,64:64)-SUMIF(63:63,C9,64:64)+100</f>
        <v>100</v>
      </c>
      <c r="K9" s="2598"/>
      <c r="L9" s="1130"/>
      <c r="M9" s="1131"/>
      <c r="N9" s="1131"/>
      <c r="O9" s="1131"/>
      <c r="P9" s="3326" t="s">
        <v>2557</v>
      </c>
      <c r="Q9" s="1792" t="str">
        <f t="shared" ref="Q9:Q15" si="6">B9</f>
        <v>用途</v>
      </c>
      <c r="R9" s="765" t="s">
        <v>17</v>
      </c>
      <c r="S9" s="766">
        <f t="shared" si="0"/>
        <v>100</v>
      </c>
      <c r="T9" s="765" t="s">
        <v>17</v>
      </c>
      <c r="U9" s="766">
        <f t="shared" si="1"/>
        <v>100</v>
      </c>
      <c r="V9" s="765" t="s">
        <v>17</v>
      </c>
      <c r="W9" s="766">
        <f t="shared" si="2"/>
        <v>100</v>
      </c>
      <c r="X9" s="767"/>
      <c r="Y9" s="3167" t="s">
        <v>2558</v>
      </c>
      <c r="Z9" s="55" t="str">
        <f t="shared" ref="Z9:Z15" si="7">Q9</f>
        <v>用途</v>
      </c>
      <c r="AA9" s="768">
        <f t="shared" si="3"/>
        <v>1</v>
      </c>
      <c r="AB9" s="768">
        <f t="shared" si="4"/>
        <v>1</v>
      </c>
      <c r="AC9" s="768">
        <f t="shared" si="5"/>
        <v>1</v>
      </c>
    </row>
    <row r="10" spans="1:29" s="424" customFormat="1" ht="27">
      <c r="A10" s="418"/>
      <c r="B10" s="419" t="s">
        <v>2559</v>
      </c>
      <c r="C10" s="420" t="s">
        <v>3066</v>
      </c>
      <c r="D10" s="133">
        <v>100</v>
      </c>
      <c r="E10" s="421" t="s">
        <v>3066</v>
      </c>
      <c r="F10" s="422">
        <f>SUMIF(65:65,E10,66:66)-SUMIF(65:65,C10,66:66)+100</f>
        <v>100</v>
      </c>
      <c r="G10" s="420" t="s">
        <v>3066</v>
      </c>
      <c r="H10" s="133">
        <f>SUMIF(65:65,G10,66:66)-SUMIF(65:65,C10,66:66)+100</f>
        <v>100</v>
      </c>
      <c r="I10" s="420" t="s">
        <v>3066</v>
      </c>
      <c r="J10" s="133">
        <f>SUMIF(65:65,I10,66:66)-SUMIF(65:65,C10,66:66)+100</f>
        <v>100</v>
      </c>
      <c r="K10" s="423"/>
      <c r="L10" s="1133"/>
      <c r="M10" s="1134"/>
      <c r="N10" s="1134"/>
      <c r="O10" s="1134"/>
      <c r="P10" s="3326"/>
      <c r="Q10" s="1792" t="str">
        <f t="shared" si="6"/>
        <v>土地使用年限（年）</v>
      </c>
      <c r="R10" s="765" t="s">
        <v>17</v>
      </c>
      <c r="S10" s="766">
        <f t="shared" si="0"/>
        <v>100</v>
      </c>
      <c r="T10" s="765" t="s">
        <v>17</v>
      </c>
      <c r="U10" s="766">
        <f t="shared" si="1"/>
        <v>100</v>
      </c>
      <c r="V10" s="765" t="s">
        <v>17</v>
      </c>
      <c r="W10" s="766">
        <f t="shared" si="2"/>
        <v>100</v>
      </c>
      <c r="X10" s="767"/>
      <c r="Y10" s="3167"/>
      <c r="Z10" s="55" t="str">
        <f t="shared" si="7"/>
        <v>土地使用年限（年）</v>
      </c>
      <c r="AA10" s="768">
        <f t="shared" si="3"/>
        <v>1</v>
      </c>
      <c r="AB10" s="768">
        <f t="shared" si="4"/>
        <v>1</v>
      </c>
      <c r="AC10" s="768">
        <f t="shared" si="5"/>
        <v>1</v>
      </c>
    </row>
    <row r="11" spans="1:29" ht="15">
      <c r="A11" s="425"/>
      <c r="B11" s="419" t="s">
        <v>2560</v>
      </c>
      <c r="C11" s="427">
        <v>2.5</v>
      </c>
      <c r="D11" s="133">
        <v>100</v>
      </c>
      <c r="E11" s="427">
        <v>2.5</v>
      </c>
      <c r="F11" s="422">
        <f>LOOKUP(E11,68:68,69:69)-LOOKUP(C11,68:68,69:69)+100</f>
        <v>100</v>
      </c>
      <c r="G11" s="426">
        <v>2.2000000000000002</v>
      </c>
      <c r="H11" s="133">
        <v>99</v>
      </c>
      <c r="I11" s="426">
        <v>2</v>
      </c>
      <c r="J11" s="133">
        <v>99</v>
      </c>
      <c r="K11" s="423">
        <v>1</v>
      </c>
      <c r="L11" s="1136"/>
      <c r="M11" s="1129"/>
      <c r="N11" s="1129"/>
      <c r="O11" s="1129"/>
      <c r="P11" s="3326"/>
      <c r="Q11" s="1792" t="str">
        <f t="shared" si="6"/>
        <v>容积率</v>
      </c>
      <c r="R11" s="765" t="s">
        <v>21</v>
      </c>
      <c r="S11" s="766">
        <f t="shared" si="0"/>
        <v>100</v>
      </c>
      <c r="T11" s="765" t="s">
        <v>21</v>
      </c>
      <c r="U11" s="766">
        <f t="shared" si="1"/>
        <v>99</v>
      </c>
      <c r="V11" s="765" t="s">
        <v>21</v>
      </c>
      <c r="W11" s="766">
        <f t="shared" si="2"/>
        <v>99</v>
      </c>
      <c r="X11" s="767"/>
      <c r="Y11" s="3167"/>
      <c r="Z11" s="55" t="str">
        <f t="shared" si="7"/>
        <v>容积率</v>
      </c>
      <c r="AA11" s="768">
        <f t="shared" si="3"/>
        <v>1</v>
      </c>
      <c r="AB11" s="768">
        <f t="shared" si="4"/>
        <v>1.0101010101010102</v>
      </c>
      <c r="AC11" s="768">
        <f t="shared" si="5"/>
        <v>1.0101010101010102</v>
      </c>
    </row>
    <row r="12" spans="1:29" s="116" customFormat="1" ht="15">
      <c r="A12" s="428"/>
      <c r="B12" s="2945" t="s">
        <v>3119</v>
      </c>
      <c r="C12" s="2957" t="s">
        <v>3120</v>
      </c>
      <c r="D12" s="430">
        <v>100</v>
      </c>
      <c r="E12" s="2957" t="s">
        <v>3120</v>
      </c>
      <c r="F12" s="422">
        <f>SUMIF(70:70,E12,71:71)-SUMIF(70:70,C12,71:71)+100</f>
        <v>100</v>
      </c>
      <c r="G12" s="2957" t="s">
        <v>3120</v>
      </c>
      <c r="H12" s="133">
        <f>SUMIF(70:70,G12,71:71)-SUMIF(70:70,C12,71:71)+100</f>
        <v>100</v>
      </c>
      <c r="I12" s="2957" t="s">
        <v>3120</v>
      </c>
      <c r="J12" s="133">
        <f>SUMIF(70:70,I12,71:71)-SUMIF(70:70,C12,71:71)+100</f>
        <v>100</v>
      </c>
      <c r="K12" s="2601"/>
      <c r="L12" s="1130"/>
      <c r="M12" s="1131"/>
      <c r="N12" s="1131"/>
      <c r="O12" s="1131"/>
      <c r="P12" s="3326"/>
      <c r="Q12" s="1792" t="str">
        <f t="shared" si="6"/>
        <v>产权性质</v>
      </c>
      <c r="R12" s="765" t="s">
        <v>21</v>
      </c>
      <c r="S12" s="766">
        <f t="shared" si="0"/>
        <v>100</v>
      </c>
      <c r="T12" s="765" t="s">
        <v>21</v>
      </c>
      <c r="U12" s="766">
        <f t="shared" si="1"/>
        <v>100</v>
      </c>
      <c r="V12" s="765" t="s">
        <v>21</v>
      </c>
      <c r="W12" s="766">
        <f t="shared" si="2"/>
        <v>100</v>
      </c>
      <c r="X12" s="767"/>
      <c r="Y12" s="3167"/>
      <c r="Z12" s="55" t="str">
        <f t="shared" si="7"/>
        <v>产权性质</v>
      </c>
      <c r="AA12" s="768">
        <f>D12/F12</f>
        <v>1</v>
      </c>
      <c r="AB12" s="768">
        <f>D12/H12</f>
        <v>1</v>
      </c>
      <c r="AC12" s="768">
        <f>D12/J12</f>
        <v>1</v>
      </c>
    </row>
    <row r="13" spans="1:29" ht="15">
      <c r="A13" s="425"/>
      <c r="B13" s="2600">
        <v>111</v>
      </c>
      <c r="C13" s="431"/>
      <c r="D13" s="432">
        <v>100</v>
      </c>
      <c r="E13" s="431"/>
      <c r="F13" s="422">
        <f>SUMIF(72:72,E13,73:73)-SUMIF(72:72,C13,73:73)+100</f>
        <v>100</v>
      </c>
      <c r="G13" s="431"/>
      <c r="H13" s="432">
        <f>SUMIF(72:72,G13,73:73)-SUMIF(72:72,C13,73:73)+100</f>
        <v>100</v>
      </c>
      <c r="I13" s="431"/>
      <c r="J13" s="432">
        <f>SUMIF(72:72,I13,73:73)-SUMIF(72:72,C13,73:73)+100</f>
        <v>100</v>
      </c>
      <c r="K13" s="2601"/>
      <c r="L13" s="1138"/>
      <c r="M13" s="1129"/>
      <c r="N13" s="1129"/>
      <c r="O13" s="1129"/>
      <c r="P13" s="3326"/>
      <c r="Q13" s="1792">
        <f t="shared" si="6"/>
        <v>111</v>
      </c>
      <c r="R13" s="765" t="s">
        <v>21</v>
      </c>
      <c r="S13" s="766">
        <f t="shared" si="0"/>
        <v>100</v>
      </c>
      <c r="T13" s="765" t="s">
        <v>21</v>
      </c>
      <c r="U13" s="766">
        <f t="shared" si="1"/>
        <v>100</v>
      </c>
      <c r="V13" s="765" t="s">
        <v>21</v>
      </c>
      <c r="W13" s="766">
        <f t="shared" si="2"/>
        <v>100</v>
      </c>
      <c r="X13" s="767"/>
      <c r="Y13" s="3167"/>
      <c r="Z13" s="55">
        <f t="shared" si="7"/>
        <v>111</v>
      </c>
      <c r="AA13" s="768">
        <f t="shared" si="3"/>
        <v>1</v>
      </c>
      <c r="AB13" s="768">
        <f t="shared" si="4"/>
        <v>1</v>
      </c>
      <c r="AC13" s="768">
        <f t="shared" si="5"/>
        <v>1</v>
      </c>
    </row>
    <row r="14" spans="1:29" ht="15.75" thickBot="1">
      <c r="A14" s="433"/>
      <c r="B14" s="2602">
        <v>111</v>
      </c>
      <c r="C14" s="434"/>
      <c r="D14" s="435">
        <v>100</v>
      </c>
      <c r="E14" s="434"/>
      <c r="F14" s="436">
        <f>SUMIF(74:74,E14,75:75)-SUMIF(74:74,C14,75:75)+100</f>
        <v>100</v>
      </c>
      <c r="G14" s="434"/>
      <c r="H14" s="435">
        <f>SUMIF(74:74,G14,75:75)-SUMIF(74:74,C14,75:75)+100</f>
        <v>100</v>
      </c>
      <c r="I14" s="434"/>
      <c r="J14" s="435">
        <f>SUMIF(74:74,I14,75:75)-SUMIF(74:74,C14,75:75)+100</f>
        <v>100</v>
      </c>
      <c r="K14" s="2601"/>
      <c r="L14" s="1138"/>
      <c r="M14" s="1129"/>
      <c r="N14" s="1129"/>
      <c r="O14" s="1129"/>
      <c r="P14" s="3326"/>
      <c r="Q14" s="1792">
        <f t="shared" si="6"/>
        <v>111</v>
      </c>
      <c r="R14" s="765" t="s">
        <v>21</v>
      </c>
      <c r="S14" s="766">
        <f t="shared" si="0"/>
        <v>100</v>
      </c>
      <c r="T14" s="765" t="s">
        <v>21</v>
      </c>
      <c r="U14" s="766">
        <f t="shared" si="1"/>
        <v>100</v>
      </c>
      <c r="V14" s="765" t="s">
        <v>21</v>
      </c>
      <c r="W14" s="766">
        <f t="shared" si="2"/>
        <v>100</v>
      </c>
      <c r="X14" s="767"/>
      <c r="Y14" s="3167"/>
      <c r="Z14" s="55">
        <f t="shared" si="7"/>
        <v>111</v>
      </c>
      <c r="AA14" s="768">
        <f t="shared" si="3"/>
        <v>1</v>
      </c>
      <c r="AB14" s="768">
        <f t="shared" si="4"/>
        <v>1</v>
      </c>
      <c r="AC14" s="768">
        <f t="shared" si="5"/>
        <v>1</v>
      </c>
    </row>
    <row r="15" spans="1:29" ht="123" customHeight="1">
      <c r="A15" s="437" t="s">
        <v>2561</v>
      </c>
      <c r="B15" s="69" t="s">
        <v>2089</v>
      </c>
      <c r="C15" s="2603" t="str">
        <f>估价对象房地状况!C3</f>
        <v>估价对象周边有安宁华庭、安宁佳园、当代城市家园等小区、居住小区规模较大，入住率较高，综合评价居住社区成熟度较好。</v>
      </c>
      <c r="D15" s="438">
        <v>100</v>
      </c>
      <c r="E15" s="441"/>
      <c r="F15" s="438">
        <f>SUMIF(76:76,E16,77:77)-SUMIF(76:76,C16,77:77)+100</f>
        <v>100</v>
      </c>
      <c r="G15" s="439"/>
      <c r="H15" s="438">
        <f>SUMIF(76:76,G16,77:77)-SUMIF(76:76,C16,77:77)+100</f>
        <v>100</v>
      </c>
      <c r="I15" s="439"/>
      <c r="J15" s="438">
        <f>SUMIF(76:76,I16,77:77)-SUMIF(76:76,C16,77:77)+100</f>
        <v>100</v>
      </c>
      <c r="K15" s="442">
        <v>1</v>
      </c>
      <c r="L15" s="1138"/>
      <c r="M15" s="1129"/>
      <c r="N15" s="1129"/>
      <c r="O15" s="1129"/>
      <c r="P15" s="3324" t="s">
        <v>2562</v>
      </c>
      <c r="Q15" s="1807" t="str">
        <f t="shared" si="6"/>
        <v>居住社区成熟度</v>
      </c>
      <c r="R15" s="769" t="s">
        <v>21</v>
      </c>
      <c r="S15" s="770">
        <f t="shared" si="0"/>
        <v>100</v>
      </c>
      <c r="T15" s="769" t="s">
        <v>21</v>
      </c>
      <c r="U15" s="770">
        <f t="shared" si="1"/>
        <v>100</v>
      </c>
      <c r="V15" s="769" t="s">
        <v>21</v>
      </c>
      <c r="W15" s="770">
        <f t="shared" si="2"/>
        <v>100</v>
      </c>
      <c r="X15" s="1810"/>
      <c r="Y15" s="3317" t="s">
        <v>2562</v>
      </c>
      <c r="Z15" s="1811" t="str">
        <f t="shared" si="7"/>
        <v>居住社区成熟度</v>
      </c>
      <c r="AA15" s="1808">
        <f t="shared" si="3"/>
        <v>1</v>
      </c>
      <c r="AB15" s="1808">
        <f t="shared" si="4"/>
        <v>1</v>
      </c>
      <c r="AC15" s="1808">
        <f t="shared" si="5"/>
        <v>1</v>
      </c>
    </row>
    <row r="16" spans="1:29" ht="15">
      <c r="A16" s="425"/>
      <c r="B16" s="443"/>
      <c r="C16" s="444" t="s">
        <v>3071</v>
      </c>
      <c r="D16" s="445"/>
      <c r="E16" s="2604" t="s">
        <v>3071</v>
      </c>
      <c r="F16" s="445"/>
      <c r="G16" s="2605" t="s">
        <v>3071</v>
      </c>
      <c r="H16" s="447"/>
      <c r="I16" s="2605" t="s">
        <v>3071</v>
      </c>
      <c r="J16" s="445"/>
      <c r="K16" s="2606"/>
      <c r="L16" s="1138"/>
      <c r="M16" s="1129"/>
      <c r="N16" s="1129"/>
      <c r="O16" s="1129"/>
      <c r="P16" s="3325"/>
      <c r="Q16" s="1807"/>
      <c r="R16" s="769"/>
      <c r="S16" s="770"/>
      <c r="T16" s="769"/>
      <c r="U16" s="770"/>
      <c r="V16" s="769"/>
      <c r="W16" s="770"/>
      <c r="X16" s="1810"/>
      <c r="Y16" s="3318"/>
      <c r="Z16" s="1811"/>
      <c r="AA16" s="1808">
        <v>1</v>
      </c>
      <c r="AB16" s="1808">
        <v>1</v>
      </c>
      <c r="AC16" s="1808">
        <v>1</v>
      </c>
    </row>
    <row r="17" spans="1:29" ht="131.25" customHeight="1">
      <c r="A17" s="425"/>
      <c r="B17" s="448" t="s">
        <v>2100</v>
      </c>
      <c r="C17" s="2607"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7">
        <v>100</v>
      </c>
      <c r="E17" s="451"/>
      <c r="F17" s="447">
        <f>SUMIF(78:78,E18,79:79)-SUMIF(78:78,C18,79:79)+100</f>
        <v>100</v>
      </c>
      <c r="G17" s="449"/>
      <c r="H17" s="452">
        <f>SUMIF(78:78,G18,79:79)-SUMIF(78:78,C18,79:79)+100</f>
        <v>100</v>
      </c>
      <c r="I17" s="449"/>
      <c r="J17" s="452">
        <f>SUMIF(78:78,I18,79:79)-SUMIF(78:78,C18,79:79)+100</f>
        <v>100</v>
      </c>
      <c r="K17" s="442">
        <v>1</v>
      </c>
      <c r="L17" s="1138"/>
      <c r="M17" s="1129"/>
      <c r="N17" s="1129"/>
      <c r="O17" s="1129"/>
      <c r="P17" s="3325"/>
      <c r="Q17" s="1807" t="str">
        <f>B17</f>
        <v>交通便捷度</v>
      </c>
      <c r="R17" s="769" t="s">
        <v>21</v>
      </c>
      <c r="S17" s="770">
        <f>F17</f>
        <v>100</v>
      </c>
      <c r="T17" s="769" t="s">
        <v>21</v>
      </c>
      <c r="U17" s="770">
        <f>H17</f>
        <v>100</v>
      </c>
      <c r="V17" s="769" t="s">
        <v>21</v>
      </c>
      <c r="W17" s="770">
        <f>J17</f>
        <v>100</v>
      </c>
      <c r="X17" s="1810"/>
      <c r="Y17" s="3318"/>
      <c r="Z17" s="1811" t="str">
        <f>Q17</f>
        <v>交通便捷度</v>
      </c>
      <c r="AA17" s="1808">
        <f t="shared" si="3"/>
        <v>1</v>
      </c>
      <c r="AB17" s="1808">
        <f t="shared" si="4"/>
        <v>1</v>
      </c>
      <c r="AC17" s="1808">
        <f t="shared" si="5"/>
        <v>1</v>
      </c>
    </row>
    <row r="18" spans="1:29" ht="15">
      <c r="A18" s="425"/>
      <c r="B18" s="453"/>
      <c r="C18" s="2608" t="s">
        <v>3071</v>
      </c>
      <c r="D18" s="447"/>
      <c r="E18" s="2609" t="s">
        <v>3071</v>
      </c>
      <c r="F18" s="447"/>
      <c r="G18" s="2610" t="s">
        <v>3071</v>
      </c>
      <c r="H18" s="445"/>
      <c r="I18" s="2610" t="s">
        <v>3071</v>
      </c>
      <c r="J18" s="445"/>
      <c r="K18" s="2606"/>
      <c r="L18" s="1138"/>
      <c r="M18" s="1129"/>
      <c r="N18" s="1129"/>
      <c r="O18" s="1129"/>
      <c r="P18" s="3325"/>
      <c r="Q18" s="1807"/>
      <c r="R18" s="769"/>
      <c r="S18" s="770"/>
      <c r="T18" s="769"/>
      <c r="U18" s="770"/>
      <c r="V18" s="769"/>
      <c r="W18" s="770"/>
      <c r="X18" s="1810"/>
      <c r="Y18" s="3318"/>
      <c r="Z18" s="1811"/>
      <c r="AA18" s="1808">
        <v>1</v>
      </c>
      <c r="AB18" s="1808">
        <v>1</v>
      </c>
      <c r="AC18" s="1808">
        <v>1</v>
      </c>
    </row>
    <row r="19" spans="1:29" ht="122.25" customHeight="1">
      <c r="A19" s="425"/>
      <c r="B19" s="448" t="s">
        <v>2098</v>
      </c>
      <c r="C19" s="2607" t="str">
        <f>估价对象房地状况!C7</f>
        <v>估价对象周边有教育机构（育鹰小学、西二旗小学）、医疗设施（清河社区卫生服务站）、金融机构（农商银行、建设银行）等，公共配套设施状况一般。</v>
      </c>
      <c r="D19" s="452">
        <v>100</v>
      </c>
      <c r="E19" s="456"/>
      <c r="F19" s="452">
        <f>SUMIF(80:80,E20,81:81)-SUMIF(80:80,C20,81:81)+100</f>
        <v>101</v>
      </c>
      <c r="G19" s="454"/>
      <c r="H19" s="447">
        <f>SUMIF(80:80,G20,81:81)-SUMIF(80:80,C20,81:81)+100</f>
        <v>101</v>
      </c>
      <c r="I19" s="454"/>
      <c r="J19" s="447">
        <f>SUMIF(80:80,I20,81:81)-SUMIF(80:80,C20,81:81)+100</f>
        <v>101</v>
      </c>
      <c r="K19" s="442">
        <v>1</v>
      </c>
      <c r="L19" s="1138"/>
      <c r="M19" s="1129"/>
      <c r="N19" s="1129"/>
      <c r="O19" s="1129"/>
      <c r="P19" s="3325"/>
      <c r="Q19" s="1807" t="str">
        <f>B19</f>
        <v>公共配套设施</v>
      </c>
      <c r="R19" s="769" t="s">
        <v>21</v>
      </c>
      <c r="S19" s="770">
        <f>F19</f>
        <v>101</v>
      </c>
      <c r="T19" s="769" t="s">
        <v>21</v>
      </c>
      <c r="U19" s="770">
        <f>H19</f>
        <v>101</v>
      </c>
      <c r="V19" s="769" t="s">
        <v>21</v>
      </c>
      <c r="W19" s="770">
        <f>J19</f>
        <v>101</v>
      </c>
      <c r="X19" s="1810"/>
      <c r="Y19" s="3318"/>
      <c r="Z19" s="1811" t="str">
        <f>Q19</f>
        <v>公共配套设施</v>
      </c>
      <c r="AA19" s="1808">
        <f t="shared" si="3"/>
        <v>0.99009900990099009</v>
      </c>
      <c r="AB19" s="1808">
        <f t="shared" si="4"/>
        <v>0.99009900990099009</v>
      </c>
      <c r="AC19" s="1808">
        <f t="shared" si="5"/>
        <v>0.99009900990099009</v>
      </c>
    </row>
    <row r="20" spans="1:29" ht="15">
      <c r="A20" s="425"/>
      <c r="B20" s="453"/>
      <c r="C20" s="444" t="s">
        <v>3072</v>
      </c>
      <c r="D20" s="445"/>
      <c r="E20" s="2604" t="s">
        <v>3071</v>
      </c>
      <c r="F20" s="445"/>
      <c r="G20" s="2605" t="s">
        <v>3071</v>
      </c>
      <c r="H20" s="445"/>
      <c r="I20" s="2605" t="s">
        <v>3071</v>
      </c>
      <c r="J20" s="445"/>
      <c r="K20" s="2606"/>
      <c r="L20" s="1138"/>
      <c r="M20" s="1129"/>
      <c r="N20" s="1129"/>
      <c r="O20" s="1129"/>
      <c r="P20" s="3325"/>
      <c r="Q20" s="1807"/>
      <c r="R20" s="769"/>
      <c r="S20" s="770"/>
      <c r="T20" s="769"/>
      <c r="U20" s="770"/>
      <c r="V20" s="769"/>
      <c r="W20" s="770"/>
      <c r="X20" s="1810"/>
      <c r="Y20" s="3318"/>
      <c r="Z20" s="1811"/>
      <c r="AA20" s="1808">
        <v>1</v>
      </c>
      <c r="AB20" s="1808">
        <v>1</v>
      </c>
      <c r="AC20" s="1808">
        <v>1</v>
      </c>
    </row>
    <row r="21" spans="1:29" ht="42.75">
      <c r="A21" s="425"/>
      <c r="B21" s="1382" t="s">
        <v>2101</v>
      </c>
      <c r="C21" s="2607" t="str">
        <f>估价对象房地状况!C8</f>
        <v>估价对象所在区域基础设施水平为五通一平</v>
      </c>
      <c r="D21" s="447">
        <v>100</v>
      </c>
      <c r="E21" s="456"/>
      <c r="F21" s="452">
        <f>SUMIF(82:82,E22,83:83)-SUMIF(82:82,C22,83:83)+100</f>
        <v>100</v>
      </c>
      <c r="G21" s="454"/>
      <c r="H21" s="447">
        <f>SUMIF(82:82,G22,83:83)-SUMIF(82:82,C22,83:83)+100</f>
        <v>100</v>
      </c>
      <c r="I21" s="454"/>
      <c r="J21" s="447">
        <f>SUMIF(82:82,I22,83:83)-SUMIF(82:82,C22,83:83)+100</f>
        <v>100</v>
      </c>
      <c r="K21" s="442">
        <v>1</v>
      </c>
      <c r="L21" s="1138"/>
      <c r="M21" s="1129"/>
      <c r="N21" s="1129"/>
      <c r="O21" s="1129"/>
      <c r="P21" s="3325"/>
      <c r="Q21" s="1807" t="str">
        <f>B21</f>
        <v>基础设施水平</v>
      </c>
      <c r="R21" s="769" t="s">
        <v>17</v>
      </c>
      <c r="S21" s="770">
        <f>F21</f>
        <v>100</v>
      </c>
      <c r="T21" s="769" t="s">
        <v>17</v>
      </c>
      <c r="U21" s="770">
        <f>H21</f>
        <v>100</v>
      </c>
      <c r="V21" s="769" t="s">
        <v>17</v>
      </c>
      <c r="W21" s="770">
        <f>J21</f>
        <v>100</v>
      </c>
      <c r="X21" s="1810"/>
      <c r="Y21" s="3318"/>
      <c r="Z21" s="1811" t="str">
        <f>Q21</f>
        <v>基础设施水平</v>
      </c>
      <c r="AA21" s="1808">
        <f t="shared" ref="AA21" si="8">D21/F21</f>
        <v>1</v>
      </c>
      <c r="AB21" s="1808">
        <f t="shared" ref="AB21" si="9">D21/H21</f>
        <v>1</v>
      </c>
      <c r="AC21" s="1808">
        <f t="shared" ref="AC21" si="10">D21/J21</f>
        <v>1</v>
      </c>
    </row>
    <row r="22" spans="1:29" ht="15">
      <c r="A22" s="425"/>
      <c r="B22" s="1382"/>
      <c r="C22" s="2608" t="s">
        <v>3105</v>
      </c>
      <c r="D22" s="445"/>
      <c r="E22" s="444" t="s">
        <v>3105</v>
      </c>
      <c r="F22" s="445"/>
      <c r="G22" s="2611" t="s">
        <v>3105</v>
      </c>
      <c r="H22" s="445"/>
      <c r="I22" s="444" t="s">
        <v>3105</v>
      </c>
      <c r="J22" s="445"/>
      <c r="K22" s="2612"/>
      <c r="L22" s="1138"/>
      <c r="M22" s="1129"/>
      <c r="N22" s="1129"/>
      <c r="O22" s="1129"/>
      <c r="P22" s="3325"/>
      <c r="Q22" s="1807"/>
      <c r="R22" s="769"/>
      <c r="S22" s="770"/>
      <c r="T22" s="769"/>
      <c r="U22" s="770"/>
      <c r="V22" s="769"/>
      <c r="W22" s="770"/>
      <c r="X22" s="1810"/>
      <c r="Y22" s="3318"/>
      <c r="Z22" s="1811"/>
      <c r="AA22" s="1808">
        <v>1</v>
      </c>
      <c r="AB22" s="1808">
        <v>1</v>
      </c>
      <c r="AC22" s="1808">
        <v>1</v>
      </c>
    </row>
    <row r="23" spans="1:29" ht="114">
      <c r="A23" s="425"/>
      <c r="B23" s="448" t="s">
        <v>2105</v>
      </c>
      <c r="C23" s="2607" t="str">
        <f>估价对象房地状况!C9</f>
        <v>估价对象西北侧隔路有加油站；周边2公里范围内无大型绿化及博物馆、高等教育学校等人文设施；综合评价环境状况较差。</v>
      </c>
      <c r="D23" s="447">
        <v>100</v>
      </c>
      <c r="E23" s="451"/>
      <c r="F23" s="447">
        <f>SUMIF(84:84,E24,85:85)-SUMIF(84:84,C24,85:85)+100</f>
        <v>100</v>
      </c>
      <c r="G23" s="449"/>
      <c r="H23" s="447">
        <f>SUMIF(84:84,G24,85:85)-SUMIF(84:84,C24,85:85)+100</f>
        <v>100</v>
      </c>
      <c r="I23" s="449"/>
      <c r="J23" s="447">
        <f>SUMIF(84:84,I24,85:85)-SUMIF(84:84,C24,85:85)+100</f>
        <v>100</v>
      </c>
      <c r="K23" s="442">
        <v>1</v>
      </c>
      <c r="L23" s="1138"/>
      <c r="M23" s="1129"/>
      <c r="N23" s="1129"/>
      <c r="O23" s="1129"/>
      <c r="P23" s="3325"/>
      <c r="Q23" s="1807" t="str">
        <f>B23</f>
        <v>自然及人文环境</v>
      </c>
      <c r="R23" s="769" t="s">
        <v>21</v>
      </c>
      <c r="S23" s="770">
        <f>F23</f>
        <v>100</v>
      </c>
      <c r="T23" s="769" t="s">
        <v>21</v>
      </c>
      <c r="U23" s="770">
        <f>H23</f>
        <v>100</v>
      </c>
      <c r="V23" s="769" t="s">
        <v>21</v>
      </c>
      <c r="W23" s="770">
        <f>J23</f>
        <v>100</v>
      </c>
      <c r="X23" s="1810"/>
      <c r="Y23" s="3318"/>
      <c r="Z23" s="1811" t="str">
        <f>Q23</f>
        <v>自然及人文环境</v>
      </c>
      <c r="AA23" s="1808">
        <f>D23/F23</f>
        <v>1</v>
      </c>
      <c r="AB23" s="1808">
        <f>D23/H23</f>
        <v>1</v>
      </c>
      <c r="AC23" s="1808">
        <f>D23/J23</f>
        <v>1</v>
      </c>
    </row>
    <row r="24" spans="1:29" ht="15">
      <c r="A24" s="425"/>
      <c r="B24" s="453"/>
      <c r="C24" s="444" t="s">
        <v>3071</v>
      </c>
      <c r="D24" s="445"/>
      <c r="E24" s="2604" t="s">
        <v>3071</v>
      </c>
      <c r="F24" s="445"/>
      <c r="G24" s="2605" t="s">
        <v>3071</v>
      </c>
      <c r="H24" s="445"/>
      <c r="I24" s="2605" t="s">
        <v>3071</v>
      </c>
      <c r="J24" s="445"/>
      <c r="K24" s="2606"/>
      <c r="L24" s="1138"/>
      <c r="M24" s="1129"/>
      <c r="N24" s="1129"/>
      <c r="O24" s="1129"/>
      <c r="P24" s="3325"/>
      <c r="Q24" s="1807"/>
      <c r="R24" s="769"/>
      <c r="S24" s="770"/>
      <c r="T24" s="769"/>
      <c r="U24" s="770"/>
      <c r="V24" s="769"/>
      <c r="W24" s="770"/>
      <c r="X24" s="1810"/>
      <c r="Y24" s="3318"/>
      <c r="Z24" s="1811"/>
      <c r="AA24" s="1808">
        <v>1</v>
      </c>
      <c r="AB24" s="1808">
        <v>1</v>
      </c>
      <c r="AC24" s="1808">
        <v>1</v>
      </c>
    </row>
    <row r="25" spans="1:29" ht="15">
      <c r="A25" s="425"/>
      <c r="B25" s="419" t="s">
        <v>2563</v>
      </c>
      <c r="C25" s="457" t="s">
        <v>3106</v>
      </c>
      <c r="D25" s="432">
        <v>100</v>
      </c>
      <c r="E25" s="2613" t="s">
        <v>3106</v>
      </c>
      <c r="F25" s="432">
        <f>SUMIF(86:86,E25,87:87)-SUMIF(86:86,C25,87:87)+100</f>
        <v>100</v>
      </c>
      <c r="G25" s="2614" t="s">
        <v>3106</v>
      </c>
      <c r="H25" s="432">
        <f>SUMIF(86:86,G25,87:87)-SUMIF(86:86,C25,87:87)+100</f>
        <v>100</v>
      </c>
      <c r="I25" s="2614" t="s">
        <v>3106</v>
      </c>
      <c r="J25" s="432">
        <f>SUMIF(86:86,I25,87:87)-SUMIF(86:86,C25,87:87)+100</f>
        <v>100</v>
      </c>
      <c r="K25" s="423"/>
      <c r="L25" s="1138"/>
      <c r="M25" s="1129"/>
      <c r="N25" s="1129"/>
      <c r="O25" s="1129"/>
      <c r="P25" s="3325"/>
      <c r="Q25" s="1807" t="str">
        <f t="shared" ref="Q25:Q46" si="11">B25</f>
        <v>楼层-1</v>
      </c>
      <c r="R25" s="769" t="s">
        <v>21</v>
      </c>
      <c r="S25" s="770">
        <f t="shared" ref="S25:S46" si="12">F25</f>
        <v>100</v>
      </c>
      <c r="T25" s="769" t="s">
        <v>21</v>
      </c>
      <c r="U25" s="770">
        <f t="shared" ref="U25:U46" si="13">H25</f>
        <v>100</v>
      </c>
      <c r="V25" s="769" t="s">
        <v>21</v>
      </c>
      <c r="W25" s="770">
        <f t="shared" ref="W25:W46" si="14">J25</f>
        <v>100</v>
      </c>
      <c r="X25" s="1810"/>
      <c r="Y25" s="3318"/>
      <c r="Z25" s="1811" t="str">
        <f>Q25</f>
        <v>楼层-1</v>
      </c>
      <c r="AA25" s="1808">
        <f t="shared" ref="AA25:AA46" si="15">D25/F25</f>
        <v>1</v>
      </c>
      <c r="AB25" s="1808">
        <f t="shared" ref="AB25:AB46" si="16">D25/H25</f>
        <v>1</v>
      </c>
      <c r="AC25" s="1808">
        <f t="shared" ref="AC25:AC46" si="17">D25/J25</f>
        <v>1</v>
      </c>
    </row>
    <row r="26" spans="1:29" ht="15">
      <c r="A26" s="425"/>
      <c r="B26" s="419" t="s">
        <v>2564</v>
      </c>
      <c r="C26" s="457" t="s">
        <v>3108</v>
      </c>
      <c r="D26" s="432">
        <v>100</v>
      </c>
      <c r="E26" s="2613" t="s">
        <v>3108</v>
      </c>
      <c r="F26" s="432">
        <f>SUMIF(88:88,E26,89:89)-SUMIF(88:88,C26,89:89)+100</f>
        <v>100</v>
      </c>
      <c r="G26" s="2614" t="s">
        <v>3108</v>
      </c>
      <c r="H26" s="432">
        <f>SUMIF(88:88,G26,89:89)-SUMIF(88:88,C26,89:89)+100</f>
        <v>100</v>
      </c>
      <c r="I26" s="2614" t="s">
        <v>3108</v>
      </c>
      <c r="J26" s="432">
        <f>SUMIF(88:88,I26,89:89)-SUMIF(88:88,C26,89:89)+100</f>
        <v>100</v>
      </c>
      <c r="K26" s="423"/>
      <c r="L26" s="1138"/>
      <c r="M26" s="1129"/>
      <c r="N26" s="1129"/>
      <c r="O26" s="1129"/>
      <c r="P26" s="3325"/>
      <c r="Q26" s="1807" t="str">
        <f t="shared" si="11"/>
        <v>朝向</v>
      </c>
      <c r="R26" s="769" t="s">
        <v>21</v>
      </c>
      <c r="S26" s="770">
        <f t="shared" si="12"/>
        <v>100</v>
      </c>
      <c r="T26" s="769" t="s">
        <v>21</v>
      </c>
      <c r="U26" s="770">
        <f t="shared" si="13"/>
        <v>100</v>
      </c>
      <c r="V26" s="769" t="s">
        <v>21</v>
      </c>
      <c r="W26" s="770">
        <f t="shared" si="14"/>
        <v>100</v>
      </c>
      <c r="X26" s="1810"/>
      <c r="Y26" s="3318"/>
      <c r="Z26" s="1811" t="str">
        <f>Q26</f>
        <v>朝向</v>
      </c>
      <c r="AA26" s="1808">
        <f t="shared" si="15"/>
        <v>1</v>
      </c>
      <c r="AB26" s="1808">
        <f t="shared" si="16"/>
        <v>1</v>
      </c>
      <c r="AC26" s="1808">
        <f t="shared" si="17"/>
        <v>1</v>
      </c>
    </row>
    <row r="27" spans="1:29" s="116" customFormat="1" ht="15">
      <c r="A27" s="428"/>
      <c r="B27" s="2956" t="s">
        <v>3115</v>
      </c>
      <c r="C27" s="2957" t="s">
        <v>3180</v>
      </c>
      <c r="D27" s="459">
        <v>100</v>
      </c>
      <c r="E27" s="2954" t="s">
        <v>3117</v>
      </c>
      <c r="F27" s="459">
        <f>SUMIF(90:90,E27,91:91)-SUMIF(90:90,C27,91:91)+100</f>
        <v>100</v>
      </c>
      <c r="G27" s="2954" t="s">
        <v>3117</v>
      </c>
      <c r="H27" s="459">
        <f>SUMIF(90:90,G27,91:91)-SUMIF(90:90,C27,91:91)+100</f>
        <v>100</v>
      </c>
      <c r="I27" s="2954" t="s">
        <v>3117</v>
      </c>
      <c r="J27" s="459">
        <f>SUMIF(90:90,I27,91:91)-SUMIF(90:90,C27,91:91)+100</f>
        <v>100</v>
      </c>
      <c r="K27" s="2601"/>
      <c r="L27" s="1130"/>
      <c r="M27" s="1131"/>
      <c r="N27" s="1131"/>
      <c r="O27" s="1131"/>
      <c r="P27" s="3325"/>
      <c r="Q27" s="1792" t="str">
        <f t="shared" si="11"/>
        <v>临街状态</v>
      </c>
      <c r="R27" s="765" t="s">
        <v>21</v>
      </c>
      <c r="S27" s="766">
        <f t="shared" si="12"/>
        <v>100</v>
      </c>
      <c r="T27" s="765" t="s">
        <v>21</v>
      </c>
      <c r="U27" s="766">
        <f t="shared" si="13"/>
        <v>100</v>
      </c>
      <c r="V27" s="765" t="s">
        <v>21</v>
      </c>
      <c r="W27" s="766">
        <f t="shared" si="14"/>
        <v>100</v>
      </c>
      <c r="X27" s="767"/>
      <c r="Y27" s="3318"/>
      <c r="Z27" s="55" t="str">
        <f>Q27</f>
        <v>临街状态</v>
      </c>
      <c r="AA27" s="1808">
        <f t="shared" si="15"/>
        <v>1</v>
      </c>
      <c r="AB27" s="1808">
        <f t="shared" si="16"/>
        <v>1</v>
      </c>
      <c r="AC27" s="1808">
        <f t="shared" si="17"/>
        <v>1</v>
      </c>
    </row>
    <row r="28" spans="1:29" ht="15">
      <c r="A28" s="425"/>
      <c r="B28" s="2956" t="s">
        <v>3187</v>
      </c>
      <c r="C28" s="3030" t="s">
        <v>3322</v>
      </c>
      <c r="D28" s="432">
        <v>100</v>
      </c>
      <c r="E28" s="3030" t="s">
        <v>3254</v>
      </c>
      <c r="F28" s="432">
        <f>SUMIF(92:92,E28,93:93)-SUMIF(92:92,C28,93:93)+100</f>
        <v>96</v>
      </c>
      <c r="G28" s="3031" t="s">
        <v>3188</v>
      </c>
      <c r="H28" s="432">
        <f>SUMIF(92:92,G28,93:93)-SUMIF(92:92,C28,93:93)+100</f>
        <v>94</v>
      </c>
      <c r="I28" s="3030" t="s">
        <v>3254</v>
      </c>
      <c r="J28" s="432">
        <f>SUMIF(92:92,I28,93:93)-SUMIF(92:92,C28,93:93)+100</f>
        <v>96</v>
      </c>
      <c r="K28" s="2601"/>
      <c r="L28" s="1138"/>
      <c r="M28" s="1129"/>
      <c r="N28" s="1129"/>
      <c r="O28" s="1129"/>
      <c r="P28" s="3325"/>
      <c r="Q28" s="1807" t="str">
        <f t="shared" si="11"/>
        <v>道路级别</v>
      </c>
      <c r="R28" s="769" t="s">
        <v>21</v>
      </c>
      <c r="S28" s="770">
        <f t="shared" si="12"/>
        <v>96</v>
      </c>
      <c r="T28" s="769" t="s">
        <v>21</v>
      </c>
      <c r="U28" s="770">
        <f t="shared" si="13"/>
        <v>94</v>
      </c>
      <c r="V28" s="769" t="s">
        <v>21</v>
      </c>
      <c r="W28" s="770">
        <f t="shared" si="14"/>
        <v>96</v>
      </c>
      <c r="X28" s="1810"/>
      <c r="Y28" s="3318"/>
      <c r="Z28" s="1811" t="str">
        <f t="shared" ref="Z28:Z46" si="18">Q28</f>
        <v>道路级别</v>
      </c>
      <c r="AA28" s="1808">
        <f t="shared" si="15"/>
        <v>1.0416666666666667</v>
      </c>
      <c r="AB28" s="1808">
        <f t="shared" si="16"/>
        <v>1.0638297872340425</v>
      </c>
      <c r="AC28" s="1808">
        <f t="shared" si="17"/>
        <v>1.0416666666666667</v>
      </c>
    </row>
    <row r="29" spans="1:29" ht="15">
      <c r="A29" s="425"/>
      <c r="B29" s="1384">
        <v>111</v>
      </c>
      <c r="C29" s="431"/>
      <c r="D29" s="432">
        <v>100</v>
      </c>
      <c r="E29" s="431"/>
      <c r="F29" s="432">
        <f>SUMIF(94:94,E29,95:95)-SUMIF(94:94,C29,95:95)+100</f>
        <v>100</v>
      </c>
      <c r="G29" s="2615"/>
      <c r="H29" s="432">
        <f>SUMIF(94:94,G29,95:95)-SUMIF(94:94,C29,95:95)+100</f>
        <v>100</v>
      </c>
      <c r="I29" s="431"/>
      <c r="J29" s="432">
        <f>SUMIF(94:94,I29,95:95)-SUMIF(94:94,C29,95:95)+100</f>
        <v>100</v>
      </c>
      <c r="K29" s="2601"/>
      <c r="L29" s="1138"/>
      <c r="M29" s="1129"/>
      <c r="N29" s="1129"/>
      <c r="O29" s="1129"/>
      <c r="P29" s="3325"/>
      <c r="Q29" s="1807">
        <f t="shared" si="11"/>
        <v>111</v>
      </c>
      <c r="R29" s="769" t="s">
        <v>21</v>
      </c>
      <c r="S29" s="770">
        <f t="shared" si="12"/>
        <v>100</v>
      </c>
      <c r="T29" s="769" t="s">
        <v>21</v>
      </c>
      <c r="U29" s="770">
        <f t="shared" si="13"/>
        <v>100</v>
      </c>
      <c r="V29" s="769" t="s">
        <v>21</v>
      </c>
      <c r="W29" s="770">
        <f t="shared" si="14"/>
        <v>100</v>
      </c>
      <c r="X29" s="1810"/>
      <c r="Y29" s="3318"/>
      <c r="Z29" s="1811">
        <f t="shared" si="18"/>
        <v>111</v>
      </c>
      <c r="AA29" s="1808">
        <f t="shared" si="15"/>
        <v>1</v>
      </c>
      <c r="AB29" s="1808">
        <f t="shared" si="16"/>
        <v>1</v>
      </c>
      <c r="AC29" s="1808">
        <f t="shared" si="17"/>
        <v>1</v>
      </c>
    </row>
    <row r="30" spans="1:29" ht="15">
      <c r="A30" s="425"/>
      <c r="B30" s="1384">
        <v>111</v>
      </c>
      <c r="C30" s="431"/>
      <c r="D30" s="432">
        <v>100</v>
      </c>
      <c r="E30" s="431"/>
      <c r="F30" s="432">
        <f>SUMIF(96:96,E30,97:97)-SUMIF(96:96,C30,97:97)+100</f>
        <v>100</v>
      </c>
      <c r="G30" s="2615"/>
      <c r="H30" s="432">
        <f>SUMIF(96:96,G30,97:97)-SUMIF(96:96,C30,97:97)+100</f>
        <v>100</v>
      </c>
      <c r="I30" s="431"/>
      <c r="J30" s="432">
        <f>SUMIF(96:96,I30,97:97)-SUMIF(96:96,C30,97:97)+100</f>
        <v>100</v>
      </c>
      <c r="K30" s="2601"/>
      <c r="L30" s="1138"/>
      <c r="M30" s="1129"/>
      <c r="N30" s="1129"/>
      <c r="O30" s="1129"/>
      <c r="P30" s="3325"/>
      <c r="Q30" s="1807">
        <f t="shared" si="11"/>
        <v>111</v>
      </c>
      <c r="R30" s="769" t="s">
        <v>21</v>
      </c>
      <c r="S30" s="770">
        <f t="shared" si="12"/>
        <v>100</v>
      </c>
      <c r="T30" s="769" t="s">
        <v>21</v>
      </c>
      <c r="U30" s="770">
        <f t="shared" si="13"/>
        <v>100</v>
      </c>
      <c r="V30" s="769" t="s">
        <v>21</v>
      </c>
      <c r="W30" s="770">
        <f t="shared" si="14"/>
        <v>100</v>
      </c>
      <c r="X30" s="1810"/>
      <c r="Y30" s="3318"/>
      <c r="Z30" s="1811">
        <f t="shared" si="18"/>
        <v>111</v>
      </c>
      <c r="AA30" s="1808">
        <f t="shared" si="15"/>
        <v>1</v>
      </c>
      <c r="AB30" s="1808">
        <f t="shared" si="16"/>
        <v>1</v>
      </c>
      <c r="AC30" s="1808">
        <f t="shared" si="17"/>
        <v>1</v>
      </c>
    </row>
    <row r="31" spans="1:29" ht="15.75" thickBot="1">
      <c r="A31" s="433"/>
      <c r="B31" s="1384">
        <v>111</v>
      </c>
      <c r="C31" s="434"/>
      <c r="D31" s="435">
        <v>100</v>
      </c>
      <c r="E31" s="434"/>
      <c r="F31" s="435">
        <f>SUMIF(98:98,E31,99:99)-SUMIF(98:98,C31,99:99)+100</f>
        <v>100</v>
      </c>
      <c r="G31" s="2616"/>
      <c r="H31" s="435">
        <f>SUMIF(98:98,G31,99:99)-SUMIF(98:98,C31,99:99)+100</f>
        <v>100</v>
      </c>
      <c r="I31" s="434"/>
      <c r="J31" s="435">
        <f>SUMIF(98:98,I31,99:99)-SUMIF(98:98,C31,99:99)+100</f>
        <v>100</v>
      </c>
      <c r="K31" s="2601"/>
      <c r="L31" s="1138"/>
      <c r="M31" s="1129"/>
      <c r="N31" s="1129"/>
      <c r="O31" s="1129"/>
      <c r="P31" s="3325"/>
      <c r="Q31" s="1807">
        <f t="shared" si="11"/>
        <v>111</v>
      </c>
      <c r="R31" s="769" t="s">
        <v>21</v>
      </c>
      <c r="S31" s="770">
        <f t="shared" si="12"/>
        <v>100</v>
      </c>
      <c r="T31" s="769" t="s">
        <v>21</v>
      </c>
      <c r="U31" s="770">
        <f t="shared" si="13"/>
        <v>100</v>
      </c>
      <c r="V31" s="769" t="s">
        <v>21</v>
      </c>
      <c r="W31" s="770">
        <f t="shared" si="14"/>
        <v>100</v>
      </c>
      <c r="X31" s="1810"/>
      <c r="Y31" s="3318"/>
      <c r="Z31" s="1811">
        <f t="shared" si="18"/>
        <v>111</v>
      </c>
      <c r="AA31" s="1808">
        <f t="shared" si="15"/>
        <v>1</v>
      </c>
      <c r="AB31" s="1808">
        <f t="shared" si="16"/>
        <v>1</v>
      </c>
      <c r="AC31" s="1808">
        <f t="shared" si="17"/>
        <v>1</v>
      </c>
    </row>
    <row r="32" spans="1:29" ht="15">
      <c r="A32" s="437" t="s">
        <v>2565</v>
      </c>
      <c r="B32" s="71" t="s">
        <v>2566</v>
      </c>
      <c r="C32" s="2617" t="s">
        <v>3111</v>
      </c>
      <c r="D32" s="462">
        <v>100</v>
      </c>
      <c r="E32" s="2618" t="s">
        <v>3111</v>
      </c>
      <c r="F32" s="458">
        <f>SUMIF(100:100,E32,101:101)-SUMIF(100:100,C32,101:101)+100</f>
        <v>100</v>
      </c>
      <c r="G32" s="2617" t="s">
        <v>3111</v>
      </c>
      <c r="H32" s="462">
        <f>SUMIF(100:100,G32,101:101)-SUMIF(100:100,C32,101:101)+100</f>
        <v>100</v>
      </c>
      <c r="I32" s="3029" t="s">
        <v>3111</v>
      </c>
      <c r="J32" s="432">
        <f>SUMIF(100:100,I32,101:101)-SUMIF(100:100,C32,101:101)+100</f>
        <v>100</v>
      </c>
      <c r="K32" s="423">
        <v>5</v>
      </c>
      <c r="L32" s="1138"/>
      <c r="M32" s="1129"/>
      <c r="N32" s="1129"/>
      <c r="O32" s="1129"/>
      <c r="P32" s="3319" t="s">
        <v>2567</v>
      </c>
      <c r="Q32" s="1807" t="str">
        <f t="shared" si="11"/>
        <v>建筑类型</v>
      </c>
      <c r="R32" s="769" t="s">
        <v>21</v>
      </c>
      <c r="S32" s="770">
        <f t="shared" si="12"/>
        <v>100</v>
      </c>
      <c r="T32" s="769" t="s">
        <v>21</v>
      </c>
      <c r="U32" s="770">
        <f t="shared" si="13"/>
        <v>100</v>
      </c>
      <c r="V32" s="769" t="s">
        <v>21</v>
      </c>
      <c r="W32" s="770">
        <f t="shared" si="14"/>
        <v>100</v>
      </c>
      <c r="X32" s="1810"/>
      <c r="Y32" s="3322" t="s">
        <v>2567</v>
      </c>
      <c r="Z32" s="1811" t="str">
        <f t="shared" si="18"/>
        <v>建筑类型</v>
      </c>
      <c r="AA32" s="1808">
        <f t="shared" si="15"/>
        <v>1</v>
      </c>
      <c r="AB32" s="1808">
        <f t="shared" si="16"/>
        <v>1</v>
      </c>
      <c r="AC32" s="1808">
        <f t="shared" si="17"/>
        <v>1</v>
      </c>
    </row>
    <row r="33" spans="1:29" s="466" customFormat="1" ht="15">
      <c r="A33" s="463"/>
      <c r="B33" s="419" t="s">
        <v>2568</v>
      </c>
      <c r="C33" s="464">
        <f>'数据-汇总表'!F19</f>
        <v>1</v>
      </c>
      <c r="D33" s="133">
        <v>100</v>
      </c>
      <c r="E33" s="427">
        <v>1</v>
      </c>
      <c r="F33" s="422">
        <f>LOOKUP(E33,103:103,104:104)-LOOKUP(C33,103:103,104:104)+100</f>
        <v>100</v>
      </c>
      <c r="G33" s="426">
        <v>1</v>
      </c>
      <c r="H33" s="133">
        <f>LOOKUP(G33,103:103,104:104)-LOOKUP(C33,103:103,104:104)+100</f>
        <v>100</v>
      </c>
      <c r="I33" s="427">
        <v>1</v>
      </c>
      <c r="J33" s="133">
        <f>LOOKUP(I33,103:103,104:104)-LOOKUP(C33,103:103,104:104)+100</f>
        <v>100</v>
      </c>
      <c r="K33" s="2601"/>
      <c r="L33" s="1136"/>
      <c r="M33" s="1139"/>
      <c r="N33" s="1139"/>
      <c r="O33" s="1139"/>
      <c r="P33" s="3320"/>
      <c r="Q33" s="771" t="str">
        <f t="shared" si="11"/>
        <v>项目建筑规模</v>
      </c>
      <c r="R33" s="772" t="s">
        <v>21</v>
      </c>
      <c r="S33" s="773">
        <f t="shared" si="12"/>
        <v>100</v>
      </c>
      <c r="T33" s="772" t="s">
        <v>21</v>
      </c>
      <c r="U33" s="773">
        <f t="shared" si="13"/>
        <v>100</v>
      </c>
      <c r="V33" s="772" t="s">
        <v>21</v>
      </c>
      <c r="W33" s="773">
        <f t="shared" si="14"/>
        <v>100</v>
      </c>
      <c r="X33" s="774"/>
      <c r="Y33" s="3322"/>
      <c r="Z33" s="775" t="str">
        <f t="shared" si="18"/>
        <v>项目建筑规模</v>
      </c>
      <c r="AA33" s="1808">
        <f t="shared" si="15"/>
        <v>1</v>
      </c>
      <c r="AB33" s="1808">
        <f t="shared" si="16"/>
        <v>1</v>
      </c>
      <c r="AC33" s="1808">
        <f t="shared" si="17"/>
        <v>1</v>
      </c>
    </row>
    <row r="34" spans="1:29" ht="15">
      <c r="A34" s="467"/>
      <c r="B34" s="419" t="s">
        <v>2569</v>
      </c>
      <c r="C34" s="2619" t="s">
        <v>3113</v>
      </c>
      <c r="D34" s="432">
        <v>100</v>
      </c>
      <c r="E34" s="2620" t="s">
        <v>3113</v>
      </c>
      <c r="F34" s="458">
        <f>SUMIF(105:105,E34,106:106)-SUMIF(105:105,C34,106:106)+100</f>
        <v>100</v>
      </c>
      <c r="G34" s="2619" t="s">
        <v>3113</v>
      </c>
      <c r="H34" s="432">
        <f>SUMIF(105:105,G34,106:106)-SUMIF(105:105,C34,106:106)+100</f>
        <v>100</v>
      </c>
      <c r="I34" s="2620" t="s">
        <v>3113</v>
      </c>
      <c r="J34" s="432">
        <f>SUMIF(105:105,I34,106:106)-SUMIF(105:105,C34,106:106)+100</f>
        <v>100</v>
      </c>
      <c r="K34" s="423"/>
      <c r="L34" s="1138"/>
      <c r="M34" s="1129"/>
      <c r="N34" s="1129"/>
      <c r="O34" s="1129"/>
      <c r="P34" s="3320"/>
      <c r="Q34" s="1807" t="str">
        <f t="shared" si="11"/>
        <v>建筑结构</v>
      </c>
      <c r="R34" s="769" t="s">
        <v>21</v>
      </c>
      <c r="S34" s="770">
        <f t="shared" si="12"/>
        <v>100</v>
      </c>
      <c r="T34" s="769" t="s">
        <v>21</v>
      </c>
      <c r="U34" s="770">
        <f t="shared" si="13"/>
        <v>100</v>
      </c>
      <c r="V34" s="769" t="s">
        <v>21</v>
      </c>
      <c r="W34" s="770">
        <f t="shared" si="14"/>
        <v>100</v>
      </c>
      <c r="X34" s="1810"/>
      <c r="Y34" s="3322"/>
      <c r="Z34" s="1811" t="str">
        <f t="shared" si="18"/>
        <v>建筑结构</v>
      </c>
      <c r="AA34" s="1808">
        <f t="shared" si="15"/>
        <v>1</v>
      </c>
      <c r="AB34" s="1808">
        <f t="shared" si="16"/>
        <v>1</v>
      </c>
      <c r="AC34" s="1808">
        <f t="shared" si="17"/>
        <v>1</v>
      </c>
    </row>
    <row r="35" spans="1:29" ht="15">
      <c r="A35" s="467"/>
      <c r="B35" s="419" t="s">
        <v>2570</v>
      </c>
      <c r="C35" s="2613"/>
      <c r="D35" s="432">
        <v>100</v>
      </c>
      <c r="E35" s="2614"/>
      <c r="F35" s="458">
        <f>SUMIF(107:107,E35,108:108)-SUMIF(107:107,C35,108:108)+100</f>
        <v>100</v>
      </c>
      <c r="G35" s="2613"/>
      <c r="H35" s="432">
        <f>SUMIF(107:107,G35,108:108)-SUMIF(107:107,C35,108:108)+100</f>
        <v>100</v>
      </c>
      <c r="I35" s="2614"/>
      <c r="J35" s="432">
        <f>SUMIF(107:107,I35,108:108)-SUMIF(107:107,C35,108:108)+100</f>
        <v>100</v>
      </c>
      <c r="K35" s="423"/>
      <c r="L35" s="1138"/>
      <c r="M35" s="1129"/>
      <c r="N35" s="1129"/>
      <c r="O35" s="1129"/>
      <c r="P35" s="3320"/>
      <c r="Q35" s="1807" t="str">
        <f t="shared" si="11"/>
        <v>建筑品质</v>
      </c>
      <c r="R35" s="769" t="s">
        <v>21</v>
      </c>
      <c r="S35" s="770">
        <f t="shared" si="12"/>
        <v>100</v>
      </c>
      <c r="T35" s="769" t="s">
        <v>21</v>
      </c>
      <c r="U35" s="770">
        <f t="shared" si="13"/>
        <v>100</v>
      </c>
      <c r="V35" s="769" t="s">
        <v>21</v>
      </c>
      <c r="W35" s="770">
        <f t="shared" si="14"/>
        <v>100</v>
      </c>
      <c r="X35" s="1810"/>
      <c r="Y35" s="3322"/>
      <c r="Z35" s="1811" t="str">
        <f t="shared" si="18"/>
        <v>建筑品质</v>
      </c>
      <c r="AA35" s="1808">
        <f t="shared" si="15"/>
        <v>1</v>
      </c>
      <c r="AB35" s="1808">
        <f t="shared" si="16"/>
        <v>1</v>
      </c>
      <c r="AC35" s="1808">
        <f t="shared" si="17"/>
        <v>1</v>
      </c>
    </row>
    <row r="36" spans="1:29" ht="15">
      <c r="A36" s="467"/>
      <c r="B36" s="419" t="s">
        <v>2571</v>
      </c>
      <c r="C36" s="2613"/>
      <c r="D36" s="432">
        <v>100</v>
      </c>
      <c r="E36" s="2614"/>
      <c r="F36" s="458">
        <f>SUMIF(109:109,E36,110:110)-SUMIF(109:109,C36,110:110)+100</f>
        <v>100</v>
      </c>
      <c r="G36" s="2613"/>
      <c r="H36" s="432">
        <f>SUMIF(109:109,G36,110:110)-SUMIF(109:109,C36,110:110)+100</f>
        <v>100</v>
      </c>
      <c r="I36" s="2614"/>
      <c r="J36" s="432">
        <f>SUMIF(109:109,I36,110:110)-SUMIF(109:109,C36,110:110)+100</f>
        <v>100</v>
      </c>
      <c r="K36" s="423"/>
      <c r="L36" s="1138"/>
      <c r="M36" s="1129"/>
      <c r="N36" s="1129"/>
      <c r="O36" s="1129"/>
      <c r="P36" s="3320"/>
      <c r="Q36" s="1807" t="str">
        <f t="shared" si="11"/>
        <v>公共部分装修</v>
      </c>
      <c r="R36" s="769" t="s">
        <v>21</v>
      </c>
      <c r="S36" s="770">
        <f t="shared" si="12"/>
        <v>100</v>
      </c>
      <c r="T36" s="769" t="s">
        <v>21</v>
      </c>
      <c r="U36" s="770">
        <f t="shared" si="13"/>
        <v>100</v>
      </c>
      <c r="V36" s="769" t="s">
        <v>21</v>
      </c>
      <c r="W36" s="770">
        <f t="shared" si="14"/>
        <v>100</v>
      </c>
      <c r="X36" s="1810"/>
      <c r="Y36" s="3322"/>
      <c r="Z36" s="1811" t="str">
        <f t="shared" si="18"/>
        <v>公共部分装修</v>
      </c>
      <c r="AA36" s="1808">
        <f t="shared" si="15"/>
        <v>1</v>
      </c>
      <c r="AB36" s="1808">
        <f t="shared" si="16"/>
        <v>1</v>
      </c>
      <c r="AC36" s="1808">
        <f t="shared" si="17"/>
        <v>1</v>
      </c>
    </row>
    <row r="37" spans="1:29" s="116" customFormat="1" ht="15">
      <c r="A37" s="468"/>
      <c r="B37" s="419" t="s">
        <v>2572</v>
      </c>
      <c r="C37" s="469">
        <v>1</v>
      </c>
      <c r="D37" s="133">
        <v>100</v>
      </c>
      <c r="E37" s="469">
        <v>1</v>
      </c>
      <c r="F37" s="422">
        <f>LOOKUP(E37,112:112,113:113)-LOOKUP(C37,112:112,113:113)+100</f>
        <v>100</v>
      </c>
      <c r="G37" s="471">
        <v>1</v>
      </c>
      <c r="H37" s="133">
        <f>LOOKUP(G37,112:112,113:113)-LOOKUP(C37,112:112,113:113)+100</f>
        <v>100</v>
      </c>
      <c r="I37" s="470">
        <v>1</v>
      </c>
      <c r="J37" s="133">
        <f>LOOKUP(I37,112:112,113:113)-LOOKUP(C37,112:112,113:113)+100</f>
        <v>100</v>
      </c>
      <c r="K37" s="423"/>
      <c r="L37" s="1130"/>
      <c r="M37" s="1131"/>
      <c r="N37" s="1131"/>
      <c r="O37" s="1131"/>
      <c r="P37" s="3320"/>
      <c r="Q37" s="1792" t="str">
        <f t="shared" si="11"/>
        <v>成新度</v>
      </c>
      <c r="R37" s="765" t="s">
        <v>21</v>
      </c>
      <c r="S37" s="766">
        <f t="shared" si="12"/>
        <v>100</v>
      </c>
      <c r="T37" s="765" t="s">
        <v>21</v>
      </c>
      <c r="U37" s="766">
        <f t="shared" si="13"/>
        <v>100</v>
      </c>
      <c r="V37" s="765" t="s">
        <v>21</v>
      </c>
      <c r="W37" s="766">
        <f t="shared" si="14"/>
        <v>100</v>
      </c>
      <c r="X37" s="767"/>
      <c r="Y37" s="3322"/>
      <c r="Z37" s="55" t="str">
        <f t="shared" si="18"/>
        <v>成新度</v>
      </c>
      <c r="AA37" s="768">
        <f t="shared" si="15"/>
        <v>1</v>
      </c>
      <c r="AB37" s="768">
        <f t="shared" si="16"/>
        <v>1</v>
      </c>
      <c r="AC37" s="768">
        <f t="shared" si="17"/>
        <v>1</v>
      </c>
    </row>
    <row r="38" spans="1:29" ht="28.5">
      <c r="A38" s="467"/>
      <c r="B38" s="419" t="s">
        <v>2573</v>
      </c>
      <c r="C38" s="2613" t="s">
        <v>3122</v>
      </c>
      <c r="D38" s="432">
        <v>100</v>
      </c>
      <c r="E38" s="2614" t="s">
        <v>3122</v>
      </c>
      <c r="F38" s="458">
        <f>SUMIF(114:114,E38,115:115)-SUMIF(114:114,C38,115:115)+100</f>
        <v>100</v>
      </c>
      <c r="G38" s="2613" t="s">
        <v>3122</v>
      </c>
      <c r="H38" s="432">
        <f>SUMIF(114:114,G38,115:115)-SUMIF(114:114,C38,115:115)+100</f>
        <v>100</v>
      </c>
      <c r="I38" s="2614" t="s">
        <v>3122</v>
      </c>
      <c r="J38" s="432">
        <f>SUMIF(114:114,I38,115:115)-SUMIF(114:114,C38,115:115)+100</f>
        <v>100</v>
      </c>
      <c r="K38" s="423"/>
      <c r="L38" s="1138"/>
      <c r="M38" s="1129"/>
      <c r="N38" s="1129"/>
      <c r="O38" s="1129"/>
      <c r="P38" s="3320" t="s">
        <v>2567</v>
      </c>
      <c r="Q38" s="1807" t="str">
        <f t="shared" si="11"/>
        <v>物业管理</v>
      </c>
      <c r="R38" s="769" t="s">
        <v>21</v>
      </c>
      <c r="S38" s="770">
        <f t="shared" si="12"/>
        <v>100</v>
      </c>
      <c r="T38" s="769" t="s">
        <v>21</v>
      </c>
      <c r="U38" s="770">
        <f t="shared" si="13"/>
        <v>100</v>
      </c>
      <c r="V38" s="769" t="s">
        <v>21</v>
      </c>
      <c r="W38" s="770">
        <f t="shared" si="14"/>
        <v>100</v>
      </c>
      <c r="X38" s="1810"/>
      <c r="Y38" s="3322" t="s">
        <v>2567</v>
      </c>
      <c r="Z38" s="1811" t="str">
        <f t="shared" si="18"/>
        <v>物业管理</v>
      </c>
      <c r="AA38" s="1808">
        <f t="shared" si="15"/>
        <v>1</v>
      </c>
      <c r="AB38" s="1808">
        <f t="shared" si="16"/>
        <v>1</v>
      </c>
      <c r="AC38" s="1808">
        <f t="shared" si="17"/>
        <v>1</v>
      </c>
    </row>
    <row r="39" spans="1:29" ht="15">
      <c r="A39" s="467"/>
      <c r="B39" s="419" t="s">
        <v>2574</v>
      </c>
      <c r="C39" s="2613" t="s">
        <v>3181</v>
      </c>
      <c r="D39" s="432">
        <v>100</v>
      </c>
      <c r="E39" s="2614" t="s">
        <v>3253</v>
      </c>
      <c r="F39" s="458">
        <f>SUMIF(116:116,E39,117:117)-SUMIF(116:116,C39,117:117)+100</f>
        <v>103</v>
      </c>
      <c r="G39" s="2613" t="s">
        <v>3253</v>
      </c>
      <c r="H39" s="432">
        <f>SUMIF(116:116,G39,117:117)-SUMIF(116:116,C39,117:117)+100</f>
        <v>103</v>
      </c>
      <c r="I39" s="2614" t="s">
        <v>3253</v>
      </c>
      <c r="J39" s="432">
        <f>SUMIF(116:116,I39,117:117)-SUMIF(116:116,C39,117:117)+100</f>
        <v>103</v>
      </c>
      <c r="K39" s="423">
        <v>1</v>
      </c>
      <c r="L39" s="1138"/>
      <c r="M39" s="1129"/>
      <c r="N39" s="1129"/>
      <c r="O39" s="1129"/>
      <c r="P39" s="3320"/>
      <c r="Q39" s="1807" t="str">
        <f t="shared" si="11"/>
        <v>市政基础设施</v>
      </c>
      <c r="R39" s="769" t="s">
        <v>21</v>
      </c>
      <c r="S39" s="770">
        <f t="shared" si="12"/>
        <v>103</v>
      </c>
      <c r="T39" s="769" t="s">
        <v>21</v>
      </c>
      <c r="U39" s="770">
        <f t="shared" si="13"/>
        <v>103</v>
      </c>
      <c r="V39" s="769" t="s">
        <v>21</v>
      </c>
      <c r="W39" s="770">
        <f t="shared" si="14"/>
        <v>103</v>
      </c>
      <c r="X39" s="1810"/>
      <c r="Y39" s="3322"/>
      <c r="Z39" s="1811" t="str">
        <f t="shared" si="18"/>
        <v>市政基础设施</v>
      </c>
      <c r="AA39" s="1808">
        <f t="shared" si="15"/>
        <v>0.970873786407767</v>
      </c>
      <c r="AB39" s="1808">
        <f t="shared" si="16"/>
        <v>0.970873786407767</v>
      </c>
      <c r="AC39" s="1808">
        <f t="shared" si="17"/>
        <v>0.970873786407767</v>
      </c>
    </row>
    <row r="40" spans="1:29" ht="15">
      <c r="A40" s="467"/>
      <c r="B40" s="419" t="s">
        <v>2575</v>
      </c>
      <c r="C40" s="2613" t="s">
        <v>3129</v>
      </c>
      <c r="D40" s="432">
        <v>100</v>
      </c>
      <c r="E40" s="2614" t="s">
        <v>3129</v>
      </c>
      <c r="F40" s="458">
        <f>SUMIF(118:118,E40,119:119)-SUMIF(118:118,C40,119:119)+100</f>
        <v>100</v>
      </c>
      <c r="G40" s="2613" t="s">
        <v>3129</v>
      </c>
      <c r="H40" s="432">
        <f>SUMIF(118:118,G40,119:119)-SUMIF(118:118,C40,119:119)+100</f>
        <v>100</v>
      </c>
      <c r="I40" s="2614" t="s">
        <v>3129</v>
      </c>
      <c r="J40" s="432">
        <f>SUMIF(118:118,I40,119:119)-SUMIF(118:118,C40,119:119)+100</f>
        <v>100</v>
      </c>
      <c r="K40" s="423"/>
      <c r="L40" s="1138"/>
      <c r="M40" s="1129"/>
      <c r="N40" s="1129"/>
      <c r="O40" s="1129"/>
      <c r="P40" s="3320"/>
      <c r="Q40" s="1807" t="str">
        <f t="shared" si="11"/>
        <v>房型</v>
      </c>
      <c r="R40" s="769" t="s">
        <v>21</v>
      </c>
      <c r="S40" s="770">
        <f t="shared" si="12"/>
        <v>100</v>
      </c>
      <c r="T40" s="769" t="s">
        <v>21</v>
      </c>
      <c r="U40" s="770">
        <f t="shared" si="13"/>
        <v>100</v>
      </c>
      <c r="V40" s="769" t="s">
        <v>21</v>
      </c>
      <c r="W40" s="770">
        <f t="shared" si="14"/>
        <v>100</v>
      </c>
      <c r="X40" s="1810"/>
      <c r="Y40" s="3322"/>
      <c r="Z40" s="1811" t="str">
        <f t="shared" si="18"/>
        <v>房型</v>
      </c>
      <c r="AA40" s="1808">
        <f t="shared" si="15"/>
        <v>1</v>
      </c>
      <c r="AB40" s="1808">
        <f t="shared" si="16"/>
        <v>1</v>
      </c>
      <c r="AC40" s="1808">
        <f t="shared" si="17"/>
        <v>1</v>
      </c>
    </row>
    <row r="41" spans="1:29" s="466" customFormat="1" ht="40.5">
      <c r="A41" s="463"/>
      <c r="B41" s="419" t="s">
        <v>2576</v>
      </c>
      <c r="C41" s="2958" t="s">
        <v>3249</v>
      </c>
      <c r="D41" s="133">
        <v>100</v>
      </c>
      <c r="E41" s="2958" t="s">
        <v>3249</v>
      </c>
      <c r="F41" s="422">
        <f>SUMIF(120:120,E41,121:121)-SUMIF(120:120,C41,121:121)+100</f>
        <v>100</v>
      </c>
      <c r="G41" s="2958" t="s">
        <v>3249</v>
      </c>
      <c r="H41" s="133">
        <f>SUMIF(120:120,G41,121:121)-SUMIF(120:120,C41,121:121)+100</f>
        <v>100</v>
      </c>
      <c r="I41" s="2958" t="s">
        <v>3249</v>
      </c>
      <c r="J41" s="432">
        <f>SUMIF(120:120,I41,121:121)-SUMIF(120:120,C41,121:121)+100</f>
        <v>100</v>
      </c>
      <c r="K41" s="2601"/>
      <c r="L41" s="1136"/>
      <c r="M41" s="1139"/>
      <c r="N41" s="1139"/>
      <c r="O41" s="1139"/>
      <c r="P41" s="3320"/>
      <c r="Q41" s="771" t="str">
        <f t="shared" si="11"/>
        <v>单套/主力户型建筑面积</v>
      </c>
      <c r="R41" s="772" t="s">
        <v>21</v>
      </c>
      <c r="S41" s="773">
        <f t="shared" si="12"/>
        <v>100</v>
      </c>
      <c r="T41" s="772" t="s">
        <v>21</v>
      </c>
      <c r="U41" s="773">
        <f t="shared" si="13"/>
        <v>100</v>
      </c>
      <c r="V41" s="772" t="s">
        <v>21</v>
      </c>
      <c r="W41" s="773">
        <f t="shared" si="14"/>
        <v>100</v>
      </c>
      <c r="X41" s="774"/>
      <c r="Y41" s="3322"/>
      <c r="Z41" s="775" t="str">
        <f t="shared" si="18"/>
        <v>单套/主力户型建筑面积</v>
      </c>
      <c r="AA41" s="1808">
        <f t="shared" si="15"/>
        <v>1</v>
      </c>
      <c r="AB41" s="1808">
        <f t="shared" si="16"/>
        <v>1</v>
      </c>
      <c r="AC41" s="1808">
        <f t="shared" si="17"/>
        <v>1</v>
      </c>
    </row>
    <row r="42" spans="1:29" ht="15">
      <c r="A42" s="467"/>
      <c r="B42" s="419" t="s">
        <v>2577</v>
      </c>
      <c r="C42" s="2613" t="s">
        <v>3131</v>
      </c>
      <c r="D42" s="432">
        <v>100</v>
      </c>
      <c r="E42" s="2614" t="s">
        <v>3131</v>
      </c>
      <c r="F42" s="458">
        <f>SUMIF(122:122,E42,123:123)-SUMIF(122:122,C42,123:123)+100</f>
        <v>100</v>
      </c>
      <c r="G42" s="2613" t="s">
        <v>3131</v>
      </c>
      <c r="H42" s="432">
        <f>SUMIF(122:122,G42,123:123)-SUMIF(122:122,C42,123:123)+100</f>
        <v>100</v>
      </c>
      <c r="I42" s="2614" t="s">
        <v>3131</v>
      </c>
      <c r="J42" s="432">
        <f>SUMIF(122:122,I42,123:123)-SUMIF(122:122,C42,123:123)+100</f>
        <v>100</v>
      </c>
      <c r="K42" s="423"/>
      <c r="L42" s="1138"/>
      <c r="M42" s="1129"/>
      <c r="N42" s="1129"/>
      <c r="O42" s="1129"/>
      <c r="P42" s="3320"/>
      <c r="Q42" s="1807" t="str">
        <f t="shared" si="11"/>
        <v>内部装修</v>
      </c>
      <c r="R42" s="769" t="s">
        <v>21</v>
      </c>
      <c r="S42" s="770">
        <f t="shared" si="12"/>
        <v>100</v>
      </c>
      <c r="T42" s="769" t="s">
        <v>21</v>
      </c>
      <c r="U42" s="770">
        <f t="shared" si="13"/>
        <v>100</v>
      </c>
      <c r="V42" s="769" t="s">
        <v>21</v>
      </c>
      <c r="W42" s="770">
        <f t="shared" si="14"/>
        <v>100</v>
      </c>
      <c r="X42" s="1810"/>
      <c r="Y42" s="3322"/>
      <c r="Z42" s="1811" t="str">
        <f t="shared" si="18"/>
        <v>内部装修</v>
      </c>
      <c r="AA42" s="1808">
        <f t="shared" si="15"/>
        <v>1</v>
      </c>
      <c r="AB42" s="1808">
        <f t="shared" si="16"/>
        <v>1</v>
      </c>
      <c r="AC42" s="1808">
        <f t="shared" si="17"/>
        <v>1</v>
      </c>
    </row>
    <row r="43" spans="1:29" ht="15">
      <c r="A43" s="467"/>
      <c r="B43" s="419" t="s">
        <v>2578</v>
      </c>
      <c r="C43" s="2613"/>
      <c r="D43" s="432">
        <v>100</v>
      </c>
      <c r="E43" s="2614"/>
      <c r="F43" s="458">
        <f>SUMIF(124:124,E43,125:125)-SUMIF(124:124,C43,125:125)+100</f>
        <v>100</v>
      </c>
      <c r="G43" s="2613"/>
      <c r="H43" s="432">
        <f>SUMIF(124:124,G43,125:125)-SUMIF(124:124,C43,125:125)+100</f>
        <v>100</v>
      </c>
      <c r="I43" s="2614"/>
      <c r="J43" s="432">
        <f>SUMIF(124:124,I43,125:125)-SUMIF(124:124,C43,125:125)+100</f>
        <v>100</v>
      </c>
      <c r="K43" s="423"/>
      <c r="L43" s="1138"/>
      <c r="M43" s="1129"/>
      <c r="N43" s="1129"/>
      <c r="O43" s="1129"/>
      <c r="P43" s="3320"/>
      <c r="Q43" s="1807" t="str">
        <f t="shared" si="11"/>
        <v>内部装修维护情况</v>
      </c>
      <c r="R43" s="769" t="s">
        <v>21</v>
      </c>
      <c r="S43" s="770">
        <f t="shared" si="12"/>
        <v>100</v>
      </c>
      <c r="T43" s="769" t="s">
        <v>21</v>
      </c>
      <c r="U43" s="770">
        <f t="shared" si="13"/>
        <v>100</v>
      </c>
      <c r="V43" s="769" t="s">
        <v>21</v>
      </c>
      <c r="W43" s="770">
        <f t="shared" si="14"/>
        <v>100</v>
      </c>
      <c r="X43" s="1810"/>
      <c r="Y43" s="3322"/>
      <c r="Z43" s="1811" t="str">
        <f t="shared" si="18"/>
        <v>内部装修维护情况</v>
      </c>
      <c r="AA43" s="1808">
        <f t="shared" si="15"/>
        <v>1</v>
      </c>
      <c r="AB43" s="1808">
        <f t="shared" si="16"/>
        <v>1</v>
      </c>
      <c r="AC43" s="1808">
        <f t="shared" si="17"/>
        <v>1</v>
      </c>
    </row>
    <row r="44" spans="1:29" s="116" customFormat="1" ht="15">
      <c r="A44" s="468"/>
      <c r="B44" s="2956" t="s">
        <v>3133</v>
      </c>
      <c r="C44" s="2958" t="s">
        <v>3134</v>
      </c>
      <c r="D44" s="133">
        <v>100</v>
      </c>
      <c r="E44" s="2958" t="s">
        <v>3134</v>
      </c>
      <c r="F44" s="422">
        <f>SUMIF(126:126,E44,127:127)-SUMIF(126:126,C44,127:127)+100</f>
        <v>100</v>
      </c>
      <c r="G44" s="2958" t="s">
        <v>3134</v>
      </c>
      <c r="H44" s="133">
        <f>SUMIF(126:126,G44,127:127)-SUMIF(126:126,C44,127:127)+100</f>
        <v>100</v>
      </c>
      <c r="I44" s="2958" t="s">
        <v>3134</v>
      </c>
      <c r="J44" s="133">
        <f>SUMIF(126:126,I44,127:127)-SUMIF(126:126,C44,127:127)+100</f>
        <v>100</v>
      </c>
      <c r="K44" s="2601"/>
      <c r="L44" s="1130"/>
      <c r="M44" s="1131"/>
      <c r="N44" s="1131"/>
      <c r="O44" s="1131"/>
      <c r="P44" s="3320"/>
      <c r="Q44" s="1792" t="str">
        <f t="shared" si="11"/>
        <v>设施设备情况</v>
      </c>
      <c r="R44" s="765" t="s">
        <v>21</v>
      </c>
      <c r="S44" s="766">
        <f t="shared" si="12"/>
        <v>100</v>
      </c>
      <c r="T44" s="765" t="s">
        <v>21</v>
      </c>
      <c r="U44" s="766">
        <f t="shared" si="13"/>
        <v>100</v>
      </c>
      <c r="V44" s="765" t="s">
        <v>21</v>
      </c>
      <c r="W44" s="766">
        <f t="shared" si="14"/>
        <v>100</v>
      </c>
      <c r="X44" s="767"/>
      <c r="Y44" s="3322"/>
      <c r="Z44" s="55" t="str">
        <f t="shared" si="18"/>
        <v>设施设备情况</v>
      </c>
      <c r="AA44" s="768">
        <f t="shared" si="15"/>
        <v>1</v>
      </c>
      <c r="AB44" s="768">
        <f t="shared" si="16"/>
        <v>1</v>
      </c>
      <c r="AC44" s="768">
        <f t="shared" si="17"/>
        <v>1</v>
      </c>
    </row>
    <row r="45" spans="1:29" ht="15">
      <c r="A45" s="467"/>
      <c r="B45" s="2956" t="s">
        <v>3135</v>
      </c>
      <c r="C45" s="3068" t="s">
        <v>3250</v>
      </c>
      <c r="D45" s="432">
        <v>100</v>
      </c>
      <c r="E45" s="2959" t="s">
        <v>3136</v>
      </c>
      <c r="F45" s="458">
        <f>SUMIF(128:128,E45,129:129)-SUMIF(128:128,C45,129:129)+100</f>
        <v>101</v>
      </c>
      <c r="G45" s="2959" t="s">
        <v>3136</v>
      </c>
      <c r="H45" s="432">
        <f>SUMIF(128:128,G45,129:129)-SUMIF(128:128,C45,129:129)+100</f>
        <v>101</v>
      </c>
      <c r="I45" s="2959" t="s">
        <v>3136</v>
      </c>
      <c r="J45" s="432">
        <f>SUMIF(128:128,I45,129:129)-SUMIF(128:128,C45,129:129)+100</f>
        <v>101</v>
      </c>
      <c r="K45" s="2601"/>
      <c r="L45" s="1138"/>
      <c r="M45" s="1129"/>
      <c r="N45" s="1129"/>
      <c r="O45" s="1129"/>
      <c r="P45" s="3320"/>
      <c r="Q45" s="1807" t="str">
        <f t="shared" si="11"/>
        <v>建筑密度</v>
      </c>
      <c r="R45" s="769" t="s">
        <v>21</v>
      </c>
      <c r="S45" s="770">
        <f t="shared" si="12"/>
        <v>101</v>
      </c>
      <c r="T45" s="769" t="s">
        <v>21</v>
      </c>
      <c r="U45" s="770">
        <f t="shared" si="13"/>
        <v>101</v>
      </c>
      <c r="V45" s="769" t="s">
        <v>21</v>
      </c>
      <c r="W45" s="770">
        <f t="shared" si="14"/>
        <v>101</v>
      </c>
      <c r="X45" s="1810"/>
      <c r="Y45" s="3322"/>
      <c r="Z45" s="1811" t="str">
        <f t="shared" si="18"/>
        <v>建筑密度</v>
      </c>
      <c r="AA45" s="1808">
        <f t="shared" si="15"/>
        <v>0.99009900990099009</v>
      </c>
      <c r="AB45" s="1808">
        <f t="shared" si="16"/>
        <v>0.99009900990099009</v>
      </c>
      <c r="AC45" s="1808">
        <f t="shared" si="17"/>
        <v>0.99009900990099009</v>
      </c>
    </row>
    <row r="46" spans="1:29" ht="15.75" thickBot="1">
      <c r="A46" s="473"/>
      <c r="B46" s="2602">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601"/>
      <c r="L46" s="1138"/>
      <c r="M46" s="1129"/>
      <c r="N46" s="1129"/>
      <c r="O46" s="1129"/>
      <c r="P46" s="3321"/>
      <c r="Q46" s="1807">
        <f t="shared" si="11"/>
        <v>111</v>
      </c>
      <c r="R46" s="769" t="s">
        <v>20</v>
      </c>
      <c r="S46" s="770">
        <f t="shared" si="12"/>
        <v>100</v>
      </c>
      <c r="T46" s="769" t="s">
        <v>20</v>
      </c>
      <c r="U46" s="770">
        <f t="shared" si="13"/>
        <v>100</v>
      </c>
      <c r="V46" s="769" t="s">
        <v>20</v>
      </c>
      <c r="W46" s="770">
        <f t="shared" si="14"/>
        <v>100</v>
      </c>
      <c r="X46" s="1810"/>
      <c r="Y46" s="3323"/>
      <c r="Z46" s="1811">
        <f t="shared" si="18"/>
        <v>111</v>
      </c>
      <c r="AA46" s="1808">
        <f t="shared" si="15"/>
        <v>1</v>
      </c>
      <c r="AB46" s="1808">
        <f t="shared" si="16"/>
        <v>1</v>
      </c>
      <c r="AC46" s="1808">
        <f t="shared" si="17"/>
        <v>1</v>
      </c>
    </row>
    <row r="47" spans="1:29" ht="15">
      <c r="A47" s="474" t="s">
        <v>2579</v>
      </c>
      <c r="B47" s="475"/>
      <c r="C47" s="1404" t="s">
        <v>19</v>
      </c>
      <c r="D47" s="1405"/>
      <c r="E47" s="1406">
        <v>29000</v>
      </c>
      <c r="F47" s="1407"/>
      <c r="G47" s="1408">
        <v>29000</v>
      </c>
      <c r="H47" s="1409"/>
      <c r="I47" s="1406">
        <v>29000</v>
      </c>
      <c r="J47" s="1409"/>
      <c r="K47" s="2621"/>
      <c r="L47" s="1141"/>
      <c r="M47" s="1142"/>
      <c r="N47" s="1129"/>
      <c r="O47" s="1142"/>
      <c r="P47" s="3315" t="str">
        <f>A47</f>
        <v>成交单价（元/平方米）</v>
      </c>
      <c r="Q47" s="3315"/>
      <c r="R47" s="3316">
        <f>E47</f>
        <v>29000</v>
      </c>
      <c r="S47" s="3316"/>
      <c r="T47" s="3316">
        <f>G47</f>
        <v>29000</v>
      </c>
      <c r="U47" s="3316"/>
      <c r="V47" s="3316">
        <f>I47</f>
        <v>29000</v>
      </c>
      <c r="W47" s="3316"/>
      <c r="X47" s="754"/>
      <c r="Y47" s="776"/>
      <c r="Z47" s="754"/>
      <c r="AA47" s="754"/>
      <c r="AB47" s="754"/>
      <c r="AC47" s="754"/>
    </row>
    <row r="48" spans="1:29" ht="15.75" thickBot="1">
      <c r="A48" s="481" t="s">
        <v>2580</v>
      </c>
      <c r="B48" s="482"/>
      <c r="C48" s="1410">
        <f>R49</f>
        <v>29444</v>
      </c>
      <c r="D48" s="1411"/>
      <c r="E48" s="1412">
        <f>R48</f>
        <v>29041</v>
      </c>
      <c r="F48" s="1412"/>
      <c r="G48" s="1410">
        <f>T48</f>
        <v>29958</v>
      </c>
      <c r="H48" s="1411"/>
      <c r="I48" s="1412">
        <f>V48</f>
        <v>29334</v>
      </c>
      <c r="J48" s="1411"/>
      <c r="K48" s="2622"/>
      <c r="L48" s="1141"/>
      <c r="M48" s="1142"/>
      <c r="N48" s="1142"/>
      <c r="O48" s="1142"/>
      <c r="P48" s="3315" t="str">
        <f>A48</f>
        <v>比较价值（元/平方米）</v>
      </c>
      <c r="Q48" s="3315"/>
      <c r="R48" s="3316">
        <f>IF(F1="售价",ROUND(PRODUCT(R47,AA7:AA46),0),ROUND(PRODUCT(R47,AA7:AA46),1))</f>
        <v>29041</v>
      </c>
      <c r="S48" s="3316"/>
      <c r="T48" s="3316">
        <f>IF(F1="售价",ROUND(PRODUCT(T47,AB7:AB46),0),ROUND(PRODUCT(T47,AB7:AB46),1))</f>
        <v>29958</v>
      </c>
      <c r="U48" s="3316"/>
      <c r="V48" s="3316">
        <f>IF(F1="售价",ROUND(PRODUCT(V47,AC7:AC46),0),ROUND(PRODUCT(V47,AC7:AC46),1))</f>
        <v>29334</v>
      </c>
      <c r="W48" s="3316"/>
      <c r="X48" s="754"/>
      <c r="Y48" s="754"/>
      <c r="Z48" s="754"/>
      <c r="AA48" s="754"/>
      <c r="AB48" s="754"/>
      <c r="AC48" s="754"/>
    </row>
    <row r="49" spans="1:29" ht="15.75" thickBot="1">
      <c r="A49" s="487" t="s">
        <v>2581</v>
      </c>
      <c r="B49" s="488"/>
      <c r="C49" s="1413">
        <f>R49</f>
        <v>29444</v>
      </c>
      <c r="D49" s="1414"/>
      <c r="E49" s="1414"/>
      <c r="F49" s="1414"/>
      <c r="G49" s="1414"/>
      <c r="H49" s="1414"/>
      <c r="I49" s="1414"/>
      <c r="J49" s="1414"/>
      <c r="K49" s="2623"/>
      <c r="L49" s="1141"/>
      <c r="M49" s="1142"/>
      <c r="N49" s="1142"/>
      <c r="O49" s="1142"/>
      <c r="P49" s="3312" t="str">
        <f>A49</f>
        <v>估价对象XX用房的比较价值（楼面单价，元/平方米）</v>
      </c>
      <c r="Q49" s="3313"/>
      <c r="R49" s="3314">
        <f>IF(F1="售价",ROUND(AVERAGE(R48:V48),0),ROUND(AVERAGE(R48:V48),1))</f>
        <v>29444</v>
      </c>
      <c r="S49" s="3314"/>
      <c r="T49" s="3314"/>
      <c r="U49" s="3314"/>
      <c r="V49" s="3314"/>
      <c r="W49" s="3314"/>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2" t="s">
        <v>2582</v>
      </c>
      <c r="D52" s="493"/>
      <c r="E52" s="494">
        <f>IF(E47&lt;E48,E48/E47-1,E47/E48-1)</f>
        <v>1.4137931034483575E-3</v>
      </c>
      <c r="F52" s="495" t="str">
        <f>IF(OR(E52&gt;=0.3,E52&lt;=-0.3),"超过30%","")</f>
        <v/>
      </c>
      <c r="G52" s="494">
        <f>IF(G47&lt;G48,G48/G47-1,G47/G48-1)</f>
        <v>3.3034482758620642E-2</v>
      </c>
      <c r="H52" s="495" t="str">
        <f>IF(OR(G52&gt;=0.3,G52&lt;=-0.3),"超过30%","")</f>
        <v/>
      </c>
      <c r="I52" s="494">
        <f>IF(I47&lt;I48,I48/I47-1,I47/I48-1)</f>
        <v>1.1517241379310317E-2</v>
      </c>
      <c r="J52" s="495" t="str">
        <f>IF(OR(I52&gt;=0.3,I52&lt;=-0.3),"超过30%","")</f>
        <v/>
      </c>
      <c r="K52" s="1103"/>
      <c r="L52" s="1104"/>
      <c r="M52" s="1142"/>
      <c r="N52" s="1142"/>
      <c r="O52" s="1142"/>
    </row>
    <row r="53" spans="1:29" ht="13.5" customHeight="1">
      <c r="A53" s="1142"/>
      <c r="B53" s="1142"/>
      <c r="C53" s="492" t="s">
        <v>2583</v>
      </c>
      <c r="D53" s="496"/>
      <c r="E53" s="494">
        <f>IF(E48&lt;G48,G48/E48-1,E48/G48-1)</f>
        <v>3.157604765676103E-2</v>
      </c>
      <c r="F53" s="495" t="str">
        <f>IF(OR(E53&gt;=0.2,E53&lt;=-0.2),"超过20%","")</f>
        <v/>
      </c>
      <c r="G53" s="494">
        <f>IF(G48&lt;I48,I48/G48-1,G48/I48-1)</f>
        <v>2.1272243812640701E-2</v>
      </c>
      <c r="H53" s="495" t="str">
        <f>IF(OR(G53&gt;=0.2,G53&lt;=-0.2),"超过20%","")</f>
        <v/>
      </c>
      <c r="I53" s="494">
        <f>IF(I48&lt;E48,E48/I48-1,I48/E48-1)</f>
        <v>1.0089184256740547E-2</v>
      </c>
      <c r="J53" s="495" t="str">
        <f>IF(OR(I53&gt;=0.2,I53&lt;=-0.2),"超过20%","")</f>
        <v/>
      </c>
      <c r="K53" s="1103"/>
      <c r="L53" s="1104"/>
      <c r="M53" s="1142"/>
      <c r="N53" s="1142"/>
      <c r="O53" s="1142"/>
    </row>
    <row r="54" spans="1:29" s="497" customFormat="1" ht="13.5" customHeight="1">
      <c r="A54" s="1143"/>
      <c r="B54" s="1143"/>
      <c r="C54" s="492" t="s">
        <v>2584</v>
      </c>
      <c r="D54" s="496"/>
      <c r="E54" s="494">
        <f>IF(E47&lt;G47,G47/E47-1,E47/G47-1)</f>
        <v>0</v>
      </c>
      <c r="F54" s="495" t="str">
        <f>IF(OR(E54&gt;=0.3,E54&lt;=-0.3),"超过30%","")</f>
        <v/>
      </c>
      <c r="G54" s="494">
        <f>IF(G47&lt;I47,I47/G47-1,G47/I47-1)</f>
        <v>0</v>
      </c>
      <c r="H54" s="495" t="str">
        <f>IF(OR(G54&gt;=0.3,G54&lt;=-0.3),"超过30%","")</f>
        <v/>
      </c>
      <c r="I54" s="494">
        <f>IF(I47&lt;E47,E47/I47-1,I47/E47-1)</f>
        <v>0</v>
      </c>
      <c r="J54" s="495" t="str">
        <f>IF(OR(I54&gt;=0.3,I54&lt;=-0.3),"超过30%","")</f>
        <v/>
      </c>
      <c r="K54" s="1146"/>
      <c r="L54" s="1147"/>
      <c r="M54" s="1143"/>
      <c r="N54" s="1143"/>
      <c r="O54" s="1143"/>
      <c r="P54" s="2625"/>
    </row>
    <row r="55" spans="1:29" s="497"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58" t="s">
        <v>2585</v>
      </c>
      <c r="B57" s="754"/>
      <c r="C57" s="759"/>
      <c r="D57" s="759"/>
      <c r="E57" s="759"/>
      <c r="F57" s="760"/>
      <c r="G57" s="760"/>
      <c r="H57" s="759"/>
      <c r="I57" s="759"/>
      <c r="J57" s="759"/>
      <c r="K57" s="1158"/>
      <c r="L57" s="1159"/>
      <c r="M57" s="1157"/>
      <c r="N57" s="1157"/>
      <c r="O57" s="1157"/>
      <c r="P57" s="2626"/>
      <c r="Q57" s="499"/>
    </row>
    <row r="58" spans="1:29" s="503" customFormat="1" ht="15">
      <c r="A58" s="500" t="s">
        <v>2586</v>
      </c>
      <c r="B58" s="501"/>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6" customFormat="1" ht="15">
      <c r="A59" s="504"/>
      <c r="B59" s="2627"/>
      <c r="C59" s="1570">
        <v>100</v>
      </c>
      <c r="D59" s="506">
        <v>100</v>
      </c>
      <c r="E59" s="507">
        <v>100</v>
      </c>
      <c r="F59" s="506">
        <v>100</v>
      </c>
      <c r="G59" s="507">
        <v>100</v>
      </c>
      <c r="H59" s="506">
        <v>100</v>
      </c>
      <c r="I59" s="507">
        <v>99</v>
      </c>
      <c r="J59" s="506">
        <v>99</v>
      </c>
      <c r="K59" s="507">
        <v>99</v>
      </c>
      <c r="L59" s="506">
        <v>99</v>
      </c>
      <c r="M59" s="507">
        <v>99</v>
      </c>
      <c r="N59" s="506">
        <v>99</v>
      </c>
      <c r="O59" s="508"/>
      <c r="P59" s="2628"/>
    </row>
    <row r="60" spans="1:29" s="116" customFormat="1" ht="15.75" thickBot="1">
      <c r="A60" s="510" t="s">
        <v>2587</v>
      </c>
      <c r="B60" s="511"/>
      <c r="C60" s="512"/>
      <c r="D60" s="513"/>
      <c r="E60" s="513"/>
      <c r="F60" s="513"/>
      <c r="G60" s="513"/>
      <c r="H60" s="513"/>
      <c r="I60" s="513"/>
      <c r="J60" s="513"/>
      <c r="K60" s="513"/>
      <c r="L60" s="513"/>
      <c r="M60" s="514"/>
      <c r="N60" s="513"/>
      <c r="O60" s="514"/>
      <c r="P60" s="2628"/>
      <c r="Q60" s="499"/>
    </row>
    <row r="61" spans="1:29" s="116" customFormat="1" ht="15">
      <c r="A61" s="516" t="s">
        <v>2588</v>
      </c>
      <c r="B61" s="505"/>
      <c r="C61" s="517" t="s">
        <v>2589</v>
      </c>
      <c r="D61" s="518"/>
      <c r="E61" s="518"/>
      <c r="F61" s="518"/>
      <c r="G61" s="518"/>
      <c r="H61" s="518"/>
      <c r="I61" s="518"/>
      <c r="J61" s="518"/>
      <c r="K61" s="518"/>
      <c r="L61" s="519"/>
      <c r="M61" s="520"/>
      <c r="N61" s="1149"/>
      <c r="O61" s="1149"/>
      <c r="P61" s="2629"/>
      <c r="Q61" s="499"/>
    </row>
    <row r="62" spans="1:29" s="116" customFormat="1" ht="15.75" thickBot="1">
      <c r="A62" s="516"/>
      <c r="B62" s="505"/>
      <c r="C62" s="506">
        <v>100</v>
      </c>
      <c r="D62" s="507"/>
      <c r="E62" s="507"/>
      <c r="F62" s="507"/>
      <c r="G62" s="507"/>
      <c r="H62" s="507"/>
      <c r="I62" s="507"/>
      <c r="J62" s="507"/>
      <c r="K62" s="507"/>
      <c r="L62" s="507"/>
      <c r="M62" s="509"/>
      <c r="N62" s="1149"/>
      <c r="O62" s="1149"/>
      <c r="P62" s="2628"/>
      <c r="Q62" s="499"/>
    </row>
    <row r="63" spans="1:29">
      <c r="A63" s="522" t="s">
        <v>2590</v>
      </c>
      <c r="B63" s="523" t="s">
        <v>2556</v>
      </c>
      <c r="C63" s="524" t="str">
        <f>C9</f>
        <v>住宅</v>
      </c>
      <c r="D63" s="525"/>
      <c r="E63" s="525"/>
      <c r="F63" s="525"/>
      <c r="G63" s="525"/>
      <c r="H63" s="525"/>
      <c r="I63" s="525"/>
      <c r="J63" s="525"/>
      <c r="K63" s="526"/>
      <c r="L63" s="527"/>
      <c r="M63" s="528"/>
      <c r="N63" s="1150"/>
      <c r="O63" s="1150"/>
      <c r="P63" s="2630"/>
      <c r="Q63" s="499"/>
    </row>
    <row r="64" spans="1:29" ht="15.75" thickBot="1">
      <c r="A64" s="529"/>
      <c r="B64" s="530"/>
      <c r="C64" s="531">
        <v>100</v>
      </c>
      <c r="D64" s="531"/>
      <c r="E64" s="531"/>
      <c r="F64" s="531"/>
      <c r="G64" s="531"/>
      <c r="H64" s="531"/>
      <c r="I64" s="531"/>
      <c r="J64" s="531"/>
      <c r="K64" s="531"/>
      <c r="L64" s="531"/>
      <c r="M64" s="532"/>
      <c r="N64" s="1151"/>
      <c r="O64" s="1151"/>
      <c r="P64" s="2630"/>
      <c r="Q64" s="499"/>
    </row>
    <row r="65" spans="1:17" ht="27.75" thickTop="1">
      <c r="A65" s="529"/>
      <c r="B65" s="533" t="s">
        <v>2559</v>
      </c>
      <c r="C65" s="534" t="s">
        <v>2591</v>
      </c>
      <c r="D65" s="534" t="s">
        <v>2592</v>
      </c>
      <c r="E65" s="534" t="s">
        <v>2593</v>
      </c>
      <c r="F65" s="534" t="s">
        <v>2594</v>
      </c>
      <c r="G65" s="534" t="s">
        <v>2595</v>
      </c>
      <c r="H65" s="534" t="s">
        <v>2596</v>
      </c>
      <c r="I65" s="534" t="s">
        <v>2597</v>
      </c>
      <c r="J65" s="534"/>
      <c r="K65" s="535"/>
      <c r="L65" s="536"/>
      <c r="M65" s="537"/>
      <c r="N65" s="1150"/>
      <c r="O65" s="1150"/>
      <c r="P65" s="2630"/>
      <c r="Q65" s="499"/>
    </row>
    <row r="66" spans="1:17" ht="15.75" thickBot="1">
      <c r="A66" s="529"/>
      <c r="B66" s="538"/>
      <c r="C66" s="539">
        <v>100</v>
      </c>
      <c r="D66" s="539">
        <f t="shared" ref="D66:I66" si="20">C66-$K10</f>
        <v>100</v>
      </c>
      <c r="E66" s="539">
        <f t="shared" si="20"/>
        <v>100</v>
      </c>
      <c r="F66" s="539">
        <f t="shared" si="20"/>
        <v>100</v>
      </c>
      <c r="G66" s="539">
        <f t="shared" si="20"/>
        <v>100</v>
      </c>
      <c r="H66" s="539">
        <f t="shared" si="20"/>
        <v>100</v>
      </c>
      <c r="I66" s="539">
        <f t="shared" si="20"/>
        <v>100</v>
      </c>
      <c r="J66" s="539"/>
      <c r="K66" s="539"/>
      <c r="L66" s="539"/>
      <c r="M66" s="540"/>
      <c r="N66" s="1151"/>
      <c r="O66" s="1151"/>
      <c r="P66" s="2630"/>
      <c r="Q66" s="499"/>
    </row>
    <row r="67" spans="1:17" ht="15.75" thickTop="1">
      <c r="A67" s="529"/>
      <c r="B67" s="541" t="s">
        <v>2560</v>
      </c>
      <c r="C67" s="542" t="str">
        <f>C68&amp;"（含）"&amp;"-"&amp;D68</f>
        <v>1（含）-2</v>
      </c>
      <c r="D67" s="542" t="str">
        <f t="shared" ref="D67:L67" si="21">D68&amp;"（含）"&amp;"-"&amp;E68</f>
        <v>2（含）-3</v>
      </c>
      <c r="E67" s="542" t="str">
        <f t="shared" si="21"/>
        <v>3（含）-4</v>
      </c>
      <c r="F67" s="542" t="str">
        <f t="shared" si="21"/>
        <v>4（含）-5</v>
      </c>
      <c r="G67" s="542" t="str">
        <f t="shared" si="21"/>
        <v>5（含）-6</v>
      </c>
      <c r="H67" s="542" t="str">
        <f t="shared" si="21"/>
        <v>6（含）-7</v>
      </c>
      <c r="I67" s="542" t="str">
        <f t="shared" si="21"/>
        <v>7（含）-</v>
      </c>
      <c r="J67" s="542" t="str">
        <f t="shared" si="21"/>
        <v>（含）-</v>
      </c>
      <c r="K67" s="542" t="str">
        <f>K68&amp;"（含）"&amp;"-"&amp;L68</f>
        <v>（含）-</v>
      </c>
      <c r="L67" s="542" t="str">
        <f t="shared" si="21"/>
        <v>（含）-</v>
      </c>
      <c r="M67" s="445" t="str">
        <f>M68&amp;"（含）"&amp;"-"&amp;P68</f>
        <v>（含）-</v>
      </c>
      <c r="N67" s="1151"/>
      <c r="O67" s="1151"/>
      <c r="P67" s="2630"/>
      <c r="Q67" s="499"/>
    </row>
    <row r="68" spans="1:17" ht="15">
      <c r="A68" s="529"/>
      <c r="B68" s="543"/>
      <c r="C68" s="544">
        <v>1</v>
      </c>
      <c r="D68" s="544">
        <v>2</v>
      </c>
      <c r="E68" s="544">
        <v>3</v>
      </c>
      <c r="F68" s="544">
        <v>4</v>
      </c>
      <c r="G68" s="544">
        <v>5</v>
      </c>
      <c r="H68" s="544">
        <v>6</v>
      </c>
      <c r="I68" s="544">
        <v>7</v>
      </c>
      <c r="J68" s="544"/>
      <c r="K68" s="545"/>
      <c r="L68" s="546"/>
      <c r="M68" s="547"/>
      <c r="N68" s="1150"/>
      <c r="O68" s="1150"/>
      <c r="P68" s="2630"/>
      <c r="Q68" s="499"/>
    </row>
    <row r="69" spans="1:17" ht="15.75" thickBot="1">
      <c r="A69" s="529"/>
      <c r="B69" s="530"/>
      <c r="C69" s="539">
        <v>100</v>
      </c>
      <c r="D69" s="539">
        <f t="shared" ref="D69:M69" si="22">C69-$K11</f>
        <v>99</v>
      </c>
      <c r="E69" s="539">
        <f t="shared" si="22"/>
        <v>98</v>
      </c>
      <c r="F69" s="539">
        <f t="shared" si="22"/>
        <v>97</v>
      </c>
      <c r="G69" s="539">
        <f t="shared" si="22"/>
        <v>96</v>
      </c>
      <c r="H69" s="539">
        <f t="shared" si="22"/>
        <v>95</v>
      </c>
      <c r="I69" s="539">
        <f t="shared" si="22"/>
        <v>94</v>
      </c>
      <c r="J69" s="539">
        <f t="shared" si="22"/>
        <v>93</v>
      </c>
      <c r="K69" s="539">
        <f t="shared" si="22"/>
        <v>92</v>
      </c>
      <c r="L69" s="539">
        <f t="shared" si="22"/>
        <v>91</v>
      </c>
      <c r="M69" s="540">
        <f t="shared" si="22"/>
        <v>90</v>
      </c>
      <c r="N69" s="1151"/>
      <c r="O69" s="1151"/>
      <c r="P69" s="2630"/>
      <c r="Q69" s="499"/>
    </row>
    <row r="70" spans="1:17" s="466" customFormat="1" ht="15.75" thickTop="1">
      <c r="A70" s="548"/>
      <c r="B70" s="533" t="str">
        <f>B12</f>
        <v>产权性质</v>
      </c>
      <c r="C70" s="2957" t="s">
        <v>3120</v>
      </c>
      <c r="D70" s="549"/>
      <c r="E70" s="549"/>
      <c r="F70" s="549"/>
      <c r="G70" s="549"/>
      <c r="H70" s="550"/>
      <c r="I70" s="550"/>
      <c r="J70" s="550"/>
      <c r="K70" s="550"/>
      <c r="L70" s="551"/>
      <c r="M70" s="552"/>
      <c r="N70" s="1152"/>
      <c r="O70" s="1152"/>
      <c r="P70" s="2631"/>
      <c r="Q70" s="554"/>
    </row>
    <row r="71" spans="1:17" s="466" customFormat="1" ht="15.75" thickBot="1">
      <c r="A71" s="548"/>
      <c r="B71" s="538"/>
      <c r="C71" s="555"/>
      <c r="D71" s="531"/>
      <c r="E71" s="531"/>
      <c r="F71" s="531"/>
      <c r="G71" s="531"/>
      <c r="H71" s="531"/>
      <c r="I71" s="531"/>
      <c r="J71" s="531"/>
      <c r="K71" s="531"/>
      <c r="L71" s="531"/>
      <c r="M71" s="532"/>
      <c r="N71" s="1151"/>
      <c r="O71" s="1151"/>
      <c r="P71" s="2631"/>
      <c r="Q71" s="554"/>
    </row>
    <row r="72" spans="1:17" s="466" customFormat="1" ht="15.75" thickTop="1">
      <c r="A72" s="548"/>
      <c r="B72" s="533">
        <f>B13</f>
        <v>111</v>
      </c>
      <c r="C72" s="549"/>
      <c r="D72" s="549"/>
      <c r="E72" s="549"/>
      <c r="F72" s="549"/>
      <c r="G72" s="549"/>
      <c r="H72" s="550"/>
      <c r="I72" s="550"/>
      <c r="J72" s="550"/>
      <c r="K72" s="550"/>
      <c r="L72" s="551"/>
      <c r="M72" s="552"/>
      <c r="N72" s="1152"/>
      <c r="O72" s="1152"/>
      <c r="P72" s="2632"/>
      <c r="Q72" s="556"/>
    </row>
    <row r="73" spans="1:17" s="466" customFormat="1" ht="15.75" thickBot="1">
      <c r="A73" s="548"/>
      <c r="B73" s="538"/>
      <c r="C73" s="555"/>
      <c r="D73" s="555"/>
      <c r="E73" s="555"/>
      <c r="F73" s="555"/>
      <c r="G73" s="555"/>
      <c r="H73" s="557"/>
      <c r="I73" s="557"/>
      <c r="J73" s="557"/>
      <c r="K73" s="557"/>
      <c r="L73" s="557"/>
      <c r="M73" s="558"/>
      <c r="N73" s="1152"/>
      <c r="O73" s="1152"/>
      <c r="P73" s="2631"/>
      <c r="Q73" s="554"/>
    </row>
    <row r="74" spans="1:17" s="466" customFormat="1" ht="15.75" thickTop="1">
      <c r="A74" s="548"/>
      <c r="B74" s="541">
        <f>B14</f>
        <v>111</v>
      </c>
      <c r="C74" s="549"/>
      <c r="D74" s="549"/>
      <c r="E74" s="549"/>
      <c r="F74" s="549"/>
      <c r="G74" s="518"/>
      <c r="H74" s="559"/>
      <c r="I74" s="559"/>
      <c r="J74" s="559"/>
      <c r="K74" s="559"/>
      <c r="L74" s="560"/>
      <c r="M74" s="561"/>
      <c r="N74" s="1152"/>
      <c r="O74" s="1152"/>
      <c r="P74" s="2633"/>
      <c r="Q74" s="554"/>
    </row>
    <row r="75" spans="1:17" s="466" customFormat="1" ht="15.75" thickBot="1">
      <c r="A75" s="563"/>
      <c r="B75" s="564"/>
      <c r="C75" s="565"/>
      <c r="D75" s="565"/>
      <c r="E75" s="565"/>
      <c r="F75" s="565"/>
      <c r="G75" s="565"/>
      <c r="H75" s="566"/>
      <c r="I75" s="566"/>
      <c r="J75" s="566"/>
      <c r="K75" s="566"/>
      <c r="L75" s="566"/>
      <c r="M75" s="567"/>
      <c r="N75" s="1152"/>
      <c r="O75" s="1152"/>
      <c r="P75" s="2631"/>
      <c r="Q75" s="554"/>
    </row>
    <row r="76" spans="1:17">
      <c r="A76" s="522" t="s">
        <v>2561</v>
      </c>
      <c r="B76" s="523" t="s">
        <v>2598</v>
      </c>
      <c r="C76" s="568" t="s">
        <v>2599</v>
      </c>
      <c r="D76" s="568" t="s">
        <v>2600</v>
      </c>
      <c r="E76" s="568" t="s">
        <v>2601</v>
      </c>
      <c r="F76" s="568" t="s">
        <v>2602</v>
      </c>
      <c r="G76" s="568" t="s">
        <v>2603</v>
      </c>
      <c r="H76" s="524"/>
      <c r="I76" s="524"/>
      <c r="J76" s="524"/>
      <c r="K76" s="569"/>
      <c r="L76" s="570"/>
      <c r="M76" s="571"/>
      <c r="N76" s="1150"/>
      <c r="O76" s="1150"/>
      <c r="P76" s="2634"/>
      <c r="Q76" s="499"/>
    </row>
    <row r="77" spans="1:17" ht="15.75" thickBot="1">
      <c r="A77" s="529"/>
      <c r="B77" s="538"/>
      <c r="C77" s="539">
        <v>100</v>
      </c>
      <c r="D77" s="539">
        <f>C77-$K15</f>
        <v>99</v>
      </c>
      <c r="E77" s="539">
        <f>D77-$K15</f>
        <v>98</v>
      </c>
      <c r="F77" s="539">
        <f>E77-$K15</f>
        <v>97</v>
      </c>
      <c r="G77" s="539">
        <f>F77-$K15</f>
        <v>96</v>
      </c>
      <c r="H77" s="539"/>
      <c r="I77" s="539"/>
      <c r="J77" s="539"/>
      <c r="K77" s="539"/>
      <c r="L77" s="539"/>
      <c r="M77" s="540"/>
      <c r="N77" s="1151"/>
      <c r="O77" s="1151"/>
      <c r="P77" s="2630"/>
      <c r="Q77" s="499"/>
    </row>
    <row r="78" spans="1:17" ht="15.75" thickTop="1">
      <c r="A78" s="529"/>
      <c r="B78" s="533" t="s">
        <v>2604</v>
      </c>
      <c r="C78" s="573" t="s">
        <v>2599</v>
      </c>
      <c r="D78" s="573" t="s">
        <v>2600</v>
      </c>
      <c r="E78" s="573" t="s">
        <v>2601</v>
      </c>
      <c r="F78" s="573" t="s">
        <v>2602</v>
      </c>
      <c r="G78" s="573" t="s">
        <v>2603</v>
      </c>
      <c r="H78" s="534"/>
      <c r="I78" s="534"/>
      <c r="J78" s="534"/>
      <c r="K78" s="535"/>
      <c r="L78" s="536"/>
      <c r="M78" s="537"/>
      <c r="N78" s="1150"/>
      <c r="O78" s="1150"/>
      <c r="P78" s="2630"/>
      <c r="Q78" s="499"/>
    </row>
    <row r="79" spans="1:17" ht="15.75" thickBot="1">
      <c r="A79" s="529"/>
      <c r="B79" s="538"/>
      <c r="C79" s="539">
        <v>100</v>
      </c>
      <c r="D79" s="539">
        <f>C79-$K17</f>
        <v>99</v>
      </c>
      <c r="E79" s="539">
        <f>D79-$K17</f>
        <v>98</v>
      </c>
      <c r="F79" s="539">
        <f>E79-$K17</f>
        <v>97</v>
      </c>
      <c r="G79" s="539">
        <f>F79-$K17</f>
        <v>96</v>
      </c>
      <c r="H79" s="539"/>
      <c r="I79" s="539"/>
      <c r="J79" s="539"/>
      <c r="K79" s="539"/>
      <c r="L79" s="539"/>
      <c r="M79" s="540"/>
      <c r="N79" s="1151"/>
      <c r="O79" s="1151"/>
      <c r="P79" s="2630"/>
      <c r="Q79" s="499"/>
    </row>
    <row r="80" spans="1:17" ht="15.75" thickTop="1">
      <c r="A80" s="529"/>
      <c r="B80" s="533" t="s">
        <v>2605</v>
      </c>
      <c r="C80" s="573" t="s">
        <v>2599</v>
      </c>
      <c r="D80" s="573" t="s">
        <v>2600</v>
      </c>
      <c r="E80" s="573" t="s">
        <v>2601</v>
      </c>
      <c r="F80" s="573" t="s">
        <v>2602</v>
      </c>
      <c r="G80" s="573" t="s">
        <v>2603</v>
      </c>
      <c r="H80" s="534"/>
      <c r="I80" s="534"/>
      <c r="J80" s="534"/>
      <c r="K80" s="535"/>
      <c r="L80" s="536"/>
      <c r="M80" s="537"/>
      <c r="N80" s="1150"/>
      <c r="O80" s="1150"/>
      <c r="P80" s="2630"/>
      <c r="Q80" s="499"/>
    </row>
    <row r="81" spans="1:17" ht="15.75" thickBot="1">
      <c r="A81" s="529"/>
      <c r="B81" s="538"/>
      <c r="C81" s="539">
        <v>100</v>
      </c>
      <c r="D81" s="539">
        <f>C81-$K19</f>
        <v>99</v>
      </c>
      <c r="E81" s="539">
        <f>D81-$K19</f>
        <v>98</v>
      </c>
      <c r="F81" s="539">
        <f>E81-$K19</f>
        <v>97</v>
      </c>
      <c r="G81" s="539">
        <f>F81-$K19</f>
        <v>96</v>
      </c>
      <c r="H81" s="539"/>
      <c r="I81" s="539"/>
      <c r="J81" s="539"/>
      <c r="K81" s="539"/>
      <c r="L81" s="539"/>
      <c r="M81" s="540"/>
      <c r="N81" s="1151"/>
      <c r="O81" s="1151"/>
      <c r="P81" s="2630"/>
      <c r="Q81" s="499"/>
    </row>
    <row r="82" spans="1:17" ht="15.75" thickTop="1">
      <c r="A82" s="529"/>
      <c r="B82" s="541" t="s">
        <v>2101</v>
      </c>
      <c r="C82" s="534" t="s">
        <v>2606</v>
      </c>
      <c r="D82" s="534" t="s">
        <v>2607</v>
      </c>
      <c r="E82" s="534" t="s">
        <v>2608</v>
      </c>
      <c r="F82" s="534" t="s">
        <v>2609</v>
      </c>
      <c r="G82" s="534" t="s">
        <v>2610</v>
      </c>
      <c r="H82" s="534"/>
      <c r="I82" s="534"/>
      <c r="J82" s="534"/>
      <c r="K82" s="534"/>
      <c r="L82" s="534"/>
      <c r="M82" s="1380"/>
      <c r="N82" s="1151"/>
      <c r="O82" s="1151"/>
      <c r="P82" s="2630"/>
      <c r="Q82" s="499"/>
    </row>
    <row r="83" spans="1:17" ht="15.75" thickBot="1">
      <c r="A83" s="529"/>
      <c r="B83" s="541"/>
      <c r="C83" s="655">
        <v>100</v>
      </c>
      <c r="D83" s="655">
        <f>C83-$K21</f>
        <v>99</v>
      </c>
      <c r="E83" s="655">
        <f t="shared" ref="E83:G83" si="23">D83-$K21</f>
        <v>98</v>
      </c>
      <c r="F83" s="655">
        <f t="shared" si="23"/>
        <v>97</v>
      </c>
      <c r="G83" s="655">
        <f t="shared" si="23"/>
        <v>96</v>
      </c>
      <c r="H83" s="655"/>
      <c r="I83" s="655"/>
      <c r="J83" s="655"/>
      <c r="K83" s="655"/>
      <c r="L83" s="655"/>
      <c r="M83" s="447"/>
      <c r="N83" s="1151"/>
      <c r="O83" s="1151"/>
      <c r="P83" s="2630"/>
      <c r="Q83" s="499"/>
    </row>
    <row r="84" spans="1:17" ht="15.75" thickTop="1">
      <c r="A84" s="529"/>
      <c r="B84" s="533" t="s">
        <v>2611</v>
      </c>
      <c r="C84" s="573" t="s">
        <v>2599</v>
      </c>
      <c r="D84" s="573" t="s">
        <v>2600</v>
      </c>
      <c r="E84" s="573" t="s">
        <v>2601</v>
      </c>
      <c r="F84" s="573" t="s">
        <v>2602</v>
      </c>
      <c r="G84" s="573" t="s">
        <v>2603</v>
      </c>
      <c r="H84" s="534"/>
      <c r="I84" s="534"/>
      <c r="J84" s="534"/>
      <c r="K84" s="535"/>
      <c r="L84" s="536"/>
      <c r="M84" s="537"/>
      <c r="N84" s="1150"/>
      <c r="O84" s="1150"/>
      <c r="P84" s="2630"/>
      <c r="Q84" s="499"/>
    </row>
    <row r="85" spans="1:17" ht="15.75" thickBot="1">
      <c r="A85" s="529"/>
      <c r="B85" s="538"/>
      <c r="C85" s="539">
        <v>100</v>
      </c>
      <c r="D85" s="539">
        <f>C85-$K23</f>
        <v>99</v>
      </c>
      <c r="E85" s="539">
        <f>D85-$K23</f>
        <v>98</v>
      </c>
      <c r="F85" s="539">
        <f>E85-$K23</f>
        <v>97</v>
      </c>
      <c r="G85" s="539">
        <f>F85-$K23</f>
        <v>96</v>
      </c>
      <c r="H85" s="539"/>
      <c r="I85" s="539"/>
      <c r="J85" s="539"/>
      <c r="K85" s="539"/>
      <c r="L85" s="539"/>
      <c r="M85" s="540"/>
      <c r="N85" s="1151"/>
      <c r="O85" s="1151"/>
      <c r="P85" s="2630"/>
      <c r="Q85" s="499"/>
    </row>
    <row r="86" spans="1:17" s="116" customFormat="1" ht="15.75" thickTop="1">
      <c r="A86" s="574"/>
      <c r="B86" s="533" t="s">
        <v>2612</v>
      </c>
      <c r="C86" s="2949" t="s">
        <v>3107</v>
      </c>
      <c r="D86" s="549"/>
      <c r="E86" s="549"/>
      <c r="F86" s="549"/>
      <c r="G86" s="549"/>
      <c r="H86" s="549"/>
      <c r="I86" s="549"/>
      <c r="J86" s="549"/>
      <c r="K86" s="549"/>
      <c r="L86" s="575"/>
      <c r="M86" s="576"/>
      <c r="N86" s="1149"/>
      <c r="O86" s="1149"/>
      <c r="P86" s="2630"/>
      <c r="Q86" s="499"/>
    </row>
    <row r="87" spans="1:17" s="116" customFormat="1" ht="15.75" thickBot="1">
      <c r="A87" s="574"/>
      <c r="B87" s="538"/>
      <c r="C87" s="577">
        <v>100</v>
      </c>
      <c r="D87" s="539" t="e">
        <f t="shared" ref="D87:M87" si="24">$C$87-($C$86-D86)*$K$25</f>
        <v>#VALUE!</v>
      </c>
      <c r="E87" s="539" t="e">
        <f t="shared" si="24"/>
        <v>#VALUE!</v>
      </c>
      <c r="F87" s="539" t="e">
        <f t="shared" si="24"/>
        <v>#VALUE!</v>
      </c>
      <c r="G87" s="539" t="e">
        <f t="shared" si="24"/>
        <v>#VALUE!</v>
      </c>
      <c r="H87" s="539" t="e">
        <f t="shared" si="24"/>
        <v>#VALUE!</v>
      </c>
      <c r="I87" s="539" t="e">
        <f t="shared" si="24"/>
        <v>#VALUE!</v>
      </c>
      <c r="J87" s="539" t="e">
        <f t="shared" si="24"/>
        <v>#VALUE!</v>
      </c>
      <c r="K87" s="539" t="e">
        <f t="shared" si="24"/>
        <v>#VALUE!</v>
      </c>
      <c r="L87" s="539" t="e">
        <f t="shared" si="24"/>
        <v>#VALUE!</v>
      </c>
      <c r="M87" s="539" t="e">
        <f t="shared" si="24"/>
        <v>#VALUE!</v>
      </c>
      <c r="N87" s="1151"/>
      <c r="O87" s="1151"/>
      <c r="P87" s="2630"/>
      <c r="Q87" s="499"/>
    </row>
    <row r="88" spans="1:17" s="116" customFormat="1" ht="15.75" thickTop="1">
      <c r="A88" s="574"/>
      <c r="B88" s="533" t="s">
        <v>2613</v>
      </c>
      <c r="C88" s="2949" t="s">
        <v>3109</v>
      </c>
      <c r="D88" s="549"/>
      <c r="E88" s="549"/>
      <c r="F88" s="2635"/>
      <c r="G88" s="549"/>
      <c r="H88" s="549"/>
      <c r="I88" s="549"/>
      <c r="J88" s="549"/>
      <c r="K88" s="549"/>
      <c r="L88" s="549"/>
      <c r="M88" s="576"/>
      <c r="N88" s="1149"/>
      <c r="O88" s="1149"/>
      <c r="P88" s="2630"/>
      <c r="Q88" s="499"/>
    </row>
    <row r="89" spans="1:17" s="116"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51"/>
      <c r="O89" s="1151"/>
      <c r="P89" s="2630"/>
      <c r="Q89" s="499"/>
    </row>
    <row r="90" spans="1:17" s="466" customFormat="1" ht="15.75" thickTop="1">
      <c r="A90" s="548"/>
      <c r="B90" s="533" t="str">
        <f>B27</f>
        <v>临街状态</v>
      </c>
      <c r="C90" s="2949" t="s">
        <v>3116</v>
      </c>
      <c r="D90" s="2949" t="s">
        <v>3118</v>
      </c>
      <c r="E90" s="2949" t="s">
        <v>3117</v>
      </c>
      <c r="F90" s="549"/>
      <c r="G90" s="549"/>
      <c r="H90" s="550"/>
      <c r="I90" s="550"/>
      <c r="J90" s="550"/>
      <c r="K90" s="550"/>
      <c r="L90" s="551"/>
      <c r="M90" s="552"/>
      <c r="N90" s="1152"/>
      <c r="O90" s="1152"/>
      <c r="P90" s="2631"/>
      <c r="Q90" s="554"/>
    </row>
    <row r="91" spans="1:17" s="466" customFormat="1" ht="15.75" thickBot="1">
      <c r="A91" s="548"/>
      <c r="B91" s="538"/>
      <c r="C91" s="555">
        <v>100</v>
      </c>
      <c r="D91" s="555">
        <v>102</v>
      </c>
      <c r="E91" s="555">
        <v>104</v>
      </c>
      <c r="F91" s="555"/>
      <c r="G91" s="555"/>
      <c r="H91" s="557"/>
      <c r="I91" s="557"/>
      <c r="J91" s="557"/>
      <c r="K91" s="557"/>
      <c r="L91" s="557"/>
      <c r="M91" s="558"/>
      <c r="N91" s="1152"/>
      <c r="O91" s="1152"/>
      <c r="P91" s="2631"/>
      <c r="Q91" s="554"/>
    </row>
    <row r="92" spans="1:17" ht="15.75" thickTop="1">
      <c r="A92" s="529"/>
      <c r="B92" s="533" t="str">
        <f>B28</f>
        <v>道路级别</v>
      </c>
      <c r="C92" s="2949" t="s">
        <v>3188</v>
      </c>
      <c r="D92" s="2949" t="s">
        <v>3255</v>
      </c>
      <c r="E92" s="2949" t="s">
        <v>3256</v>
      </c>
      <c r="F92" s="2949" t="s">
        <v>3323</v>
      </c>
      <c r="G92" s="578"/>
      <c r="H92" s="578"/>
      <c r="I92" s="578"/>
      <c r="J92" s="578"/>
      <c r="K92" s="579"/>
      <c r="L92" s="580"/>
      <c r="M92" s="581"/>
      <c r="N92" s="1150"/>
      <c r="O92" s="1150"/>
      <c r="P92" s="2630"/>
      <c r="Q92" s="499"/>
    </row>
    <row r="93" spans="1:17" ht="15.75" thickBot="1">
      <c r="A93" s="529"/>
      <c r="B93" s="538"/>
      <c r="C93" s="555">
        <v>94</v>
      </c>
      <c r="D93" s="531">
        <v>96</v>
      </c>
      <c r="E93" s="531">
        <v>98</v>
      </c>
      <c r="F93" s="531">
        <v>100</v>
      </c>
      <c r="G93" s="531"/>
      <c r="H93" s="531"/>
      <c r="I93" s="531"/>
      <c r="J93" s="531"/>
      <c r="K93" s="531"/>
      <c r="L93" s="531"/>
      <c r="M93" s="532"/>
      <c r="N93" s="1151"/>
      <c r="O93" s="1151"/>
      <c r="P93" s="2630"/>
      <c r="Q93" s="499"/>
    </row>
    <row r="94" spans="1:17" ht="15.75" thickTop="1">
      <c r="A94" s="529"/>
      <c r="B94" s="533">
        <f>B29</f>
        <v>111</v>
      </c>
      <c r="C94" s="549"/>
      <c r="D94" s="549"/>
      <c r="E94" s="549"/>
      <c r="F94" s="549"/>
      <c r="G94" s="578"/>
      <c r="H94" s="578"/>
      <c r="I94" s="578"/>
      <c r="J94" s="578"/>
      <c r="K94" s="579"/>
      <c r="L94" s="580"/>
      <c r="M94" s="581"/>
      <c r="N94" s="1150"/>
      <c r="O94" s="1150"/>
      <c r="P94" s="2630"/>
      <c r="Q94" s="499"/>
    </row>
    <row r="95" spans="1:17" ht="15.75" thickBot="1">
      <c r="A95" s="529"/>
      <c r="B95" s="538"/>
      <c r="C95" s="555"/>
      <c r="D95" s="555"/>
      <c r="E95" s="555"/>
      <c r="F95" s="555"/>
      <c r="G95" s="531"/>
      <c r="H95" s="531"/>
      <c r="I95" s="531"/>
      <c r="J95" s="531"/>
      <c r="K95" s="531"/>
      <c r="L95" s="531"/>
      <c r="M95" s="532"/>
      <c r="N95" s="1151"/>
      <c r="O95" s="1151"/>
      <c r="P95" s="2630"/>
      <c r="Q95" s="499"/>
    </row>
    <row r="96" spans="1:17" ht="15.75" thickTop="1">
      <c r="A96" s="529"/>
      <c r="B96" s="533">
        <f>B30</f>
        <v>111</v>
      </c>
      <c r="C96" s="549"/>
      <c r="D96" s="549"/>
      <c r="E96" s="549"/>
      <c r="F96" s="549"/>
      <c r="G96" s="578"/>
      <c r="H96" s="578"/>
      <c r="I96" s="578"/>
      <c r="J96" s="578"/>
      <c r="K96" s="579"/>
      <c r="L96" s="580"/>
      <c r="M96" s="581"/>
      <c r="N96" s="1150"/>
      <c r="O96" s="1150"/>
      <c r="P96" s="2630"/>
      <c r="Q96" s="499"/>
    </row>
    <row r="97" spans="1:17" ht="15.75" thickBot="1">
      <c r="A97" s="529"/>
      <c r="B97" s="538"/>
      <c r="C97" s="565"/>
      <c r="D97" s="565"/>
      <c r="E97" s="565"/>
      <c r="F97" s="565"/>
      <c r="G97" s="531"/>
      <c r="H97" s="531"/>
      <c r="I97" s="531"/>
      <c r="J97" s="531"/>
      <c r="K97" s="531"/>
      <c r="L97" s="531"/>
      <c r="M97" s="532"/>
      <c r="N97" s="1151"/>
      <c r="O97" s="1151"/>
      <c r="P97" s="2630"/>
      <c r="Q97" s="499"/>
    </row>
    <row r="98" spans="1:17" ht="15.75" thickTop="1">
      <c r="A98" s="529"/>
      <c r="B98" s="541">
        <f>B31</f>
        <v>111</v>
      </c>
      <c r="C98" s="582"/>
      <c r="D98" s="582"/>
      <c r="E98" s="582"/>
      <c r="F98" s="582"/>
      <c r="G98" s="582"/>
      <c r="H98" s="582"/>
      <c r="I98" s="582"/>
      <c r="J98" s="582"/>
      <c r="K98" s="583"/>
      <c r="L98" s="584"/>
      <c r="M98" s="585"/>
      <c r="N98" s="1150"/>
      <c r="O98" s="1150"/>
      <c r="P98" s="2630"/>
      <c r="Q98" s="499"/>
    </row>
    <row r="99" spans="1:17" ht="15.75" thickBot="1">
      <c r="A99" s="2636"/>
      <c r="B99" s="564"/>
      <c r="C99" s="586"/>
      <c r="D99" s="586"/>
      <c r="E99" s="586"/>
      <c r="F99" s="586"/>
      <c r="G99" s="586"/>
      <c r="H99" s="586"/>
      <c r="I99" s="586"/>
      <c r="J99" s="586"/>
      <c r="K99" s="586"/>
      <c r="L99" s="586"/>
      <c r="M99" s="587"/>
      <c r="N99" s="1151"/>
      <c r="O99" s="1151"/>
      <c r="P99" s="2630"/>
      <c r="Q99" s="499"/>
    </row>
    <row r="100" spans="1:17">
      <c r="A100" s="522" t="s">
        <v>2565</v>
      </c>
      <c r="B100" s="523" t="s">
        <v>2614</v>
      </c>
      <c r="C100" s="2944" t="s">
        <v>3110</v>
      </c>
      <c r="D100" s="2944" t="s">
        <v>3112</v>
      </c>
      <c r="E100" s="525"/>
      <c r="F100" s="525"/>
      <c r="G100" s="525"/>
      <c r="H100" s="525"/>
      <c r="I100" s="525"/>
      <c r="J100" s="525"/>
      <c r="K100" s="526"/>
      <c r="L100" s="527"/>
      <c r="M100" s="528"/>
      <c r="N100" s="1150"/>
      <c r="O100" s="1150"/>
      <c r="P100" s="2630"/>
      <c r="Q100" s="499"/>
    </row>
    <row r="101" spans="1:17" ht="15.75" thickBot="1">
      <c r="A101" s="529"/>
      <c r="B101" s="538"/>
      <c r="C101" s="539">
        <v>100</v>
      </c>
      <c r="D101" s="539">
        <f t="shared" ref="D101:M101" si="26">C101-$K32</f>
        <v>95</v>
      </c>
      <c r="E101" s="539">
        <f t="shared" si="26"/>
        <v>90</v>
      </c>
      <c r="F101" s="539">
        <f t="shared" si="26"/>
        <v>85</v>
      </c>
      <c r="G101" s="539">
        <f t="shared" si="26"/>
        <v>80</v>
      </c>
      <c r="H101" s="539">
        <f t="shared" si="26"/>
        <v>75</v>
      </c>
      <c r="I101" s="539">
        <f t="shared" si="26"/>
        <v>70</v>
      </c>
      <c r="J101" s="539">
        <f t="shared" si="26"/>
        <v>65</v>
      </c>
      <c r="K101" s="539">
        <f t="shared" si="26"/>
        <v>60</v>
      </c>
      <c r="L101" s="539">
        <f t="shared" si="26"/>
        <v>55</v>
      </c>
      <c r="M101" s="539">
        <f t="shared" si="26"/>
        <v>50</v>
      </c>
      <c r="N101" s="1151"/>
      <c r="O101" s="1151"/>
      <c r="P101" s="2630"/>
      <c r="Q101" s="499"/>
    </row>
    <row r="102" spans="1:17" ht="15.75" thickTop="1">
      <c r="A102" s="529"/>
      <c r="B102" s="533" t="s">
        <v>2615</v>
      </c>
      <c r="C102" s="573" t="str">
        <f>C103&amp;"(含)"&amp;"-"&amp;D103</f>
        <v>0(含)-100</v>
      </c>
      <c r="D102" s="573" t="str">
        <f t="shared" ref="D102:L102" si="27">D103&amp;"(含)"&amp;"-"&amp;E103</f>
        <v>100(含)-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9"/>
      <c r="O102" s="1149"/>
      <c r="P102" s="2630"/>
      <c r="Q102" s="499"/>
    </row>
    <row r="103" spans="1:17" s="466" customFormat="1">
      <c r="A103" s="588"/>
      <c r="B103" s="589"/>
      <c r="C103" s="590">
        <v>0</v>
      </c>
      <c r="D103" s="590">
        <v>100</v>
      </c>
      <c r="E103" s="590"/>
      <c r="F103" s="590"/>
      <c r="G103" s="590"/>
      <c r="H103" s="590"/>
      <c r="I103" s="590"/>
      <c r="J103" s="591"/>
      <c r="K103" s="591"/>
      <c r="L103" s="592"/>
      <c r="M103" s="593"/>
      <c r="N103" s="1152"/>
      <c r="O103" s="1152"/>
      <c r="P103" s="2631"/>
      <c r="Q103" s="554"/>
    </row>
    <row r="104" spans="1:17" s="466" customFormat="1" ht="15.75" thickBot="1">
      <c r="A104" s="548"/>
      <c r="B104" s="538"/>
      <c r="C104" s="555"/>
      <c r="D104" s="531"/>
      <c r="E104" s="531"/>
      <c r="F104" s="531"/>
      <c r="G104" s="531"/>
      <c r="H104" s="531"/>
      <c r="I104" s="531"/>
      <c r="J104" s="531"/>
      <c r="K104" s="531"/>
      <c r="L104" s="531"/>
      <c r="M104" s="531"/>
      <c r="N104" s="1151"/>
      <c r="O104" s="1151"/>
      <c r="P104" s="2631"/>
      <c r="Q104" s="554"/>
    </row>
    <row r="105" spans="1:17" ht="15" thickTop="1">
      <c r="A105" s="594"/>
      <c r="B105" s="533" t="s">
        <v>2616</v>
      </c>
      <c r="C105" s="2949" t="s">
        <v>3114</v>
      </c>
      <c r="D105" s="549"/>
      <c r="E105" s="578"/>
      <c r="F105" s="578"/>
      <c r="G105" s="578"/>
      <c r="H105" s="578"/>
      <c r="I105" s="578"/>
      <c r="J105" s="578"/>
      <c r="K105" s="579"/>
      <c r="L105" s="580"/>
      <c r="M105" s="581"/>
      <c r="N105" s="1150"/>
      <c r="O105" s="1150"/>
      <c r="P105" s="2630"/>
      <c r="Q105" s="499"/>
    </row>
    <row r="106" spans="1:17" ht="15.75" thickBot="1">
      <c r="A106" s="529"/>
      <c r="B106" s="538"/>
      <c r="C106" s="539">
        <v>100</v>
      </c>
      <c r="D106" s="539">
        <f t="shared" ref="D106:M106" si="28">C106-$K34</f>
        <v>100</v>
      </c>
      <c r="E106" s="539">
        <f t="shared" si="28"/>
        <v>100</v>
      </c>
      <c r="F106" s="539">
        <f t="shared" si="28"/>
        <v>100</v>
      </c>
      <c r="G106" s="539">
        <f t="shared" si="28"/>
        <v>100</v>
      </c>
      <c r="H106" s="539">
        <f t="shared" si="28"/>
        <v>100</v>
      </c>
      <c r="I106" s="539">
        <f t="shared" si="28"/>
        <v>100</v>
      </c>
      <c r="J106" s="539">
        <f t="shared" si="28"/>
        <v>100</v>
      </c>
      <c r="K106" s="539">
        <f t="shared" si="28"/>
        <v>100</v>
      </c>
      <c r="L106" s="539">
        <f t="shared" si="28"/>
        <v>100</v>
      </c>
      <c r="M106" s="539">
        <f t="shared" si="28"/>
        <v>100</v>
      </c>
      <c r="N106" s="1151"/>
      <c r="O106" s="1151"/>
      <c r="P106" s="2630"/>
      <c r="Q106" s="499"/>
    </row>
    <row r="107" spans="1:17" ht="15" thickTop="1">
      <c r="A107" s="594"/>
      <c r="B107" s="533" t="s">
        <v>2617</v>
      </c>
      <c r="C107" s="578"/>
      <c r="D107" s="578"/>
      <c r="E107" s="578"/>
      <c r="F107" s="578"/>
      <c r="G107" s="578"/>
      <c r="H107" s="578"/>
      <c r="I107" s="578"/>
      <c r="J107" s="578"/>
      <c r="K107" s="579"/>
      <c r="L107" s="580"/>
      <c r="M107" s="581"/>
      <c r="N107" s="1150"/>
      <c r="O107" s="1150"/>
      <c r="P107" s="2630"/>
      <c r="Q107" s="499"/>
    </row>
    <row r="108" spans="1:17" ht="15.75" thickBot="1">
      <c r="A108" s="529"/>
      <c r="B108" s="538"/>
      <c r="C108" s="539">
        <v>100</v>
      </c>
      <c r="D108" s="539">
        <f t="shared" ref="D108:M108" si="29">C108-$K35</f>
        <v>100</v>
      </c>
      <c r="E108" s="539">
        <f t="shared" si="29"/>
        <v>100</v>
      </c>
      <c r="F108" s="539">
        <f t="shared" si="29"/>
        <v>100</v>
      </c>
      <c r="G108" s="539">
        <f t="shared" si="29"/>
        <v>100</v>
      </c>
      <c r="H108" s="539">
        <f t="shared" si="29"/>
        <v>100</v>
      </c>
      <c r="I108" s="539">
        <f t="shared" si="29"/>
        <v>100</v>
      </c>
      <c r="J108" s="539">
        <f t="shared" si="29"/>
        <v>100</v>
      </c>
      <c r="K108" s="539">
        <f t="shared" si="29"/>
        <v>100</v>
      </c>
      <c r="L108" s="539">
        <f t="shared" si="29"/>
        <v>100</v>
      </c>
      <c r="M108" s="539">
        <f t="shared" si="29"/>
        <v>100</v>
      </c>
      <c r="N108" s="1151"/>
      <c r="O108" s="1151"/>
      <c r="P108" s="2630"/>
      <c r="Q108" s="499"/>
    </row>
    <row r="109" spans="1:17" ht="15" thickTop="1">
      <c r="A109" s="594"/>
      <c r="B109" s="533" t="s">
        <v>2618</v>
      </c>
      <c r="C109" s="549"/>
      <c r="D109" s="549"/>
      <c r="E109" s="549"/>
      <c r="F109" s="578"/>
      <c r="G109" s="578"/>
      <c r="H109" s="578"/>
      <c r="I109" s="578"/>
      <c r="J109" s="578"/>
      <c r="K109" s="579"/>
      <c r="L109" s="580"/>
      <c r="M109" s="581"/>
      <c r="N109" s="1150"/>
      <c r="O109" s="1150"/>
      <c r="P109" s="2630"/>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51"/>
      <c r="O110" s="1151"/>
      <c r="P110" s="2630"/>
      <c r="Q110" s="499"/>
    </row>
    <row r="111" spans="1:17" s="466" customFormat="1" ht="15" thickTop="1">
      <c r="A111" s="588"/>
      <c r="B111" s="533" t="s">
        <v>1999</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2"/>
      <c r="O111" s="1152"/>
      <c r="P111" s="2631"/>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2"/>
      <c r="O112" s="1152"/>
      <c r="P112" s="2631"/>
      <c r="Q112" s="554"/>
    </row>
    <row r="113" spans="1:17" s="466" customFormat="1" ht="15.75" thickBot="1">
      <c r="A113" s="548"/>
      <c r="B113" s="538"/>
      <c r="C113" s="577">
        <v>100</v>
      </c>
      <c r="D113" s="539">
        <f>C113+$K37</f>
        <v>100</v>
      </c>
      <c r="E113" s="539">
        <f>D113+$K37</f>
        <v>100</v>
      </c>
      <c r="F113" s="539">
        <f>E113+$K37</f>
        <v>100</v>
      </c>
      <c r="G113" s="539">
        <f>F113+$K37</f>
        <v>100</v>
      </c>
      <c r="H113" s="539">
        <f>G113+$K37</f>
        <v>100</v>
      </c>
      <c r="I113" s="577"/>
      <c r="J113" s="602"/>
      <c r="K113" s="602"/>
      <c r="L113" s="602"/>
      <c r="M113" s="603"/>
      <c r="N113" s="1152"/>
      <c r="O113" s="1152"/>
      <c r="P113" s="2631"/>
      <c r="Q113" s="554"/>
    </row>
    <row r="114" spans="1:17" ht="27.75" thickTop="1">
      <c r="A114" s="594"/>
      <c r="B114" s="533" t="s">
        <v>2619</v>
      </c>
      <c r="C114" s="2949" t="s">
        <v>3123</v>
      </c>
      <c r="D114" s="549"/>
      <c r="E114" s="578"/>
      <c r="F114" s="578"/>
      <c r="G114" s="578"/>
      <c r="H114" s="578"/>
      <c r="I114" s="578"/>
      <c r="J114" s="578"/>
      <c r="K114" s="579"/>
      <c r="L114" s="580"/>
      <c r="M114" s="581"/>
      <c r="N114" s="1150"/>
      <c r="O114" s="1150"/>
      <c r="P114" s="2630"/>
      <c r="Q114" s="499"/>
    </row>
    <row r="115" spans="1:17" ht="15.75" thickBot="1">
      <c r="A115" s="529"/>
      <c r="B115" s="538"/>
      <c r="C115" s="539">
        <v>100</v>
      </c>
      <c r="D115" s="539">
        <f t="shared" ref="D115:M115" si="31">C115-$K38</f>
        <v>100</v>
      </c>
      <c r="E115" s="539">
        <f t="shared" si="31"/>
        <v>100</v>
      </c>
      <c r="F115" s="539">
        <f t="shared" si="31"/>
        <v>100</v>
      </c>
      <c r="G115" s="539">
        <f t="shared" si="31"/>
        <v>100</v>
      </c>
      <c r="H115" s="539">
        <f t="shared" si="31"/>
        <v>100</v>
      </c>
      <c r="I115" s="539">
        <f t="shared" si="31"/>
        <v>100</v>
      </c>
      <c r="J115" s="539">
        <f t="shared" si="31"/>
        <v>100</v>
      </c>
      <c r="K115" s="539">
        <f t="shared" si="31"/>
        <v>100</v>
      </c>
      <c r="L115" s="539">
        <f t="shared" si="31"/>
        <v>100</v>
      </c>
      <c r="M115" s="539">
        <f t="shared" si="31"/>
        <v>100</v>
      </c>
      <c r="N115" s="1151"/>
      <c r="O115" s="1151"/>
      <c r="P115" s="2630"/>
      <c r="Q115" s="499"/>
    </row>
    <row r="116" spans="1:17" ht="15" thickTop="1">
      <c r="A116" s="594"/>
      <c r="B116" s="533" t="s">
        <v>2620</v>
      </c>
      <c r="C116" s="2949" t="s">
        <v>3124</v>
      </c>
      <c r="D116" s="2949" t="s">
        <v>3125</v>
      </c>
      <c r="E116" s="2949" t="s">
        <v>3126</v>
      </c>
      <c r="F116" s="2949" t="s">
        <v>3127</v>
      </c>
      <c r="G116" s="2949" t="s">
        <v>3128</v>
      </c>
      <c r="H116" s="578"/>
      <c r="I116" s="578"/>
      <c r="J116" s="578"/>
      <c r="K116" s="579"/>
      <c r="L116" s="580"/>
      <c r="M116" s="581"/>
      <c r="N116" s="1150"/>
      <c r="O116" s="1150"/>
      <c r="P116" s="2630"/>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51"/>
      <c r="O117" s="1151"/>
      <c r="P117" s="2630"/>
      <c r="Q117" s="499"/>
    </row>
    <row r="118" spans="1:17" ht="15" thickTop="1">
      <c r="A118" s="594"/>
      <c r="B118" s="533" t="s">
        <v>2621</v>
      </c>
      <c r="C118" s="2950" t="s">
        <v>3130</v>
      </c>
      <c r="D118" s="578"/>
      <c r="E118" s="578"/>
      <c r="F118" s="578"/>
      <c r="G118" s="578"/>
      <c r="H118" s="578"/>
      <c r="I118" s="578"/>
      <c r="J118" s="578"/>
      <c r="K118" s="579"/>
      <c r="L118" s="580"/>
      <c r="M118" s="581"/>
      <c r="N118" s="1150"/>
      <c r="O118" s="1150"/>
      <c r="P118" s="2630"/>
      <c r="Q118" s="499"/>
    </row>
    <row r="119" spans="1:17" ht="15.7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51"/>
      <c r="O119" s="1151"/>
      <c r="P119" s="2630"/>
      <c r="Q119" s="499"/>
    </row>
    <row r="120" spans="1:17" s="466" customFormat="1" ht="28.5" thickTop="1">
      <c r="A120" s="588"/>
      <c r="B120" s="533" t="s">
        <v>2576</v>
      </c>
      <c r="C120" s="549"/>
      <c r="D120" s="549"/>
      <c r="E120" s="549"/>
      <c r="F120" s="549"/>
      <c r="G120" s="549"/>
      <c r="H120" s="549"/>
      <c r="I120" s="549"/>
      <c r="J120" s="549"/>
      <c r="K120" s="549"/>
      <c r="L120" s="575"/>
      <c r="M120" s="576"/>
      <c r="N120" s="1152"/>
      <c r="O120" s="1152"/>
      <c r="P120" s="2631"/>
      <c r="Q120" s="554"/>
    </row>
    <row r="121" spans="1:17" s="466" customFormat="1" ht="15.75" thickBot="1">
      <c r="A121" s="548"/>
      <c r="B121" s="530"/>
      <c r="C121" s="555"/>
      <c r="D121" s="531"/>
      <c r="E121" s="531"/>
      <c r="F121" s="531"/>
      <c r="G121" s="531"/>
      <c r="H121" s="531"/>
      <c r="I121" s="531"/>
      <c r="J121" s="531"/>
      <c r="K121" s="531"/>
      <c r="L121" s="531"/>
      <c r="M121" s="531"/>
      <c r="N121" s="1152"/>
      <c r="O121" s="1152"/>
      <c r="P121" s="2631"/>
      <c r="Q121" s="554"/>
    </row>
    <row r="122" spans="1:17" ht="15" thickTop="1">
      <c r="A122" s="594"/>
      <c r="B122" s="533" t="s">
        <v>2622</v>
      </c>
      <c r="C122" s="2949" t="s">
        <v>3132</v>
      </c>
      <c r="D122" s="549"/>
      <c r="E122" s="549"/>
      <c r="F122" s="578"/>
      <c r="G122" s="578"/>
      <c r="H122" s="578"/>
      <c r="I122" s="578"/>
      <c r="J122" s="578"/>
      <c r="K122" s="579"/>
      <c r="L122" s="580"/>
      <c r="M122" s="581"/>
      <c r="N122" s="1150"/>
      <c r="O122" s="1150"/>
      <c r="P122" s="2630"/>
      <c r="Q122" s="499"/>
    </row>
    <row r="123" spans="1:17" ht="15.75" thickBot="1">
      <c r="A123" s="529"/>
      <c r="B123" s="538"/>
      <c r="C123" s="539">
        <v>100</v>
      </c>
      <c r="D123" s="539">
        <f t="shared" ref="D123:M123" si="33">C123-$K42</f>
        <v>100</v>
      </c>
      <c r="E123" s="539">
        <f t="shared" si="33"/>
        <v>100</v>
      </c>
      <c r="F123" s="539">
        <f t="shared" si="33"/>
        <v>100</v>
      </c>
      <c r="G123" s="539">
        <f t="shared" si="33"/>
        <v>100</v>
      </c>
      <c r="H123" s="539">
        <f t="shared" si="33"/>
        <v>100</v>
      </c>
      <c r="I123" s="539">
        <f t="shared" si="33"/>
        <v>100</v>
      </c>
      <c r="J123" s="539">
        <f t="shared" si="33"/>
        <v>100</v>
      </c>
      <c r="K123" s="539">
        <f t="shared" si="33"/>
        <v>100</v>
      </c>
      <c r="L123" s="539">
        <f t="shared" si="33"/>
        <v>100</v>
      </c>
      <c r="M123" s="539">
        <f t="shared" si="33"/>
        <v>100</v>
      </c>
      <c r="N123" s="1151"/>
      <c r="O123" s="1151"/>
      <c r="P123" s="2630"/>
      <c r="Q123" s="499"/>
    </row>
    <row r="124" spans="1:17" ht="15" thickTop="1">
      <c r="A124" s="594"/>
      <c r="B124" s="533" t="s">
        <v>2623</v>
      </c>
      <c r="C124" s="573" t="s">
        <v>2599</v>
      </c>
      <c r="D124" s="573" t="s">
        <v>2600</v>
      </c>
      <c r="E124" s="573" t="s">
        <v>2601</v>
      </c>
      <c r="F124" s="573" t="s">
        <v>2602</v>
      </c>
      <c r="G124" s="573" t="s">
        <v>2603</v>
      </c>
      <c r="H124" s="534"/>
      <c r="I124" s="534"/>
      <c r="J124" s="534"/>
      <c r="K124" s="535"/>
      <c r="L124" s="536"/>
      <c r="M124" s="537"/>
      <c r="N124" s="1150"/>
      <c r="O124" s="1150"/>
      <c r="P124" s="2631"/>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51"/>
      <c r="O125" s="1151"/>
      <c r="P125" s="2630"/>
      <c r="Q125" s="499"/>
    </row>
    <row r="126" spans="1:17" s="466" customFormat="1" ht="15" thickTop="1">
      <c r="A126" s="588"/>
      <c r="B126" s="533" t="str">
        <f>B44</f>
        <v>设施设备情况</v>
      </c>
      <c r="C126" s="549"/>
      <c r="D126" s="549"/>
      <c r="E126" s="549"/>
      <c r="F126" s="549"/>
      <c r="G126" s="549"/>
      <c r="H126" s="550"/>
      <c r="I126" s="550"/>
      <c r="J126" s="550"/>
      <c r="K126" s="550"/>
      <c r="L126" s="551"/>
      <c r="M126" s="552"/>
      <c r="N126" s="1152"/>
      <c r="O126" s="1152"/>
      <c r="P126" s="2631"/>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31"/>
      <c r="Q127" s="554"/>
    </row>
    <row r="128" spans="1:17" ht="15" thickTop="1">
      <c r="A128" s="594"/>
      <c r="B128" s="533" t="str">
        <f>B45</f>
        <v>建筑密度</v>
      </c>
      <c r="C128" s="549" t="s">
        <v>3251</v>
      </c>
      <c r="D128" s="549" t="s">
        <v>3252</v>
      </c>
      <c r="E128" s="549"/>
      <c r="F128" s="549"/>
      <c r="G128" s="578"/>
      <c r="H128" s="578"/>
      <c r="I128" s="578"/>
      <c r="J128" s="578"/>
      <c r="K128" s="579"/>
      <c r="L128" s="580"/>
      <c r="M128" s="581"/>
      <c r="N128" s="1150"/>
      <c r="O128" s="1150"/>
      <c r="P128" s="2630"/>
      <c r="Q128" s="499"/>
    </row>
    <row r="129" spans="1:17" ht="15.75" thickBot="1">
      <c r="A129" s="529"/>
      <c r="B129" s="538"/>
      <c r="C129" s="555">
        <v>100</v>
      </c>
      <c r="D129" s="555">
        <v>99</v>
      </c>
      <c r="E129" s="555"/>
      <c r="F129" s="555"/>
      <c r="G129" s="531"/>
      <c r="H129" s="531"/>
      <c r="I129" s="531"/>
      <c r="J129" s="531"/>
      <c r="K129" s="531"/>
      <c r="L129" s="531"/>
      <c r="M129" s="532"/>
      <c r="N129" s="1151"/>
      <c r="O129" s="1151"/>
      <c r="P129" s="2630"/>
      <c r="Q129" s="499"/>
    </row>
    <row r="130" spans="1:17" ht="15" thickTop="1">
      <c r="A130" s="594"/>
      <c r="B130" s="541">
        <f>B46</f>
        <v>111</v>
      </c>
      <c r="C130" s="549"/>
      <c r="D130" s="549"/>
      <c r="E130" s="549"/>
      <c r="F130" s="549"/>
      <c r="G130" s="582"/>
      <c r="H130" s="582"/>
      <c r="I130" s="582"/>
      <c r="J130" s="582"/>
      <c r="K130" s="518"/>
      <c r="L130" s="519"/>
      <c r="M130" s="585"/>
      <c r="N130" s="1150"/>
      <c r="O130" s="1150"/>
      <c r="P130" s="2630"/>
      <c r="Q130" s="499"/>
    </row>
    <row r="131" spans="1:17" ht="15.75" thickBot="1">
      <c r="A131" s="2636"/>
      <c r="B131" s="564"/>
      <c r="C131" s="565"/>
      <c r="D131" s="565"/>
      <c r="E131" s="565"/>
      <c r="F131" s="565"/>
      <c r="G131" s="586"/>
      <c r="H131" s="586"/>
      <c r="I131" s="586"/>
      <c r="J131" s="586"/>
      <c r="K131" s="586"/>
      <c r="L131" s="586"/>
      <c r="M131" s="587"/>
      <c r="N131" s="1151"/>
      <c r="O131" s="1151"/>
      <c r="P131" s="2630"/>
      <c r="Q131" s="499"/>
    </row>
    <row r="136" spans="1:17" ht="15" thickBot="1">
      <c r="B136" s="2637" t="s">
        <v>2624</v>
      </c>
    </row>
    <row r="137" spans="1:17" ht="15">
      <c r="B137" s="2638" t="s">
        <v>2625</v>
      </c>
      <c r="C137" s="2639"/>
      <c r="D137" s="2639"/>
      <c r="E137" s="2639"/>
      <c r="F137" s="2639"/>
      <c r="G137" s="2640"/>
      <c r="H137" s="2641"/>
      <c r="I137" s="2642" t="s">
        <v>2626</v>
      </c>
      <c r="J137" s="2639"/>
      <c r="K137" s="2643"/>
    </row>
    <row r="138" spans="1:17" ht="15">
      <c r="B138" s="2644"/>
      <c r="C138" s="143" t="s">
        <v>2627</v>
      </c>
      <c r="D138" s="143" t="s">
        <v>2628</v>
      </c>
      <c r="E138" s="2645" t="s">
        <v>2629</v>
      </c>
      <c r="F138" s="2646" t="s">
        <v>2630</v>
      </c>
      <c r="G138" s="143" t="s">
        <v>2628</v>
      </c>
      <c r="H138" s="144" t="s">
        <v>2629</v>
      </c>
      <c r="I138" s="2647"/>
      <c r="J138" s="143" t="s">
        <v>2631</v>
      </c>
      <c r="K138" s="144" t="s">
        <v>2632</v>
      </c>
    </row>
    <row r="139" spans="1:17" ht="15">
      <c r="B139" s="1082">
        <v>6</v>
      </c>
      <c r="C139" s="1083">
        <v>96</v>
      </c>
      <c r="D139" s="2648" t="s">
        <v>2633</v>
      </c>
      <c r="E139" s="1084">
        <v>100</v>
      </c>
      <c r="F139" s="1085">
        <v>102.5</v>
      </c>
      <c r="G139" s="2648" t="s">
        <v>2633</v>
      </c>
      <c r="H139" s="1086">
        <v>105</v>
      </c>
      <c r="I139" s="2649" t="s">
        <v>2634</v>
      </c>
      <c r="J139" s="1083">
        <v>20</v>
      </c>
      <c r="K139" s="1087">
        <f>C145/(J139-2)</f>
        <v>4.0555555555555553E-3</v>
      </c>
    </row>
    <row r="140" spans="1:17" ht="15">
      <c r="B140" s="1088">
        <v>5</v>
      </c>
      <c r="C140" s="1089">
        <v>100</v>
      </c>
      <c r="D140" s="1089"/>
      <c r="E140" s="1090"/>
      <c r="F140" s="1091">
        <v>102</v>
      </c>
      <c r="G140" s="1089"/>
      <c r="H140" s="1092"/>
      <c r="I140" s="2650" t="s">
        <v>2635</v>
      </c>
      <c r="J140" s="312">
        <f>ROUNDUP((J139-1)/2,0)</f>
        <v>10</v>
      </c>
      <c r="K140" s="1093">
        <v>100</v>
      </c>
    </row>
    <row r="141" spans="1:17" ht="15">
      <c r="B141" s="1088">
        <v>4</v>
      </c>
      <c r="C141" s="1089">
        <v>102</v>
      </c>
      <c r="D141" s="1089"/>
      <c r="E141" s="1090"/>
      <c r="F141" s="1091">
        <v>101.5</v>
      </c>
      <c r="G141" s="1089"/>
      <c r="H141" s="1092"/>
      <c r="I141" s="2650" t="s">
        <v>2636</v>
      </c>
      <c r="J141" s="312">
        <v>1</v>
      </c>
      <c r="K141" s="1094">
        <f>ROUND(100+(J141-J140)*K139*100,1)</f>
        <v>96.4</v>
      </c>
    </row>
    <row r="142" spans="1:17" ht="15">
      <c r="B142" s="1088">
        <v>3</v>
      </c>
      <c r="C142" s="1089">
        <v>103</v>
      </c>
      <c r="D142" s="1089"/>
      <c r="E142" s="1090"/>
      <c r="F142" s="1091">
        <v>101</v>
      </c>
      <c r="G142" s="1089"/>
      <c r="H142" s="1092"/>
      <c r="I142" s="2650" t="s">
        <v>2637</v>
      </c>
      <c r="J142" s="312">
        <f>J139</f>
        <v>20</v>
      </c>
      <c r="K142" s="1095">
        <v>95</v>
      </c>
    </row>
    <row r="143" spans="1:17" ht="15">
      <c r="B143" s="1088">
        <v>2</v>
      </c>
      <c r="C143" s="1089">
        <v>100</v>
      </c>
      <c r="D143" s="1089"/>
      <c r="E143" s="1090"/>
      <c r="F143" s="1091">
        <v>100.5</v>
      </c>
      <c r="G143" s="1089"/>
      <c r="H143" s="1092"/>
      <c r="I143" s="2650" t="s">
        <v>2638</v>
      </c>
      <c r="J143" s="1089">
        <v>15</v>
      </c>
      <c r="K143" s="1094">
        <f>ROUND(100+(J143-J140)*K139*100,1)</f>
        <v>102</v>
      </c>
    </row>
    <row r="144" spans="1:17" ht="15">
      <c r="B144" s="1088">
        <v>1</v>
      </c>
      <c r="C144" s="1089">
        <v>98</v>
      </c>
      <c r="D144" s="2651" t="s">
        <v>2639</v>
      </c>
      <c r="E144" s="1090">
        <v>102</v>
      </c>
      <c r="F144" s="1096">
        <v>100</v>
      </c>
      <c r="G144" s="2651" t="s">
        <v>2639</v>
      </c>
      <c r="H144" s="1092">
        <v>105</v>
      </c>
      <c r="I144" s="2650" t="s">
        <v>2638</v>
      </c>
      <c r="J144" s="1089">
        <v>18</v>
      </c>
      <c r="K144" s="1094">
        <f>ROUND(100+(J144-J140)*K139*100,1)</f>
        <v>103.2</v>
      </c>
    </row>
    <row r="145" spans="2:11" ht="15.75" thickBot="1">
      <c r="B145" s="2652" t="s">
        <v>2640</v>
      </c>
      <c r="C145" s="1097">
        <f>ROUND(MAX(C139:C144)/MIN(C139:C144)-1,3)</f>
        <v>7.2999999999999995E-2</v>
      </c>
      <c r="D145" s="1098"/>
      <c r="E145" s="1098"/>
      <c r="F145" s="2653" t="s">
        <v>2641</v>
      </c>
      <c r="G145" s="2654"/>
      <c r="H145" s="2655"/>
      <c r="I145" s="2656" t="s">
        <v>2638</v>
      </c>
      <c r="J145" s="1099">
        <v>8</v>
      </c>
      <c r="K145" s="1100">
        <f>ROUND(100+(J145-J140)*K139*100,1)</f>
        <v>99.2</v>
      </c>
    </row>
    <row r="147" spans="2:11">
      <c r="B147" s="2637" t="s">
        <v>2642</v>
      </c>
    </row>
    <row r="148" spans="2:11">
      <c r="B148" s="2637" t="s">
        <v>2643</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123" t="str">
        <f>项目基本情况!B1</f>
        <v>北京市房地产市场价值预评估</v>
      </c>
      <c r="C37" s="3123"/>
      <c r="D37" s="3123"/>
      <c r="E37" s="3123"/>
      <c r="F37" s="3123"/>
      <c r="G37" s="3123"/>
      <c r="H37" s="3123"/>
      <c r="I37" s="3123"/>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叶凌（注册号：1119970111)、陈颖（注册号：0)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2" sqref="B32"/>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2329</v>
      </c>
      <c r="B1" s="1934" t="s">
        <v>3378</v>
      </c>
      <c r="C1" s="239"/>
      <c r="D1" s="239"/>
      <c r="E1" s="239"/>
      <c r="F1" s="239"/>
      <c r="G1" s="1377">
        <f>MATCH(B1,'数据-取费表'!A6:A16,0)+5</f>
        <v>6</v>
      </c>
    </row>
    <row r="2" spans="1:9" s="241" customFormat="1" ht="18" customHeight="1">
      <c r="A2" s="242" t="s">
        <v>2330</v>
      </c>
      <c r="B2" s="243">
        <f ca="1">IF(D2="——",C52,C52-E2)</f>
        <v>7285</v>
      </c>
      <c r="C2" s="240" t="s">
        <v>2331</v>
      </c>
      <c r="D2" s="2547" t="s">
        <v>70</v>
      </c>
      <c r="E2" s="1437" t="e">
        <f ca="1">SUMIF(INDIRECT("'"&amp;G2&amp;"'"&amp;"!A:A"),"承租人权益价值",INDIRECT("'"&amp;G2&amp;"'"&amp;"!c:c"))</f>
        <v>#REF!</v>
      </c>
      <c r="F2" s="2548" t="s">
        <v>2331</v>
      </c>
      <c r="G2" s="2549"/>
    </row>
    <row r="3" spans="1:9" s="241" customFormat="1" ht="18" customHeight="1" thickBot="1">
      <c r="A3" s="244" t="s">
        <v>2332</v>
      </c>
      <c r="B3" s="245">
        <f ca="1">ROUND(B2*10000/(IF(B1="",'数据-汇总表'!E3,INDIRECT("'数据-取费表'!k"&amp;$G$1))),0)</f>
        <v>72850000</v>
      </c>
      <c r="C3" s="240" t="s">
        <v>2333</v>
      </c>
      <c r="D3" s="240"/>
      <c r="E3" s="240"/>
      <c r="F3" s="240"/>
      <c r="G3" s="240"/>
    </row>
    <row r="4" spans="1:9" s="249" customFormat="1" ht="15.75">
      <c r="A4" s="246" t="s">
        <v>2334</v>
      </c>
      <c r="B4" s="247"/>
      <c r="C4" s="247"/>
      <c r="D4" s="247"/>
      <c r="E4" s="247"/>
      <c r="F4" s="247"/>
      <c r="G4" s="248"/>
    </row>
    <row r="5" spans="1:9" s="255" customFormat="1" ht="13.5" customHeight="1">
      <c r="A5" s="296" t="s">
        <v>2335</v>
      </c>
      <c r="B5" s="251" t="s">
        <v>2336</v>
      </c>
      <c r="C5" s="252">
        <f>C6+C7+C8</f>
        <v>0</v>
      </c>
      <c r="D5" s="252" t="s">
        <v>2337</v>
      </c>
      <c r="E5" s="253" t="s">
        <v>2338</v>
      </c>
      <c r="F5" s="253" t="s">
        <v>2339</v>
      </c>
      <c r="G5" s="254"/>
    </row>
    <row r="6" spans="1:9" s="255" customFormat="1" ht="13.5" customHeight="1">
      <c r="A6" s="947" t="s">
        <v>2340</v>
      </c>
      <c r="B6" s="256" t="s">
        <v>2341</v>
      </c>
      <c r="C6" s="257"/>
      <c r="D6" s="258"/>
      <c r="E6" s="259"/>
      <c r="F6" s="259"/>
      <c r="G6" s="260"/>
    </row>
    <row r="7" spans="1:9" s="255" customFormat="1" ht="13.5" customHeight="1">
      <c r="A7" s="947" t="s">
        <v>2342</v>
      </c>
      <c r="B7" s="256" t="s">
        <v>2343</v>
      </c>
      <c r="C7" s="261">
        <f>ROUND(C6*F7,0)</f>
        <v>0</v>
      </c>
      <c r="D7" s="261"/>
      <c r="E7" s="259"/>
      <c r="F7" s="262">
        <f>'数据-取费表'!B48+'数据-取费表'!B49</f>
        <v>3.0499999999999999E-2</v>
      </c>
      <c r="G7" s="260"/>
    </row>
    <row r="8" spans="1:9" s="264" customFormat="1">
      <c r="A8" s="947" t="s">
        <v>2344</v>
      </c>
      <c r="B8" s="256" t="s">
        <v>2345</v>
      </c>
      <c r="C8" s="261">
        <f>IF(G8="已包含在土地购买价格中","0",IF(B1="",'数据-取费表'!B29,IF(G9="全部缴纳",C9+C10,H9)))</f>
        <v>0</v>
      </c>
      <c r="D8" s="263"/>
      <c r="E8" s="261"/>
      <c r="F8" s="262"/>
      <c r="G8" s="2550"/>
    </row>
    <row r="9" spans="1:9" s="255" customFormat="1" ht="13.5" customHeight="1">
      <c r="A9" s="948" t="s">
        <v>800</v>
      </c>
      <c r="B9" s="265" t="s">
        <v>2346</v>
      </c>
      <c r="C9" s="266">
        <f ca="1">ROUND(D9*E9/10000,0)</f>
        <v>0</v>
      </c>
      <c r="D9" s="1030">
        <f ca="1">IF(B1="",'数据-汇总表'!E5,IF(INDIRECT("'数据-取费表'!c"&amp;$G$1)="住宅",INDIRECT("'数据-取费表'!k"&amp;$G$1),0))</f>
        <v>1</v>
      </c>
      <c r="E9" s="266">
        <f>'数据-取费表'!B27</f>
        <v>160</v>
      </c>
      <c r="F9" s="262"/>
      <c r="G9" s="2551"/>
      <c r="H9" s="1387"/>
      <c r="I9" s="2552" t="s">
        <v>2347</v>
      </c>
    </row>
    <row r="10" spans="1:9" s="255" customFormat="1" ht="13.5" customHeight="1">
      <c r="A10" s="948" t="s">
        <v>801</v>
      </c>
      <c r="B10" s="265" t="s">
        <v>2348</v>
      </c>
      <c r="C10" s="266">
        <f ca="1">ROUND(D10*E10/10000,0)</f>
        <v>0</v>
      </c>
      <c r="D10" s="1030">
        <f ca="1">IF(B1="",'数据-汇总表'!E6,IF(INDIRECT("'数据-取费表'!c"&amp;$G$1)="住宅",INDIRECT("'数据-取费表'!s"&amp;$G$1),INDIRECT("'数据-取费表'!k"&amp;$G$1)+INDIRECT("'数据-取费表'!s"&amp;$G$1)))</f>
        <v>0</v>
      </c>
      <c r="E10" s="266">
        <f>'数据-取费表'!B28</f>
        <v>0</v>
      </c>
      <c r="F10" s="262"/>
      <c r="G10" s="267"/>
    </row>
    <row r="11" spans="1:9" s="255" customFormat="1" ht="13.5" hidden="1" customHeight="1">
      <c r="A11" s="268" t="s">
        <v>7</v>
      </c>
      <c r="B11" s="256" t="s">
        <v>2349</v>
      </c>
      <c r="C11" s="252"/>
      <c r="D11" s="1032"/>
      <c r="E11" s="259"/>
      <c r="F11" s="259"/>
      <c r="G11" s="260"/>
    </row>
    <row r="12" spans="1:9" s="255" customFormat="1" ht="13.5" hidden="1" customHeight="1">
      <c r="A12" s="268" t="s">
        <v>8</v>
      </c>
      <c r="B12" s="256" t="s">
        <v>2350</v>
      </c>
      <c r="C12" s="252">
        <v>0</v>
      </c>
      <c r="D12" s="1032"/>
      <c r="E12" s="269"/>
      <c r="F12" s="262">
        <v>3.0499999999999999E-2</v>
      </c>
      <c r="G12" s="260"/>
    </row>
    <row r="13" spans="1:9" s="255" customFormat="1" ht="13.5" hidden="1" customHeight="1">
      <c r="A13" s="268" t="s">
        <v>9</v>
      </c>
      <c r="B13" s="256" t="s">
        <v>2351</v>
      </c>
      <c r="C13" s="252"/>
      <c r="D13" s="1032"/>
      <c r="E13" s="259"/>
      <c r="F13" s="259"/>
      <c r="G13" s="260"/>
    </row>
    <row r="14" spans="1:9" s="255" customFormat="1" ht="13.5" hidden="1" customHeight="1">
      <c r="A14" s="268" t="s">
        <v>10</v>
      </c>
      <c r="B14" s="256" t="s">
        <v>2352</v>
      </c>
      <c r="C14" s="252"/>
      <c r="D14" s="1032"/>
      <c r="E14" s="259"/>
      <c r="F14" s="259"/>
      <c r="G14" s="260" t="s">
        <v>2353</v>
      </c>
    </row>
    <row r="15" spans="1:9" s="255" customFormat="1" ht="13.5" hidden="1" customHeight="1">
      <c r="A15" s="268" t="s">
        <v>11</v>
      </c>
      <c r="B15" s="256" t="s">
        <v>2354</v>
      </c>
      <c r="C15" s="261"/>
      <c r="D15" s="1032"/>
      <c r="E15" s="259"/>
      <c r="F15" s="259"/>
      <c r="G15" s="260" t="s">
        <v>2355</v>
      </c>
    </row>
    <row r="16" spans="1:9" s="255" customFormat="1" ht="13.5" hidden="1" customHeight="1">
      <c r="A16" s="268" t="s">
        <v>12</v>
      </c>
      <c r="B16" s="256" t="s">
        <v>2352</v>
      </c>
      <c r="C16" s="261"/>
      <c r="D16" s="1032"/>
      <c r="E16" s="259"/>
      <c r="F16" s="259"/>
      <c r="G16" s="260"/>
    </row>
    <row r="17" spans="1:7" s="255" customFormat="1" ht="13.5" hidden="1" customHeight="1">
      <c r="A17" s="268" t="s">
        <v>13</v>
      </c>
      <c r="B17" s="256" t="s">
        <v>2356</v>
      </c>
      <c r="C17" s="270"/>
      <c r="D17" s="1033"/>
      <c r="E17" s="270"/>
      <c r="F17" s="270"/>
      <c r="G17" s="260" t="s">
        <v>2355</v>
      </c>
    </row>
    <row r="18" spans="1:7" s="255" customFormat="1" ht="13.5" hidden="1" customHeight="1">
      <c r="A18" s="268" t="s">
        <v>14</v>
      </c>
      <c r="B18" s="256" t="s">
        <v>2357</v>
      </c>
      <c r="C18" s="261">
        <v>0</v>
      </c>
      <c r="D18" s="1032"/>
      <c r="E18" s="259"/>
      <c r="F18" s="262">
        <v>3.0499999999999999E-2</v>
      </c>
      <c r="G18" s="260" t="s">
        <v>2358</v>
      </c>
    </row>
    <row r="19" spans="1:7" s="264" customFormat="1" ht="13.5" customHeight="1">
      <c r="A19" s="296" t="s">
        <v>2359</v>
      </c>
      <c r="B19" s="251" t="s">
        <v>2360</v>
      </c>
      <c r="C19" s="252">
        <f ca="1">IF(G19="已包含在土地取得成本中","0",ROUND(D19*E19/10000,0))</f>
        <v>0</v>
      </c>
      <c r="D19" s="1034">
        <f ca="1">D9+D10</f>
        <v>1</v>
      </c>
      <c r="E19" s="252">
        <f>'数据-取费表'!B31</f>
        <v>225</v>
      </c>
      <c r="F19" s="272"/>
      <c r="G19" s="2550"/>
    </row>
    <row r="20" spans="1:7" s="255" customFormat="1" ht="13.5" customHeight="1">
      <c r="A20" s="296" t="s">
        <v>2361</v>
      </c>
      <c r="B20" s="251" t="s">
        <v>2362</v>
      </c>
      <c r="C20" s="273">
        <f ca="1">ROUND((C5+C19)*F20,0)</f>
        <v>0</v>
      </c>
      <c r="D20" s="273"/>
      <c r="E20" s="273"/>
      <c r="F20" s="274">
        <f>'数据-取费表'!B37</f>
        <v>0.02</v>
      </c>
      <c r="G20" s="275" t="s">
        <v>2363</v>
      </c>
    </row>
    <row r="21" spans="1:7" s="255" customFormat="1" ht="13.5" customHeight="1">
      <c r="A21" s="296" t="s">
        <v>2364</v>
      </c>
      <c r="B21" s="251" t="s">
        <v>2365</v>
      </c>
      <c r="C21" s="276">
        <f>F21</f>
        <v>0.01</v>
      </c>
      <c r="D21" s="277" t="s">
        <v>2366</v>
      </c>
      <c r="E21" s="273"/>
      <c r="F21" s="274">
        <f>'数据-取费表'!B38</f>
        <v>0.01</v>
      </c>
      <c r="G21" s="275" t="s">
        <v>2367</v>
      </c>
    </row>
    <row r="22" spans="1:7" s="255" customFormat="1" ht="13.5" customHeight="1">
      <c r="A22" s="296" t="s">
        <v>2368</v>
      </c>
      <c r="B22" s="251" t="s">
        <v>2369</v>
      </c>
      <c r="C22" s="1352">
        <f ca="1">ROUND(SUM(C23:C25),0)</f>
        <v>0</v>
      </c>
      <c r="D22" s="276">
        <f ca="1">C26</f>
        <v>5.0000000000000001E-4</v>
      </c>
      <c r="E22" s="277" t="s">
        <v>2366</v>
      </c>
      <c r="F22" s="278">
        <f ca="1">'数据-取费表'!B40</f>
        <v>4.7500000000000001E-2</v>
      </c>
      <c r="G22" s="275" t="str">
        <f>IF('数据-取费表'!B22&lt;=1,"单利计息","复利计息")</f>
        <v>复利计息</v>
      </c>
    </row>
    <row r="23" spans="1:7" s="255" customFormat="1" ht="13.5" customHeight="1">
      <c r="A23" s="949" t="s">
        <v>2370</v>
      </c>
      <c r="B23" s="256" t="s">
        <v>2371</v>
      </c>
      <c r="C23" s="1353">
        <f ca="1">ROUND(IF('数据-取费表'!B22&lt;=1,C5*F22*'数据-取费表'!B23,C5*(POWER((1+F22),'数据-取费表'!B23)-1)),0)</f>
        <v>0</v>
      </c>
      <c r="D23" s="279"/>
      <c r="E23" s="279"/>
      <c r="F23" s="280"/>
      <c r="G23" s="281" t="s">
        <v>2372</v>
      </c>
    </row>
    <row r="24" spans="1:7" s="255" customFormat="1" ht="13.5" customHeight="1">
      <c r="A24" s="949" t="s">
        <v>2373</v>
      </c>
      <c r="B24" s="256" t="s">
        <v>2374</v>
      </c>
      <c r="C24" s="1353">
        <f ca="1">ROUND(IF('数据-取费表'!B22&lt;=1,C19*F22*('数据-取费表'!B19/2+'数据-取费表'!B21),C19*(POWER((1+F22),('数据-取费表'!B19/2+'数据-取费表'!B21))-1)),0)</f>
        <v>0</v>
      </c>
      <c r="D24" s="279"/>
      <c r="E24" s="279"/>
      <c r="F24" s="280"/>
      <c r="G24" s="281" t="s">
        <v>2375</v>
      </c>
    </row>
    <row r="25" spans="1:7" s="255" customFormat="1" ht="24">
      <c r="A25" s="949" t="s">
        <v>2376</v>
      </c>
      <c r="B25" s="256" t="s">
        <v>2377</v>
      </c>
      <c r="C25" s="1353">
        <f ca="1">ROUND(IF('数据-取费表'!B22&lt;=1,C20*F22*'数据-取费表'!B23/2,C20*(POWER((1+F22),'数据-取费表'!B23/2)-1)),0)</f>
        <v>0</v>
      </c>
      <c r="D25" s="279"/>
      <c r="E25" s="282"/>
      <c r="F25" s="280"/>
      <c r="G25" s="283" t="s">
        <v>2378</v>
      </c>
    </row>
    <row r="26" spans="1:7" s="255" customFormat="1">
      <c r="A26" s="949" t="s">
        <v>795</v>
      </c>
      <c r="B26" s="256" t="s">
        <v>2379</v>
      </c>
      <c r="C26" s="279">
        <f ca="1">ROUND(IF('数据-取费表'!B22&lt;=1,F21*F22*'数据-取费表'!B23/2,F21*(POWER((1+F22),'数据-取费表'!B23/2)-1)),4)</f>
        <v>5.0000000000000001E-4</v>
      </c>
      <c r="D26" s="279"/>
      <c r="E26" s="282"/>
      <c r="F26" s="280"/>
      <c r="G26" s="284"/>
    </row>
    <row r="27" spans="1:7" s="255" customFormat="1" ht="24.75">
      <c r="A27" s="296" t="s">
        <v>2380</v>
      </c>
      <c r="B27" s="285" t="s">
        <v>2381</v>
      </c>
      <c r="C27" s="286">
        <f ca="1">C28</f>
        <v>0</v>
      </c>
      <c r="D27" s="276">
        <f ca="1">C29</f>
        <v>1.1999999999999999E-3</v>
      </c>
      <c r="E27" s="277" t="s">
        <v>2382</v>
      </c>
      <c r="F27" s="287">
        <f ca="1">IF(B1="",'数据-取费表'!Q16,INDIRECT("'数据-取费表'!q"&amp;$G$1))</f>
        <v>0.12</v>
      </c>
      <c r="G27" s="288" t="s">
        <v>2383</v>
      </c>
    </row>
    <row r="28" spans="1:7" s="255" customFormat="1" ht="13.5" customHeight="1">
      <c r="A28" s="949" t="s">
        <v>791</v>
      </c>
      <c r="B28" s="289" t="s">
        <v>2384</v>
      </c>
      <c r="C28" s="290">
        <f ca="1">ROUND((C5+C19+C20)*F27*'数据-取费表'!B21/'数据-取费表'!B20,0)</f>
        <v>0</v>
      </c>
      <c r="D28" s="276"/>
      <c r="E28" s="277"/>
      <c r="F28" s="287"/>
      <c r="G28" s="288"/>
    </row>
    <row r="29" spans="1:7" s="255" customFormat="1" ht="13.5" customHeight="1">
      <c r="A29" s="949" t="s">
        <v>792</v>
      </c>
      <c r="B29" s="289" t="s">
        <v>2385</v>
      </c>
      <c r="C29" s="279">
        <f ca="1">ROUND(C21*F27*'数据-取费表'!B21/'数据-取费表'!B20,4)</f>
        <v>1.1999999999999999E-3</v>
      </c>
      <c r="D29" s="276"/>
      <c r="E29" s="277"/>
      <c r="F29" s="287"/>
      <c r="G29" s="288"/>
    </row>
    <row r="30" spans="1:7" s="255" customFormat="1" ht="13.5" customHeight="1">
      <c r="A30" s="296" t="s">
        <v>2386</v>
      </c>
      <c r="B30" s="251" t="s">
        <v>2387</v>
      </c>
      <c r="C30" s="276">
        <f>ROUND(F30/(1+'数据-取费表'!C42),4)</f>
        <v>5.2400000000000002E-2</v>
      </c>
      <c r="D30" s="277" t="s">
        <v>2382</v>
      </c>
      <c r="E30" s="282"/>
      <c r="F30" s="278">
        <f>'数据-取费表'!B41</f>
        <v>5.5000000000000007E-2</v>
      </c>
      <c r="G30" s="275" t="s">
        <v>2388</v>
      </c>
    </row>
    <row r="31" spans="1:7" ht="16.5" customHeight="1">
      <c r="A31" s="250">
        <v>1</v>
      </c>
      <c r="B31" s="251" t="s">
        <v>2389</v>
      </c>
      <c r="C31" s="252">
        <f ca="1">ROUND((C5+C19+C20+C22+C27)/(1-C21-D22-D27-C30),0)</f>
        <v>0</v>
      </c>
      <c r="D31" s="271"/>
      <c r="E31" s="252"/>
      <c r="F31" s="291"/>
      <c r="G31" s="275" t="s">
        <v>2390</v>
      </c>
    </row>
    <row r="32" spans="1:7" s="249" customFormat="1" ht="15.75">
      <c r="A32" s="293" t="s">
        <v>2391</v>
      </c>
      <c r="B32" s="294"/>
      <c r="C32" s="294"/>
      <c r="D32" s="294"/>
      <c r="E32" s="294"/>
      <c r="F32" s="294"/>
      <c r="G32" s="295"/>
    </row>
    <row r="33" spans="1:7" s="255" customFormat="1" ht="13.5" customHeight="1">
      <c r="A33" s="296" t="s">
        <v>782</v>
      </c>
      <c r="B33" s="251" t="s">
        <v>2392</v>
      </c>
      <c r="C33" s="297">
        <f ca="1">SUM(C34:C38)</f>
        <v>5725</v>
      </c>
      <c r="D33" s="273"/>
      <c r="E33" s="253"/>
      <c r="F33" s="282"/>
      <c r="G33" s="275"/>
    </row>
    <row r="34" spans="1:7" s="299" customFormat="1" ht="13.5" customHeight="1">
      <c r="A34" s="949" t="s">
        <v>791</v>
      </c>
      <c r="B34" s="256" t="s">
        <v>2393</v>
      </c>
      <c r="C34" s="261">
        <f ca="1">IF(B1="",IF(F34=100%,'数据-取费表'!M16,'数据-取费表'!O16),IF(F34=100%,INDIRECT("'数据-取费表'!m"&amp;$G$1)+INDIRECT("'数据-取费表'!t"&amp;$G$1),INDIRECT("'数据-取费表'!o"&amp;$G$1)+INDIRECT("'数据-取费表'!aq"&amp;$G$1)))</f>
        <v>5000</v>
      </c>
      <c r="D34" s="258"/>
      <c r="E34" s="261"/>
      <c r="F34" s="298">
        <f ca="1">IF('数据-取费表'!B24=0,1,IF(B1="",'数据-取费表'!N16,INDIRECT("'数据-取费表'!n"&amp;$G$1)))</f>
        <v>1</v>
      </c>
      <c r="G34" s="260" t="s">
        <v>2394</v>
      </c>
    </row>
    <row r="35" spans="1:7" ht="13.5" customHeight="1">
      <c r="A35" s="949" t="s">
        <v>796</v>
      </c>
      <c r="B35" s="256" t="s">
        <v>2395</v>
      </c>
      <c r="C35" s="261">
        <f ca="1">ROUND(C34*F35,0)</f>
        <v>150</v>
      </c>
      <c r="D35" s="261"/>
      <c r="E35" s="261"/>
      <c r="F35" s="300">
        <f>'数据-取费表'!B33</f>
        <v>0.03</v>
      </c>
      <c r="G35" s="260" t="s">
        <v>2396</v>
      </c>
    </row>
    <row r="36" spans="1:7" ht="24">
      <c r="A36" s="949" t="s">
        <v>797</v>
      </c>
      <c r="B36" s="256" t="s">
        <v>2397</v>
      </c>
      <c r="C36" s="261">
        <f ca="1">ROUND(IF(B1="",SUMIF('数据-取费表'!C:C,"住宅",IF(F34=100%,'数据-取费表'!M:M,'数据-取费表'!O:O))*F36,IF(INDIRECT("'数据-取费表'!c"&amp;$G$1)="住宅",IF(F34=100%,INDIRECT("'数据-取费表'!m"&amp;$G$1)*F36,INDIRECT("'数据-取费表'!o"&amp;$G$1)*F36),0)),0)</f>
        <v>500</v>
      </c>
      <c r="D36" s="261"/>
      <c r="E36" s="261"/>
      <c r="F36" s="300">
        <f>'数据-取费表'!B34</f>
        <v>0.1</v>
      </c>
      <c r="G36" s="301" t="s">
        <v>2398</v>
      </c>
    </row>
    <row r="37" spans="1:7" s="299" customFormat="1" ht="13.5" customHeight="1">
      <c r="A37" s="949" t="s">
        <v>798</v>
      </c>
      <c r="B37" s="256" t="s">
        <v>2399</v>
      </c>
      <c r="C37" s="290">
        <f ca="1">ROUND(E37*D37*F34/10000,0)</f>
        <v>0</v>
      </c>
      <c r="D37" s="258">
        <f ca="1">D19</f>
        <v>1</v>
      </c>
      <c r="E37" s="290">
        <f>'数据-取费表'!B35</f>
        <v>200</v>
      </c>
      <c r="F37" s="300"/>
      <c r="G37" s="302" t="s">
        <v>2400</v>
      </c>
    </row>
    <row r="38" spans="1:7" ht="13.5" customHeight="1">
      <c r="A38" s="949" t="s">
        <v>799</v>
      </c>
      <c r="B38" s="256" t="s">
        <v>2401</v>
      </c>
      <c r="C38" s="261">
        <f ca="1">ROUND(C34*F38,0)</f>
        <v>75</v>
      </c>
      <c r="D38" s="261"/>
      <c r="E38" s="261"/>
      <c r="F38" s="300">
        <f>'数据-取费表'!B36</f>
        <v>1.4999999999999999E-2</v>
      </c>
      <c r="G38" s="260" t="s">
        <v>2396</v>
      </c>
    </row>
    <row r="39" spans="1:7" s="255" customFormat="1" ht="13.5" customHeight="1">
      <c r="A39" s="296" t="s">
        <v>2402</v>
      </c>
      <c r="B39" s="251" t="s">
        <v>2403</v>
      </c>
      <c r="C39" s="273">
        <f ca="1">ROUND(C33*F20,0)</f>
        <v>115</v>
      </c>
      <c r="D39" s="273"/>
      <c r="E39" s="273"/>
      <c r="F39" s="274"/>
      <c r="G39" s="275" t="s">
        <v>2404</v>
      </c>
    </row>
    <row r="40" spans="1:7" s="255" customFormat="1" ht="13.5" customHeight="1">
      <c r="A40" s="296" t="s">
        <v>2405</v>
      </c>
      <c r="B40" s="251" t="s">
        <v>2406</v>
      </c>
      <c r="C40" s="1725">
        <f>F21</f>
        <v>0.01</v>
      </c>
      <c r="D40" s="277" t="s">
        <v>2407</v>
      </c>
      <c r="E40" s="273"/>
      <c r="F40" s="274"/>
      <c r="G40" s="275" t="s">
        <v>2408</v>
      </c>
    </row>
    <row r="41" spans="1:7" s="255" customFormat="1" ht="13.5" customHeight="1">
      <c r="A41" s="296" t="s">
        <v>2409</v>
      </c>
      <c r="B41" s="251" t="s">
        <v>2410</v>
      </c>
      <c r="C41" s="273">
        <f ca="1">ROUND(SUM(C42:C43),0)</f>
        <v>277</v>
      </c>
      <c r="D41" s="276">
        <f ca="1">C44</f>
        <v>5.0000000000000001E-4</v>
      </c>
      <c r="E41" s="277" t="s">
        <v>2407</v>
      </c>
      <c r="F41" s="278"/>
      <c r="G41" s="275" t="str">
        <f>IF('数据-取费表'!B22&lt;=1,"单利计息","复利计息")</f>
        <v>复利计息</v>
      </c>
    </row>
    <row r="42" spans="1:7" ht="13.5" customHeight="1">
      <c r="A42" s="949" t="s">
        <v>791</v>
      </c>
      <c r="B42" s="256" t="s">
        <v>2411</v>
      </c>
      <c r="C42" s="279">
        <f ca="1">ROUND(IF('数据-取费表'!B22&lt;=1,C33*F22*'数据-取费表'!B21/2,C33*(POWER((1+F22),'数据-取费表'!B21/2)-1)),0)</f>
        <v>272</v>
      </c>
      <c r="D42" s="279"/>
      <c r="E42" s="279"/>
      <c r="F42" s="280"/>
      <c r="G42" s="3309" t="s">
        <v>2412</v>
      </c>
    </row>
    <row r="43" spans="1:7" ht="13.5" customHeight="1">
      <c r="A43" s="949" t="s">
        <v>792</v>
      </c>
      <c r="B43" s="256" t="s">
        <v>2413</v>
      </c>
      <c r="C43" s="279">
        <f ca="1">ROUND(IF('数据-取费表'!B22&lt;=1,C39*F22*'数据-取费表'!B21/2,C39*(POWER((1+F22),'数据-取费表'!B21/2)-1)),0)</f>
        <v>5</v>
      </c>
      <c r="D43" s="279"/>
      <c r="E43" s="279"/>
      <c r="F43" s="280"/>
      <c r="G43" s="3310"/>
    </row>
    <row r="44" spans="1:7" ht="13.5" customHeight="1">
      <c r="A44" s="949" t="s">
        <v>793</v>
      </c>
      <c r="B44" s="256" t="s">
        <v>2414</v>
      </c>
      <c r="C44" s="279">
        <f ca="1">ROUND(IF('数据-取费表'!B22&lt;=1,C40*F22*'数据-取费表'!B21/2,C40*(POWER((1+F22),'数据-取费表'!B21/2)-1)),4)</f>
        <v>5.0000000000000001E-4</v>
      </c>
      <c r="D44" s="279"/>
      <c r="E44" s="279"/>
      <c r="F44" s="280"/>
      <c r="G44" s="3311"/>
    </row>
    <row r="45" spans="1:7" s="255" customFormat="1" ht="13.5" customHeight="1">
      <c r="A45" s="296" t="s">
        <v>2415</v>
      </c>
      <c r="B45" s="285" t="s">
        <v>2381</v>
      </c>
      <c r="C45" s="286">
        <f ca="1">C46</f>
        <v>701</v>
      </c>
      <c r="D45" s="276">
        <f ca="1">C47</f>
        <v>1.1999999999999999E-3</v>
      </c>
      <c r="E45" s="277" t="s">
        <v>2407</v>
      </c>
      <c r="F45" s="287"/>
      <c r="G45" s="288" t="s">
        <v>2416</v>
      </c>
    </row>
    <row r="46" spans="1:7" s="255" customFormat="1" ht="13.5" customHeight="1">
      <c r="A46" s="949" t="s">
        <v>791</v>
      </c>
      <c r="B46" s="289" t="s">
        <v>2417</v>
      </c>
      <c r="C46" s="290">
        <f ca="1">ROUND((C33+C39)*F27,0)</f>
        <v>701</v>
      </c>
      <c r="D46" s="304"/>
      <c r="E46" s="277"/>
      <c r="F46" s="287"/>
      <c r="G46" s="288"/>
    </row>
    <row r="47" spans="1:7" s="255" customFormat="1" ht="13.5" customHeight="1">
      <c r="A47" s="949" t="s">
        <v>792</v>
      </c>
      <c r="B47" s="289" t="s">
        <v>2418</v>
      </c>
      <c r="C47" s="279">
        <f ca="1">ROUND(C40*F27,4)</f>
        <v>1.1999999999999999E-3</v>
      </c>
      <c r="D47" s="304"/>
      <c r="E47" s="277"/>
      <c r="F47" s="287"/>
      <c r="G47" s="288"/>
    </row>
    <row r="48" spans="1:7" s="255" customFormat="1" ht="13.5" customHeight="1">
      <c r="A48" s="296" t="s">
        <v>2380</v>
      </c>
      <c r="B48" s="251" t="s">
        <v>2419</v>
      </c>
      <c r="C48" s="1725">
        <f>ROUND(F30/(1+'数据-取费表'!C42),4)</f>
        <v>5.2400000000000002E-2</v>
      </c>
      <c r="D48" s="277" t="s">
        <v>2407</v>
      </c>
      <c r="E48" s="273"/>
      <c r="F48" s="278"/>
      <c r="G48" s="275" t="s">
        <v>2420</v>
      </c>
    </row>
    <row r="49" spans="1:7" ht="16.5" customHeight="1">
      <c r="A49" s="296" t="s">
        <v>2386</v>
      </c>
      <c r="B49" s="251" t="s">
        <v>2421</v>
      </c>
      <c r="C49" s="273">
        <f ca="1">ROUND((C33+C39+C41+C45)/(1-C40-D41-D45-C48),0)</f>
        <v>7285</v>
      </c>
      <c r="D49" s="273"/>
      <c r="E49" s="273"/>
      <c r="F49" s="305"/>
      <c r="G49" s="275" t="s">
        <v>2422</v>
      </c>
    </row>
    <row r="50" spans="1:7" s="299" customFormat="1" ht="24">
      <c r="A50" s="296" t="s">
        <v>2423</v>
      </c>
      <c r="B50" s="251" t="s">
        <v>2424</v>
      </c>
      <c r="C50" s="273"/>
      <c r="D50" s="273"/>
      <c r="E50" s="273"/>
      <c r="F50" s="305">
        <f>IF('数据-取费表'!B24=0,'数据-取费表'!N16,1)</f>
        <v>1</v>
      </c>
      <c r="G50" s="288" t="s">
        <v>2425</v>
      </c>
    </row>
    <row r="51" spans="1:7" ht="16.5" customHeight="1">
      <c r="A51" s="296" t="s">
        <v>2426</v>
      </c>
      <c r="B51" s="251" t="s">
        <v>2427</v>
      </c>
      <c r="C51" s="273">
        <f ca="1">ROUND(C49*F50,0)</f>
        <v>7285</v>
      </c>
      <c r="D51" s="273"/>
      <c r="E51" s="273"/>
      <c r="F51" s="305"/>
      <c r="G51" s="275" t="s">
        <v>2428</v>
      </c>
    </row>
    <row r="52" spans="1:7" s="249" customFormat="1" ht="16.5" thickBot="1">
      <c r="A52" s="306" t="s">
        <v>2429</v>
      </c>
      <c r="B52" s="307"/>
      <c r="C52" s="308">
        <f ca="1">C31+C51</f>
        <v>7285</v>
      </c>
      <c r="D52" s="307"/>
      <c r="E52" s="307"/>
      <c r="F52" s="307"/>
      <c r="G52" s="309"/>
    </row>
    <row r="55" spans="1:7" ht="15">
      <c r="B55" s="311" t="s">
        <v>2430</v>
      </c>
      <c r="C55" s="312"/>
    </row>
    <row r="56" spans="1:7">
      <c r="B56" s="314" t="s">
        <v>1513</v>
      </c>
      <c r="C56" s="316">
        <f ca="1">1-C57</f>
        <v>0</v>
      </c>
    </row>
    <row r="57" spans="1:7">
      <c r="B57" s="314" t="s">
        <v>1514</v>
      </c>
      <c r="C57" s="315">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28" sqref="C2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2329</v>
      </c>
      <c r="B1" s="1934" t="s">
        <v>3378</v>
      </c>
      <c r="C1" s="2553" t="s">
        <v>2431</v>
      </c>
      <c r="D1" s="239"/>
      <c r="E1" s="239"/>
      <c r="F1" s="239"/>
      <c r="G1" s="1377">
        <f>MATCH(B1,'数据-取费表'!A6:A16,0)+5</f>
        <v>6</v>
      </c>
      <c r="H1" s="1280" t="str">
        <f>IF(ISERROR(FIND("住宅",B1)),"非住宅","住宅")</f>
        <v>非住宅</v>
      </c>
    </row>
    <row r="2" spans="1:8" s="241" customFormat="1" ht="18" customHeight="1">
      <c r="A2" s="242" t="s">
        <v>2330</v>
      </c>
      <c r="B2" s="243">
        <f ca="1">ROUND(IF(D2="——",C52/10000,C52/10000-E2),0)</f>
        <v>3</v>
      </c>
      <c r="C2" s="240" t="s">
        <v>2331</v>
      </c>
      <c r="D2" s="2547" t="s">
        <v>70</v>
      </c>
      <c r="E2" s="1437" t="e">
        <f ca="1">SUMIF(INDIRECT("'"&amp;G2&amp;"'"&amp;"!A:A"),"承租人权益价值",INDIRECT("'"&amp;G2&amp;"'"&amp;"!c:c"))</f>
        <v>#REF!</v>
      </c>
      <c r="F2" s="2548" t="s">
        <v>2331</v>
      </c>
      <c r="G2" s="2549"/>
    </row>
    <row r="3" spans="1:8" s="241" customFormat="1" ht="18" customHeight="1" thickBot="1">
      <c r="A3" s="244" t="s">
        <v>2332</v>
      </c>
      <c r="B3" s="245">
        <f ca="1">ROUND(B2*10000/(IF(B1="",'数据-汇总表'!E3,INDIRECT("'数据-取费表'!k"&amp;$G$1))),0)</f>
        <v>30000</v>
      </c>
      <c r="C3" s="240" t="s">
        <v>2333</v>
      </c>
      <c r="D3" s="240"/>
      <c r="E3" s="240"/>
      <c r="F3" s="240"/>
      <c r="G3" s="240"/>
    </row>
    <row r="4" spans="1:8" s="249" customFormat="1" ht="15.75">
      <c r="A4" s="246" t="s">
        <v>2334</v>
      </c>
      <c r="B4" s="247"/>
      <c r="C4" s="247"/>
      <c r="D4" s="247"/>
      <c r="E4" s="247"/>
      <c r="F4" s="247"/>
      <c r="G4" s="248"/>
    </row>
    <row r="5" spans="1:8" s="255" customFormat="1" ht="13.5" customHeight="1">
      <c r="A5" s="296" t="s">
        <v>2335</v>
      </c>
      <c r="B5" s="251" t="s">
        <v>2336</v>
      </c>
      <c r="C5" s="252">
        <f>C6+C7+C8</f>
        <v>16945</v>
      </c>
      <c r="D5" s="252" t="s">
        <v>2337</v>
      </c>
      <c r="E5" s="253" t="s">
        <v>2338</v>
      </c>
      <c r="F5" s="253" t="s">
        <v>2339</v>
      </c>
      <c r="G5" s="254"/>
    </row>
    <row r="6" spans="1:8" s="255" customFormat="1" ht="13.5" customHeight="1">
      <c r="A6" s="947" t="s">
        <v>2340</v>
      </c>
      <c r="B6" s="256" t="s">
        <v>2341</v>
      </c>
      <c r="C6" s="257">
        <f>土地比较法!C48</f>
        <v>16443</v>
      </c>
      <c r="D6" s="258"/>
      <c r="E6" s="259"/>
      <c r="F6" s="259"/>
      <c r="G6" s="260"/>
    </row>
    <row r="7" spans="1:8" s="255" customFormat="1" ht="13.5" customHeight="1">
      <c r="A7" s="947" t="s">
        <v>2342</v>
      </c>
      <c r="B7" s="256" t="s">
        <v>2343</v>
      </c>
      <c r="C7" s="261">
        <f>ROUND(C6*F7,0)</f>
        <v>502</v>
      </c>
      <c r="D7" s="261"/>
      <c r="E7" s="259"/>
      <c r="F7" s="262">
        <f>'数据-取费表'!B48+'数据-取费表'!B49</f>
        <v>3.0499999999999999E-2</v>
      </c>
      <c r="G7" s="260"/>
    </row>
    <row r="8" spans="1:8" s="264" customFormat="1">
      <c r="A8" s="947" t="s">
        <v>2344</v>
      </c>
      <c r="B8" s="256" t="s">
        <v>2345</v>
      </c>
      <c r="C8" s="261">
        <f>IF(G8="已包含在土地购买价格中",0,C9+C10)</f>
        <v>0</v>
      </c>
      <c r="D8" s="263"/>
      <c r="E8" s="261"/>
      <c r="F8" s="262"/>
      <c r="G8" s="2550" t="s">
        <v>1148</v>
      </c>
    </row>
    <row r="9" spans="1:8" s="255" customFormat="1" ht="13.5" customHeight="1">
      <c r="A9" s="948" t="s">
        <v>800</v>
      </c>
      <c r="B9" s="265" t="s">
        <v>2346</v>
      </c>
      <c r="C9" s="266">
        <f ca="1">ROUND(D9*E9,0)</f>
        <v>160</v>
      </c>
      <c r="D9" s="1030">
        <f ca="1">IF(B1="",'数据-汇总表'!E5,IF(INDIRECT("'数据-取费表'!c"&amp;$G$1)="住宅",INDIRECT("'数据-取费表'!k"&amp;$G$1),0))</f>
        <v>1</v>
      </c>
      <c r="E9" s="266">
        <f>'数据-取费表'!B27</f>
        <v>160</v>
      </c>
      <c r="F9" s="262"/>
      <c r="G9" s="267"/>
    </row>
    <row r="10" spans="1:8" s="255" customFormat="1" ht="13.5" customHeight="1">
      <c r="A10" s="948" t="s">
        <v>801</v>
      </c>
      <c r="B10" s="265" t="s">
        <v>2348</v>
      </c>
      <c r="C10" s="266">
        <f ca="1">ROUND(D10*E10,0)</f>
        <v>0</v>
      </c>
      <c r="D10" s="1030">
        <f ca="1">IF(B1="",'数据-汇总表'!E6,IF(INDIRECT("'数据-取费表'!c"&amp;$G$1)="住宅",INDIRECT("'数据-取费表'!s"&amp;$G$1),INDIRECT("'数据-取费表'!k"&amp;$G$1)+INDIRECT("'数据-取费表'!s"&amp;$G$1)))</f>
        <v>0</v>
      </c>
      <c r="E10" s="266">
        <f>'数据-取费表'!B28</f>
        <v>0</v>
      </c>
      <c r="F10" s="262"/>
      <c r="G10" s="267"/>
    </row>
    <row r="11" spans="1:8" s="255" customFormat="1" ht="13.5" hidden="1" customHeight="1">
      <c r="A11" s="268" t="s">
        <v>7</v>
      </c>
      <c r="B11" s="256" t="s">
        <v>2349</v>
      </c>
      <c r="C11" s="252"/>
      <c r="D11" s="1032"/>
      <c r="E11" s="259"/>
      <c r="F11" s="259"/>
      <c r="G11" s="260"/>
    </row>
    <row r="12" spans="1:8" s="255" customFormat="1" ht="13.5" hidden="1" customHeight="1">
      <c r="A12" s="268" t="s">
        <v>8</v>
      </c>
      <c r="B12" s="256" t="s">
        <v>2432</v>
      </c>
      <c r="C12" s="252">
        <v>0</v>
      </c>
      <c r="D12" s="1032"/>
      <c r="E12" s="269"/>
      <c r="F12" s="262">
        <v>3.0499999999999999E-2</v>
      </c>
      <c r="G12" s="260"/>
    </row>
    <row r="13" spans="1:8" s="255" customFormat="1" ht="13.5" hidden="1" customHeight="1">
      <c r="A13" s="268" t="s">
        <v>9</v>
      </c>
      <c r="B13" s="256" t="s">
        <v>2433</v>
      </c>
      <c r="C13" s="252"/>
      <c r="D13" s="1032"/>
      <c r="E13" s="259"/>
      <c r="F13" s="259"/>
      <c r="G13" s="260"/>
    </row>
    <row r="14" spans="1:8" s="255" customFormat="1" ht="13.5" hidden="1" customHeight="1">
      <c r="A14" s="268" t="s">
        <v>10</v>
      </c>
      <c r="B14" s="256" t="s">
        <v>2345</v>
      </c>
      <c r="C14" s="252"/>
      <c r="D14" s="1032"/>
      <c r="E14" s="259"/>
      <c r="F14" s="259"/>
      <c r="G14" s="260" t="s">
        <v>2434</v>
      </c>
    </row>
    <row r="15" spans="1:8" s="255" customFormat="1" ht="13.5" hidden="1" customHeight="1">
      <c r="A15" s="268" t="s">
        <v>11</v>
      </c>
      <c r="B15" s="256" t="s">
        <v>2435</v>
      </c>
      <c r="C15" s="261"/>
      <c r="D15" s="1032"/>
      <c r="E15" s="259"/>
      <c r="F15" s="259"/>
      <c r="G15" s="260" t="s">
        <v>2436</v>
      </c>
    </row>
    <row r="16" spans="1:8" s="255" customFormat="1" ht="13.5" hidden="1" customHeight="1">
      <c r="A16" s="268" t="s">
        <v>12</v>
      </c>
      <c r="B16" s="256" t="s">
        <v>2345</v>
      </c>
      <c r="C16" s="261"/>
      <c r="D16" s="1032"/>
      <c r="E16" s="259"/>
      <c r="F16" s="259"/>
      <c r="G16" s="260"/>
    </row>
    <row r="17" spans="1:7" s="255" customFormat="1" ht="13.5" hidden="1" customHeight="1">
      <c r="A17" s="268" t="s">
        <v>13</v>
      </c>
      <c r="B17" s="256" t="s">
        <v>2437</v>
      </c>
      <c r="C17" s="270"/>
      <c r="D17" s="1033"/>
      <c r="E17" s="270"/>
      <c r="F17" s="270"/>
      <c r="G17" s="260" t="s">
        <v>2436</v>
      </c>
    </row>
    <row r="18" spans="1:7" s="255" customFormat="1" ht="13.5" hidden="1" customHeight="1">
      <c r="A18" s="268" t="s">
        <v>14</v>
      </c>
      <c r="B18" s="256" t="s">
        <v>2438</v>
      </c>
      <c r="C18" s="261">
        <v>0</v>
      </c>
      <c r="D18" s="1032"/>
      <c r="E18" s="259"/>
      <c r="F18" s="262">
        <v>3.0499999999999999E-2</v>
      </c>
      <c r="G18" s="260" t="s">
        <v>2439</v>
      </c>
    </row>
    <row r="19" spans="1:7" s="264" customFormat="1" ht="13.5" customHeight="1">
      <c r="A19" s="296" t="s">
        <v>2440</v>
      </c>
      <c r="B19" s="251" t="s">
        <v>2441</v>
      </c>
      <c r="C19" s="252">
        <f ca="1">IF(G19="已包含在土地取得成本中","0",ROUND(D19*E19/'数据-汇总表'!I4,0))</f>
        <v>90</v>
      </c>
      <c r="D19" s="1034">
        <f ca="1">D9+D10</f>
        <v>1</v>
      </c>
      <c r="E19" s="252">
        <f>'数据-取费表'!B31</f>
        <v>225</v>
      </c>
      <c r="F19" s="272"/>
      <c r="G19" s="2550" t="s">
        <v>1074</v>
      </c>
    </row>
    <row r="20" spans="1:7" s="255" customFormat="1" ht="13.5" customHeight="1">
      <c r="A20" s="296" t="s">
        <v>2442</v>
      </c>
      <c r="B20" s="251" t="s">
        <v>2443</v>
      </c>
      <c r="C20" s="273">
        <f ca="1">ROUND((C5+C19)*F20,0)</f>
        <v>341</v>
      </c>
      <c r="D20" s="273"/>
      <c r="E20" s="273"/>
      <c r="F20" s="274">
        <f>'数据-取费表'!B37</f>
        <v>0.02</v>
      </c>
      <c r="G20" s="275" t="s">
        <v>2444</v>
      </c>
    </row>
    <row r="21" spans="1:7" s="255" customFormat="1" ht="13.5" customHeight="1">
      <c r="A21" s="296" t="s">
        <v>2445</v>
      </c>
      <c r="B21" s="251" t="s">
        <v>2446</v>
      </c>
      <c r="C21" s="276">
        <f>F21</f>
        <v>0.01</v>
      </c>
      <c r="D21" s="277" t="s">
        <v>2447</v>
      </c>
      <c r="E21" s="273"/>
      <c r="F21" s="274">
        <f>'数据-取费表'!B38</f>
        <v>0.01</v>
      </c>
      <c r="G21" s="275" t="s">
        <v>2448</v>
      </c>
    </row>
    <row r="22" spans="1:7" s="255" customFormat="1" ht="13.5" customHeight="1">
      <c r="A22" s="296" t="s">
        <v>2449</v>
      </c>
      <c r="B22" s="251" t="s">
        <v>2450</v>
      </c>
      <c r="C22" s="1378">
        <f ca="1">ROUND(SUM(C23:C25),0)</f>
        <v>1673</v>
      </c>
      <c r="D22" s="276">
        <f ca="1">C26</f>
        <v>5.0000000000000001E-4</v>
      </c>
      <c r="E22" s="277" t="s">
        <v>2447</v>
      </c>
      <c r="F22" s="278">
        <f ca="1">'数据-取费表'!B40</f>
        <v>4.7500000000000001E-2</v>
      </c>
      <c r="G22" s="275" t="str">
        <f>IF('数据-取费表'!B22&lt;=1,"单利计息","复利计息")</f>
        <v>复利计息</v>
      </c>
    </row>
    <row r="23" spans="1:7" s="255" customFormat="1" ht="13.5" customHeight="1">
      <c r="A23" s="949" t="s">
        <v>2340</v>
      </c>
      <c r="B23" s="256" t="s">
        <v>2451</v>
      </c>
      <c r="C23" s="1379">
        <f ca="1">ROUND(IF('数据-取费表'!B22&lt;=1,C5*F22*'数据-取费表'!B22,C5*(POWER((1+F22),'数据-取费表'!B22)-1)),0)</f>
        <v>1648</v>
      </c>
      <c r="D23" s="279"/>
      <c r="E23" s="279"/>
      <c r="F23" s="280"/>
      <c r="G23" s="281" t="s">
        <v>2452</v>
      </c>
    </row>
    <row r="24" spans="1:7" s="255" customFormat="1" ht="13.5" customHeight="1">
      <c r="A24" s="949" t="s">
        <v>2342</v>
      </c>
      <c r="B24" s="256" t="s">
        <v>2453</v>
      </c>
      <c r="C24" s="1379">
        <f ca="1">ROUND(IF('数据-取费表'!B22&lt;=1,C19*F22*('数据-取费表'!B19/2+'数据-取费表'!B20),C19*(POWER((1+F22),('数据-取费表'!B19/2+'数据-取费表'!B20))-1)),0)</f>
        <v>9</v>
      </c>
      <c r="D24" s="279"/>
      <c r="E24" s="279"/>
      <c r="F24" s="280"/>
      <c r="G24" s="281" t="s">
        <v>2454</v>
      </c>
    </row>
    <row r="25" spans="1:7" s="255" customFormat="1" ht="24">
      <c r="A25" s="949" t="s">
        <v>2344</v>
      </c>
      <c r="B25" s="256" t="s">
        <v>2455</v>
      </c>
      <c r="C25" s="1379">
        <f ca="1">ROUND(IF('数据-取费表'!B22&lt;=1,C20*F22*'数据-取费表'!B22/2,C20*(POWER((1+F22),'数据-取费表'!B22/2)-1)),0)</f>
        <v>16</v>
      </c>
      <c r="D25" s="279"/>
      <c r="E25" s="282"/>
      <c r="F25" s="280"/>
      <c r="G25" s="283" t="s">
        <v>2456</v>
      </c>
    </row>
    <row r="26" spans="1:7" s="255" customFormat="1">
      <c r="A26" s="949" t="s">
        <v>795</v>
      </c>
      <c r="B26" s="256" t="s">
        <v>2379</v>
      </c>
      <c r="C26" s="279">
        <f ca="1">ROUND(IF('数据-取费表'!B22&lt;=1,F21*F22*'数据-取费表'!B22/2,F21*(POWER((1+F22),'数据-取费表'!B22/2)-1)),4)</f>
        <v>5.0000000000000001E-4</v>
      </c>
      <c r="D26" s="279"/>
      <c r="E26" s="282"/>
      <c r="F26" s="280"/>
      <c r="G26" s="284"/>
    </row>
    <row r="27" spans="1:7" s="255" customFormat="1" ht="24.75">
      <c r="A27" s="296" t="s">
        <v>2380</v>
      </c>
      <c r="B27" s="285" t="s">
        <v>2381</v>
      </c>
      <c r="C27" s="286">
        <f ca="1">C28</f>
        <v>2085</v>
      </c>
      <c r="D27" s="276">
        <f ca="1">C29</f>
        <v>1.1999999999999999E-3</v>
      </c>
      <c r="E27" s="277" t="s">
        <v>2382</v>
      </c>
      <c r="F27" s="287">
        <f ca="1">IF(B1="",'数据-取费表'!Q16,INDIRECT("'数据-取费表'!q"&amp;$G$1))</f>
        <v>0.12</v>
      </c>
      <c r="G27" s="288" t="s">
        <v>2383</v>
      </c>
    </row>
    <row r="28" spans="1:7" s="255" customFormat="1" ht="13.5" customHeight="1">
      <c r="A28" s="949" t="s">
        <v>791</v>
      </c>
      <c r="B28" s="289" t="s">
        <v>2384</v>
      </c>
      <c r="C28" s="290">
        <f ca="1">ROUND((C5+C19+C20)*F27,0)</f>
        <v>2085</v>
      </c>
      <c r="D28" s="276"/>
      <c r="E28" s="277"/>
      <c r="F28" s="287"/>
      <c r="G28" s="288"/>
    </row>
    <row r="29" spans="1:7" s="255" customFormat="1" ht="13.5" customHeight="1">
      <c r="A29" s="949" t="s">
        <v>792</v>
      </c>
      <c r="B29" s="289" t="s">
        <v>2385</v>
      </c>
      <c r="C29" s="279">
        <f ca="1">ROUND(C21*F27,4)</f>
        <v>1.1999999999999999E-3</v>
      </c>
      <c r="D29" s="276"/>
      <c r="E29" s="277"/>
      <c r="F29" s="287"/>
      <c r="G29" s="288"/>
    </row>
    <row r="30" spans="1:7" s="255" customFormat="1" ht="13.5" customHeight="1">
      <c r="A30" s="296" t="s">
        <v>2386</v>
      </c>
      <c r="B30" s="251" t="s">
        <v>2387</v>
      </c>
      <c r="C30" s="3020">
        <f>ROUND((1/1.1*0.1-C21/1.06*0.06)*(1+'数据-取费表'!B44+'数据-取费表'!B45+'数据-取费表'!B46),4)</f>
        <v>9.9400000000000002E-2</v>
      </c>
      <c r="D30" s="3021">
        <f>ROUND(C6/1.1*0.1*(1+'数据-取费表'!B44+'数据-取费表'!B45+'数据-取费表'!B46),0)</f>
        <v>1644</v>
      </c>
      <c r="E30" s="282"/>
      <c r="F30" s="278">
        <f>'数据-取费表'!B41</f>
        <v>5.5000000000000007E-2</v>
      </c>
      <c r="G30" s="275" t="s">
        <v>2388</v>
      </c>
    </row>
    <row r="31" spans="1:7" ht="16.5" customHeight="1">
      <c r="A31" s="250">
        <v>1</v>
      </c>
      <c r="B31" s="251" t="s">
        <v>2389</v>
      </c>
      <c r="C31" s="3022">
        <f ca="1">ROUND((C5+C19+C20+C22+C27-D30)/(1-C21-D22-D27-C30),0)</f>
        <v>21926</v>
      </c>
      <c r="D31" s="271"/>
      <c r="E31" s="252"/>
      <c r="F31" s="291"/>
      <c r="G31" s="275" t="s">
        <v>2390</v>
      </c>
    </row>
    <row r="32" spans="1:7" s="249" customFormat="1" ht="15.75">
      <c r="A32" s="293" t="s">
        <v>2457</v>
      </c>
      <c r="B32" s="294"/>
      <c r="C32" s="294"/>
      <c r="D32" s="294"/>
      <c r="E32" s="294"/>
      <c r="F32" s="294"/>
      <c r="G32" s="295"/>
    </row>
    <row r="33" spans="1:7" s="255" customFormat="1" ht="13.5" customHeight="1">
      <c r="A33" s="296" t="s">
        <v>782</v>
      </c>
      <c r="B33" s="251" t="s">
        <v>2458</v>
      </c>
      <c r="C33" s="297">
        <f ca="1">SUM(C34:C38)</f>
        <v>5925</v>
      </c>
      <c r="D33" s="273"/>
      <c r="E33" s="253"/>
      <c r="F33" s="282"/>
      <c r="G33" s="275"/>
    </row>
    <row r="34" spans="1:7" s="299" customFormat="1" ht="13.5" customHeight="1">
      <c r="A34" s="949" t="s">
        <v>791</v>
      </c>
      <c r="B34" s="256" t="s">
        <v>2393</v>
      </c>
      <c r="C34" s="261">
        <f ca="1">ROUND(IF(B1="",SUMPRODUCT('数据-取费表'!K6:K14,'数据-取费表'!L6:L14),INDIRECT("'数据-取费表'!l"&amp;$G$1)*INDIRECT("'数据-取费表'!k"&amp;$G$1)+'数据-取费表'!L14*INDIRECT("'数据-取费表'!S"&amp;$G$1)),0)</f>
        <v>5000</v>
      </c>
      <c r="D34" s="258"/>
      <c r="E34" s="261"/>
      <c r="F34" s="298"/>
      <c r="G34" s="260"/>
    </row>
    <row r="35" spans="1:7" ht="13.5" customHeight="1">
      <c r="A35" s="949" t="s">
        <v>796</v>
      </c>
      <c r="B35" s="256" t="s">
        <v>2395</v>
      </c>
      <c r="C35" s="261">
        <f ca="1">ROUND(C34*F35,0)</f>
        <v>150</v>
      </c>
      <c r="D35" s="261"/>
      <c r="E35" s="261"/>
      <c r="F35" s="300">
        <f>'数据-取费表'!B33</f>
        <v>0.03</v>
      </c>
      <c r="G35" s="260" t="s">
        <v>2396</v>
      </c>
    </row>
    <row r="36" spans="1:7" ht="24">
      <c r="A36" s="949" t="s">
        <v>797</v>
      </c>
      <c r="B36" s="256" t="s">
        <v>2397</v>
      </c>
      <c r="C36" s="261">
        <f ca="1">ROUND(IF(B1="",SUM('数据-取费表'!AP6:AP13)*F36,IF(INDIRECT("'数据-取费表'!c"&amp;$G$1)="住宅",INDIRECT("'数据-取费表'!k"&amp;$G$1)*INDIRECT("'数据-取费表'!l"&amp;$G$1)*F36,0)),0)</f>
        <v>500</v>
      </c>
      <c r="D36" s="261"/>
      <c r="E36" s="261"/>
      <c r="F36" s="300">
        <f>'数据-取费表'!B34</f>
        <v>0.1</v>
      </c>
      <c r="G36" s="301" t="s">
        <v>2398</v>
      </c>
    </row>
    <row r="37" spans="1:7" s="299" customFormat="1" ht="13.5" customHeight="1">
      <c r="A37" s="949" t="s">
        <v>798</v>
      </c>
      <c r="B37" s="256" t="s">
        <v>2399</v>
      </c>
      <c r="C37" s="290">
        <f ca="1">ROUND(E37*D37,0)</f>
        <v>200</v>
      </c>
      <c r="D37" s="258">
        <f ca="1">D19</f>
        <v>1</v>
      </c>
      <c r="E37" s="290">
        <f>'数据-取费表'!B35</f>
        <v>200</v>
      </c>
      <c r="F37" s="300"/>
      <c r="G37" s="302"/>
    </row>
    <row r="38" spans="1:7" ht="13.5" customHeight="1">
      <c r="A38" s="949" t="s">
        <v>799</v>
      </c>
      <c r="B38" s="256" t="s">
        <v>2401</v>
      </c>
      <c r="C38" s="261">
        <f ca="1">ROUND(C34*F38,0)</f>
        <v>75</v>
      </c>
      <c r="D38" s="261"/>
      <c r="E38" s="261"/>
      <c r="F38" s="300">
        <f>'数据-取费表'!B36</f>
        <v>1.4999999999999999E-2</v>
      </c>
      <c r="G38" s="260" t="s">
        <v>2396</v>
      </c>
    </row>
    <row r="39" spans="1:7" s="255" customFormat="1" ht="13.5" customHeight="1">
      <c r="A39" s="296" t="s">
        <v>2402</v>
      </c>
      <c r="B39" s="251" t="s">
        <v>2403</v>
      </c>
      <c r="C39" s="273">
        <f ca="1">ROUND(C33*F20,0)</f>
        <v>119</v>
      </c>
      <c r="D39" s="273"/>
      <c r="E39" s="273"/>
      <c r="F39" s="274"/>
      <c r="G39" s="275" t="s">
        <v>2404</v>
      </c>
    </row>
    <row r="40" spans="1:7" s="255" customFormat="1" ht="13.5" customHeight="1">
      <c r="A40" s="296" t="s">
        <v>2405</v>
      </c>
      <c r="B40" s="251" t="s">
        <v>2406</v>
      </c>
      <c r="C40" s="1725">
        <f>F21</f>
        <v>0.01</v>
      </c>
      <c r="D40" s="277" t="s">
        <v>2407</v>
      </c>
      <c r="E40" s="273"/>
      <c r="F40" s="274"/>
      <c r="G40" s="275" t="s">
        <v>2408</v>
      </c>
    </row>
    <row r="41" spans="1:7" s="255" customFormat="1" ht="13.5" customHeight="1">
      <c r="A41" s="296" t="s">
        <v>2409</v>
      </c>
      <c r="B41" s="251" t="s">
        <v>2410</v>
      </c>
      <c r="C41" s="273">
        <f ca="1">ROUND(SUM(C42:C43),0)</f>
        <v>287</v>
      </c>
      <c r="D41" s="276">
        <f ca="1">C44</f>
        <v>5.0000000000000001E-4</v>
      </c>
      <c r="E41" s="277" t="s">
        <v>2407</v>
      </c>
      <c r="F41" s="278"/>
      <c r="G41" s="275" t="str">
        <f>IF('数据-取费表'!B22&lt;=1,"单利计息","复利计息")</f>
        <v>复利计息</v>
      </c>
    </row>
    <row r="42" spans="1:7" ht="13.5" customHeight="1">
      <c r="A42" s="949" t="s">
        <v>791</v>
      </c>
      <c r="B42" s="256" t="s">
        <v>2411</v>
      </c>
      <c r="C42" s="279">
        <f ca="1">ROUND(IF('数据-取费表'!B22&lt;=1,C33*F22*'数据-取费表'!B20/2,C33*(POWER((1+F22),'数据-取费表'!B20/2)-1)),0)</f>
        <v>281</v>
      </c>
      <c r="D42" s="279"/>
      <c r="E42" s="279"/>
      <c r="F42" s="280"/>
      <c r="G42" s="3309" t="s">
        <v>2459</v>
      </c>
    </row>
    <row r="43" spans="1:7" ht="13.5" customHeight="1">
      <c r="A43" s="949" t="s">
        <v>792</v>
      </c>
      <c r="B43" s="256" t="s">
        <v>2413</v>
      </c>
      <c r="C43" s="279">
        <f ca="1">ROUND(IF('数据-取费表'!B22&lt;=1,C39*F22*'数据-取费表'!B20/2,C39*(POWER((1+F22),'数据-取费表'!B20/2)-1)),0)</f>
        <v>6</v>
      </c>
      <c r="D43" s="279"/>
      <c r="E43" s="279"/>
      <c r="F43" s="280"/>
      <c r="G43" s="3310"/>
    </row>
    <row r="44" spans="1:7" ht="13.5" customHeight="1">
      <c r="A44" s="949" t="s">
        <v>793</v>
      </c>
      <c r="B44" s="256" t="s">
        <v>2414</v>
      </c>
      <c r="C44" s="279">
        <f ca="1">ROUND(IF('数据-取费表'!B22&lt;=1,C40*F22*'数据-取费表'!B20/2,C40*(POWER((1+F22),'数据-取费表'!B20/2)-1)),4)</f>
        <v>5.0000000000000001E-4</v>
      </c>
      <c r="D44" s="279"/>
      <c r="E44" s="279"/>
      <c r="F44" s="280"/>
      <c r="G44" s="3311"/>
    </row>
    <row r="45" spans="1:7" s="255" customFormat="1" ht="13.5" customHeight="1">
      <c r="A45" s="296" t="s">
        <v>2415</v>
      </c>
      <c r="B45" s="285" t="s">
        <v>2381</v>
      </c>
      <c r="C45" s="286">
        <f ca="1">C46</f>
        <v>725</v>
      </c>
      <c r="D45" s="276">
        <f ca="1">C47</f>
        <v>1.1999999999999999E-3</v>
      </c>
      <c r="E45" s="277" t="s">
        <v>2407</v>
      </c>
      <c r="F45" s="287"/>
      <c r="G45" s="288" t="s">
        <v>2416</v>
      </c>
    </row>
    <row r="46" spans="1:7" s="255" customFormat="1" ht="13.5" customHeight="1">
      <c r="A46" s="949" t="s">
        <v>791</v>
      </c>
      <c r="B46" s="289" t="s">
        <v>2417</v>
      </c>
      <c r="C46" s="290">
        <f ca="1">ROUND((C33+C39)*F27,0)</f>
        <v>725</v>
      </c>
      <c r="D46" s="304"/>
      <c r="E46" s="277"/>
      <c r="F46" s="287"/>
      <c r="G46" s="288"/>
    </row>
    <row r="47" spans="1:7" s="255" customFormat="1" ht="13.5" customHeight="1">
      <c r="A47" s="949" t="s">
        <v>792</v>
      </c>
      <c r="B47" s="289" t="s">
        <v>2418</v>
      </c>
      <c r="C47" s="279">
        <f ca="1">ROUND(C40*F27,4)</f>
        <v>1.1999999999999999E-3</v>
      </c>
      <c r="D47" s="304"/>
      <c r="E47" s="277"/>
      <c r="F47" s="287"/>
      <c r="G47" s="288"/>
    </row>
    <row r="48" spans="1:7" s="255" customFormat="1" ht="13.5" customHeight="1">
      <c r="A48" s="296" t="s">
        <v>2380</v>
      </c>
      <c r="B48" s="251" t="s">
        <v>2419</v>
      </c>
      <c r="C48" s="3023">
        <f>ROUND((1/1.1*0.1-C40/1.06*0.06)*(1+'数据-取费表'!B44+'数据-取费表'!B45+'数据-取费表'!B46),4)</f>
        <v>9.9400000000000002E-2</v>
      </c>
      <c r="D48" s="3021">
        <f ca="1">ROUND(((C34+C36+C37)/1.1*0.1+(C35)/1.06*0.06)*(1+'数据-取费表'!B44+'数据-取费表'!B45+'数据-取费表'!B46),0)</f>
        <v>579</v>
      </c>
      <c r="E48" s="273"/>
      <c r="F48" s="278"/>
      <c r="G48" s="275" t="s">
        <v>2420</v>
      </c>
    </row>
    <row r="49" spans="1:7" ht="16.5" customHeight="1">
      <c r="A49" s="296" t="s">
        <v>2386</v>
      </c>
      <c r="B49" s="251" t="s">
        <v>2460</v>
      </c>
      <c r="C49" s="3024">
        <f ca="1">ROUND((C33+C39+C41+C45-D48)/(1-C40-D41-D45-C48),0)</f>
        <v>7287</v>
      </c>
      <c r="D49" s="273"/>
      <c r="E49" s="273"/>
      <c r="F49" s="305"/>
      <c r="G49" s="275" t="s">
        <v>2422</v>
      </c>
    </row>
    <row r="50" spans="1:7" s="299" customFormat="1">
      <c r="A50" s="296" t="s">
        <v>2423</v>
      </c>
      <c r="B50" s="251" t="s">
        <v>2424</v>
      </c>
      <c r="C50" s="273"/>
      <c r="D50" s="273"/>
      <c r="E50" s="273"/>
      <c r="F50" s="305">
        <f>IF('数据-取费表'!B24=0,'数据-取费表'!N16,1)</f>
        <v>1</v>
      </c>
      <c r="G50" s="288"/>
    </row>
    <row r="51" spans="1:7" ht="16.5" customHeight="1">
      <c r="A51" s="296" t="s">
        <v>2426</v>
      </c>
      <c r="B51" s="251" t="s">
        <v>2461</v>
      </c>
      <c r="C51" s="273">
        <f ca="1">ROUND(C49*F50,0)</f>
        <v>7287</v>
      </c>
      <c r="D51" s="273"/>
      <c r="E51" s="273"/>
      <c r="F51" s="305"/>
      <c r="G51" s="275" t="s">
        <v>2428</v>
      </c>
    </row>
    <row r="52" spans="1:7" s="249" customFormat="1" ht="16.5" thickBot="1">
      <c r="A52" s="306" t="s">
        <v>2429</v>
      </c>
      <c r="B52" s="307"/>
      <c r="C52" s="308">
        <f ca="1">C31+C51</f>
        <v>29213</v>
      </c>
      <c r="D52" s="307"/>
      <c r="E52" s="307"/>
      <c r="F52" s="307"/>
      <c r="G52" s="309"/>
    </row>
    <row r="55" spans="1:7" ht="15">
      <c r="B55" s="311" t="s">
        <v>2430</v>
      </c>
      <c r="C55" s="312"/>
    </row>
    <row r="56" spans="1:7">
      <c r="B56" s="314" t="s">
        <v>1513</v>
      </c>
      <c r="C56" s="316">
        <f ca="1">1-C57</f>
        <v>0.751</v>
      </c>
    </row>
    <row r="57" spans="1:7">
      <c r="B57" s="314" t="s">
        <v>1514</v>
      </c>
      <c r="C57" s="315">
        <f ca="1">ROUND(C51/C52,3)</f>
        <v>0.249</v>
      </c>
    </row>
  </sheetData>
  <sheetProtection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3" customWidth="1"/>
    <col min="2" max="2" width="25.75" style="950" customWidth="1"/>
    <col min="3" max="3" width="10.375" style="993" customWidth="1"/>
    <col min="4" max="4" width="9.875" style="950" customWidth="1"/>
    <col min="5" max="5" width="9.5" style="793"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7" t="s">
        <v>2462</v>
      </c>
      <c r="B1" s="1578"/>
      <c r="C1" s="1579"/>
      <c r="D1" s="1577"/>
      <c r="E1" s="317"/>
      <c r="F1" s="317"/>
      <c r="G1" s="1578"/>
      <c r="H1" s="317"/>
      <c r="I1" s="317"/>
      <c r="J1" s="317"/>
      <c r="K1" s="317">
        <f>MATCH(C1,'数据-取费表'!A6:A16,0)+5</f>
        <v>7</v>
      </c>
    </row>
    <row r="2" spans="1:33" ht="18" customHeight="1">
      <c r="A2" s="242" t="s">
        <v>2330</v>
      </c>
      <c r="B2" s="245">
        <f ca="1">C32</f>
        <v>0</v>
      </c>
      <c r="C2" s="317" t="s">
        <v>2463</v>
      </c>
      <c r="D2" s="317"/>
      <c r="E2" s="317"/>
      <c r="F2" s="317"/>
      <c r="G2" s="317"/>
      <c r="H2" s="317"/>
      <c r="I2" s="317"/>
      <c r="J2" s="317"/>
      <c r="K2" s="317"/>
    </row>
    <row r="3" spans="1:33" ht="18" customHeight="1" thickBot="1">
      <c r="A3" s="244" t="s">
        <v>2332</v>
      </c>
      <c r="B3" s="245">
        <f ca="1">ROUND(B2*10000/IF(C1="",'数据-汇总表'!E3,INDIRECT("'数据-取费表'!K"&amp;$K$1)),0)</f>
        <v>0</v>
      </c>
      <c r="C3" s="317" t="s">
        <v>2464</v>
      </c>
      <c r="D3" s="317"/>
      <c r="E3" s="317"/>
      <c r="F3" s="317"/>
      <c r="G3" s="317"/>
      <c r="H3" s="317"/>
      <c r="I3" s="317"/>
      <c r="J3" s="317"/>
      <c r="K3" s="317"/>
    </row>
    <row r="4" spans="1:33" s="954" customFormat="1" ht="16.5" customHeight="1">
      <c r="A4" s="951" t="s">
        <v>2465</v>
      </c>
      <c r="B4" s="952"/>
      <c r="C4" s="994">
        <f>SUM(C8:K8)</f>
        <v>0</v>
      </c>
      <c r="D4" s="952"/>
      <c r="E4" s="952"/>
      <c r="F4" s="952"/>
      <c r="G4" s="952"/>
      <c r="H4" s="952"/>
      <c r="I4" s="952"/>
      <c r="J4" s="952"/>
      <c r="K4" s="953"/>
    </row>
    <row r="5" spans="1:33" s="958" customFormat="1" ht="24.75">
      <c r="A5" s="955" t="s">
        <v>2466</v>
      </c>
      <c r="B5" s="956" t="s">
        <v>2467</v>
      </c>
      <c r="C5" s="2554" t="s">
        <v>2468</v>
      </c>
      <c r="D5" s="2554" t="s">
        <v>2469</v>
      </c>
      <c r="E5" s="2554" t="s">
        <v>2470</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7" t="s">
        <v>2471</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2472</v>
      </c>
      <c r="B7" s="137" t="s">
        <v>2473</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2474</v>
      </c>
      <c r="B8" s="174" t="s">
        <v>2475</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2476</v>
      </c>
      <c r="B9" s="952"/>
      <c r="C9" s="952"/>
      <c r="D9" s="952"/>
      <c r="E9" s="952"/>
      <c r="F9" s="952"/>
      <c r="G9" s="952"/>
      <c r="H9" s="952"/>
      <c r="I9" s="952"/>
      <c r="J9" s="952"/>
      <c r="K9" s="953"/>
    </row>
    <row r="10" spans="1:33" s="968" customFormat="1" ht="13.5" customHeight="1">
      <c r="A10" s="955" t="s">
        <v>2477</v>
      </c>
      <c r="B10" s="8" t="s">
        <v>2478</v>
      </c>
      <c r="C10" s="964" t="s">
        <v>2479</v>
      </c>
      <c r="D10" s="965" t="s">
        <v>2480</v>
      </c>
      <c r="E10" s="965" t="s">
        <v>2481</v>
      </c>
      <c r="F10" s="965" t="s">
        <v>2482</v>
      </c>
      <c r="G10" s="8"/>
      <c r="H10" s="966"/>
      <c r="I10" s="966"/>
      <c r="J10" s="966"/>
      <c r="K10" s="967"/>
    </row>
    <row r="11" spans="1:33" s="973" customFormat="1" ht="13.5" customHeight="1">
      <c r="A11" s="969" t="s">
        <v>1334</v>
      </c>
      <c r="B11" s="970" t="s">
        <v>2483</v>
      </c>
      <c r="C11" s="320">
        <f ca="1">IF(C1="",'数据-取费表'!P16,INDIRECT("'数据-取费表'!p"&amp;$K$1)+INDIRECT("'数据-取费表'!ar"&amp;$K$1))</f>
        <v>0</v>
      </c>
      <c r="D11" s="971"/>
      <c r="E11" s="372"/>
      <c r="F11" s="972">
        <f ca="1">1-IF('数据-取费表'!B24=0,1,IF(C1="",'数据-取费表'!N16,INDIRECT("'数据-取费表'!n"&amp;$K$1)))</f>
        <v>0</v>
      </c>
      <c r="G11" s="8"/>
      <c r="H11" s="966"/>
      <c r="I11" s="966"/>
      <c r="J11" s="966"/>
      <c r="K11" s="967"/>
    </row>
    <row r="12" spans="1:33" s="973" customFormat="1" ht="13.5" customHeight="1">
      <c r="A12" s="969" t="s">
        <v>1335</v>
      </c>
      <c r="B12" s="970" t="s">
        <v>2484</v>
      </c>
      <c r="C12" s="24">
        <f ca="1">ROUND(C11*F12,0)</f>
        <v>0</v>
      </c>
      <c r="D12" s="971"/>
      <c r="E12" s="372"/>
      <c r="F12" s="974">
        <f>'数据-取费表'!B33</f>
        <v>0.03</v>
      </c>
      <c r="G12" s="8" t="s">
        <v>2485</v>
      </c>
      <c r="H12" s="966"/>
      <c r="I12" s="966"/>
      <c r="J12" s="966"/>
      <c r="K12" s="967"/>
    </row>
    <row r="13" spans="1:33" s="973" customFormat="1" ht="13.5" customHeight="1">
      <c r="A13" s="969" t="s">
        <v>1336</v>
      </c>
      <c r="B13" s="970" t="s">
        <v>2486</v>
      </c>
      <c r="C13" s="24">
        <f ca="1">ROUND(IF(C1="",SUMIF('数据-取费表'!C:C,"住宅",'数据-取费表'!P:P)*F13,IF(INDIRECT("'数据-取费表'!c"&amp;$K$1)="住宅",INDIRECT("'数据-取费表'!P"&amp;$K$1)*F13,0)),0)</f>
        <v>0</v>
      </c>
      <c r="D13" s="1031"/>
      <c r="E13" s="372"/>
      <c r="F13" s="974">
        <f>'数据-取费表'!B34</f>
        <v>0.1</v>
      </c>
      <c r="G13" s="8" t="s">
        <v>2487</v>
      </c>
      <c r="H13" s="966"/>
      <c r="I13" s="966"/>
      <c r="J13" s="966"/>
      <c r="K13" s="967"/>
    </row>
    <row r="14" spans="1:33" s="975" customFormat="1" ht="13.5" customHeight="1">
      <c r="A14" s="969" t="s">
        <v>1337</v>
      </c>
      <c r="B14" s="970" t="s">
        <v>2488</v>
      </c>
      <c r="C14" s="24">
        <f ca="1">ROUND(D14*E14*F11/10000,0)</f>
        <v>0</v>
      </c>
      <c r="D14" s="1031">
        <f ca="1">IF(C1="",'数据-汇总表'!E3,INDIRECT("'数据-取费表'!K"&amp;$K$1)+INDIRECT("'数据-取费表'!S"&amp;$K$1))</f>
        <v>1</v>
      </c>
      <c r="E14" s="24">
        <f>'数据-取费表'!B35</f>
        <v>200</v>
      </c>
      <c r="F14" s="974"/>
      <c r="G14" s="8" t="s">
        <v>2489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2490</v>
      </c>
      <c r="C15" s="981">
        <f ca="1">ROUND(C11*F15,0)</f>
        <v>0</v>
      </c>
      <c r="D15" s="976"/>
      <c r="E15" s="981"/>
      <c r="F15" s="982">
        <f>'数据-取费表'!B36</f>
        <v>1.4999999999999999E-2</v>
      </c>
      <c r="G15" s="137" t="s">
        <v>2491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2492</v>
      </c>
      <c r="C16" s="981">
        <f ca="1">SUM(C11:C15)</f>
        <v>0</v>
      </c>
      <c r="D16" s="976"/>
      <c r="E16" s="981"/>
      <c r="F16" s="982"/>
      <c r="G16" s="137"/>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2493</v>
      </c>
      <c r="C17" s="24">
        <f ca="1">ROUND(D17*E17/10000,0)</f>
        <v>0</v>
      </c>
      <c r="D17" s="1031">
        <f ca="1">D14</f>
        <v>1</v>
      </c>
      <c r="E17" s="24">
        <f>'数据-取费表'!B32</f>
        <v>0</v>
      </c>
      <c r="F17" s="976"/>
      <c r="G17" s="137" t="s">
        <v>2494</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2495</v>
      </c>
      <c r="C18" s="24">
        <f ca="1">C19+C20-IF(C1="",'数据-取费表'!B29,IF(G18="已全部缴纳",C19+C20,H18))</f>
        <v>0</v>
      </c>
      <c r="D18" s="1031"/>
      <c r="E18" s="24"/>
      <c r="F18" s="974"/>
      <c r="G18" s="2556"/>
      <c r="H18" s="1574"/>
      <c r="I18" s="2557" t="s">
        <v>2496</v>
      </c>
      <c r="J18" s="977"/>
      <c r="K18" s="978"/>
    </row>
    <row r="19" spans="1:33" s="973" customFormat="1" ht="13.5" customHeight="1">
      <c r="A19" s="969" t="s">
        <v>805</v>
      </c>
      <c r="B19" s="970" t="s">
        <v>2497</v>
      </c>
      <c r="C19" s="24">
        <f ca="1">ROUND(D19*E19/10000,0)</f>
        <v>0</v>
      </c>
      <c r="D19" s="1031">
        <f ca="1">IF(C1="",'数据-汇总表'!E5,IF(INDIRECT("'数据-取费表'!c"&amp;$K$1)="住宅",INDIRECT("'数据-取费表'!k"&amp;$K$1),0))</f>
        <v>1</v>
      </c>
      <c r="E19" s="24">
        <f>'数据-取费表'!B27</f>
        <v>160</v>
      </c>
      <c r="F19" s="974"/>
      <c r="G19" s="15"/>
      <c r="H19" s="1576"/>
      <c r="I19" s="979"/>
      <c r="J19" s="979"/>
      <c r="K19" s="980"/>
    </row>
    <row r="20" spans="1:33" s="973" customFormat="1" ht="13.5" customHeight="1">
      <c r="A20" s="969" t="s">
        <v>806</v>
      </c>
      <c r="B20" s="970" t="s">
        <v>2498</v>
      </c>
      <c r="C20" s="24">
        <f ca="1">ROUND(D20*E20/10000,0)</f>
        <v>0</v>
      </c>
      <c r="D20" s="1031">
        <f ca="1">IF(C1="",'数据-汇总表'!E6,IF(INDIRECT("'数据-取费表'!c"&amp;$K$1)="住宅",INDIRECT("'数据-取费表'!s"&amp;$K$1),INDIRECT("'数据-取费表'!k"&amp;$K$1)+INDIRECT("'数据-取费表'!s"&amp;$K$1)))</f>
        <v>0</v>
      </c>
      <c r="E20" s="24">
        <f>'数据-取费表'!B28</f>
        <v>0</v>
      </c>
      <c r="F20" s="974"/>
      <c r="G20" s="15"/>
      <c r="H20" s="979"/>
      <c r="I20" s="979"/>
      <c r="J20" s="979"/>
      <c r="K20" s="980"/>
    </row>
    <row r="21" spans="1:33" s="973" customFormat="1" ht="13.5" customHeight="1">
      <c r="A21" s="959" t="s">
        <v>802</v>
      </c>
      <c r="B21" s="983" t="s">
        <v>2499</v>
      </c>
      <c r="C21" s="984">
        <f ca="1">C16+C17+C18</f>
        <v>0</v>
      </c>
      <c r="D21" s="985"/>
      <c r="E21" s="322"/>
      <c r="F21" s="322"/>
      <c r="G21" s="137" t="s">
        <v>2500</v>
      </c>
      <c r="H21" s="977"/>
      <c r="I21" s="977"/>
      <c r="J21" s="977"/>
      <c r="K21" s="978"/>
    </row>
    <row r="22" spans="1:33" s="973" customFormat="1" ht="13.5" customHeight="1">
      <c r="A22" s="959" t="s">
        <v>2472</v>
      </c>
      <c r="B22" s="983" t="s">
        <v>2501</v>
      </c>
      <c r="C22" s="984">
        <f ca="1">ROUND(C21*F22,0)</f>
        <v>0</v>
      </c>
      <c r="D22" s="322"/>
      <c r="E22" s="322"/>
      <c r="F22" s="986">
        <f>'数据-取费表'!B37</f>
        <v>0.02</v>
      </c>
      <c r="G22" s="8" t="s">
        <v>2502</v>
      </c>
      <c r="H22" s="966"/>
      <c r="I22" s="966"/>
      <c r="J22" s="966"/>
      <c r="K22" s="967"/>
    </row>
    <row r="23" spans="1:33" s="973" customFormat="1" ht="13.5" customHeight="1">
      <c r="A23" s="959" t="s">
        <v>2474</v>
      </c>
      <c r="B23" s="983" t="s">
        <v>2503</v>
      </c>
      <c r="C23" s="984">
        <f ca="1">ROUND(C4*F23*F11,0)</f>
        <v>0</v>
      </c>
      <c r="D23" s="322"/>
      <c r="E23" s="322"/>
      <c r="F23" s="986">
        <f>'数据-取费表'!B38</f>
        <v>0.01</v>
      </c>
      <c r="G23" s="8" t="s">
        <v>2504</v>
      </c>
      <c r="H23" s="966"/>
      <c r="I23" s="966"/>
      <c r="J23" s="966"/>
      <c r="K23" s="967"/>
    </row>
    <row r="24" spans="1:33" s="973" customFormat="1" ht="13.5" customHeight="1">
      <c r="A24" s="959" t="s">
        <v>2505</v>
      </c>
      <c r="B24" s="983" t="s">
        <v>2506</v>
      </c>
      <c r="C24" s="321">
        <f>ROUND(F24/(1+'数据-取费表'!C42),4)</f>
        <v>2.9000000000000001E-2</v>
      </c>
      <c r="D24" s="322" t="s">
        <v>15</v>
      </c>
      <c r="E24" s="322"/>
      <c r="F24" s="986">
        <f>'数据-取费表'!B48+'数据-取费表'!B49</f>
        <v>3.0499999999999999E-2</v>
      </c>
      <c r="G24" s="8" t="s">
        <v>2507</v>
      </c>
      <c r="H24" s="988"/>
      <c r="I24" s="988"/>
      <c r="J24" s="988"/>
      <c r="K24" s="989"/>
    </row>
    <row r="25" spans="1:33" s="973" customFormat="1" ht="13.5" customHeight="1">
      <c r="A25" s="959" t="s">
        <v>2508</v>
      </c>
      <c r="B25" s="985" t="s">
        <v>2509</v>
      </c>
      <c r="C25" s="1354">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2510</v>
      </c>
      <c r="C26" s="1355">
        <f ca="1">ROUND(IF('数据-取费表'!B22&lt;=1,(1+C24)*F25*'数据-取费表'!B24,(1+C24)*(POWER((1+F25),'数据-取费表'!B24)-1)),4)</f>
        <v>0</v>
      </c>
      <c r="D26" s="325"/>
      <c r="E26" s="326"/>
      <c r="F26" s="327"/>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2511</v>
      </c>
      <c r="C27" s="1356">
        <f ca="1">ROUND(IF('数据-取费表'!B22&lt;=1,(C21+C22+C23)*F25*'数据-取费表'!B24/2,(C21+C22+C23)*(POWER((1+F25),'数据-取费表'!B24/2)-1)),0)</f>
        <v>0</v>
      </c>
      <c r="D27" s="325"/>
      <c r="E27" s="326"/>
      <c r="F27" s="327"/>
      <c r="G27" s="2558" t="str">
        <f>IF('数据-取费表'!B22&lt;=1,"（1）-（3）项×年利率×建设期÷2","（1）-（3）项×((1+年利率)^(建设期÷2)-1)")</f>
        <v>（1）-（3）项×((1+年利率)^(建设期÷2)-1)</v>
      </c>
      <c r="H27" s="977"/>
      <c r="I27" s="977"/>
      <c r="J27" s="977"/>
      <c r="K27" s="978"/>
    </row>
    <row r="28" spans="1:33" s="330" customFormat="1" ht="13.5" customHeight="1">
      <c r="A28" s="959" t="s">
        <v>2512</v>
      </c>
      <c r="B28" s="2559" t="s">
        <v>2513</v>
      </c>
      <c r="C28" s="328">
        <f ca="1">C30</f>
        <v>0</v>
      </c>
      <c r="D28" s="321">
        <f ca="1">C29</f>
        <v>0</v>
      </c>
      <c r="E28" s="323" t="s">
        <v>15</v>
      </c>
      <c r="F28" s="329">
        <f ca="1">IF(C1="",'数据-取费表'!Q16,INDIRECT("'数据-取费表'!q"&amp;$K$1))</f>
        <v>0.12</v>
      </c>
      <c r="G28" s="987"/>
      <c r="H28" s="988"/>
      <c r="I28" s="988"/>
      <c r="J28" s="988"/>
      <c r="K28" s="989"/>
    </row>
    <row r="29" spans="1:33" s="332" customFormat="1" ht="13.5" customHeight="1">
      <c r="A29" s="969" t="s">
        <v>803</v>
      </c>
      <c r="B29" s="992" t="s">
        <v>2514</v>
      </c>
      <c r="C29" s="325">
        <f ca="1">ROUND((1+C24)*F28*'数据-取费表'!B24/'数据-取费表'!B20,4)</f>
        <v>0</v>
      </c>
      <c r="D29" s="325"/>
      <c r="E29" s="326"/>
      <c r="F29" s="331"/>
      <c r="G29" s="137" t="s">
        <v>2515</v>
      </c>
      <c r="H29" s="977"/>
      <c r="I29" s="977"/>
      <c r="J29" s="977"/>
      <c r="K29" s="978"/>
    </row>
    <row r="30" spans="1:33" s="332" customFormat="1" ht="13.5" customHeight="1">
      <c r="A30" s="969" t="s">
        <v>804</v>
      </c>
      <c r="B30" s="992" t="s">
        <v>2516</v>
      </c>
      <c r="C30" s="333">
        <f ca="1">ROUND((C21+C22+C23)*F28,0)</f>
        <v>0</v>
      </c>
      <c r="D30" s="325"/>
      <c r="E30" s="326"/>
      <c r="F30" s="331"/>
      <c r="G30" s="137"/>
      <c r="H30" s="977"/>
      <c r="I30" s="977"/>
      <c r="J30" s="977"/>
      <c r="K30" s="978"/>
    </row>
    <row r="31" spans="1:33" s="973" customFormat="1" ht="13.5" customHeight="1" thickBot="1">
      <c r="A31" s="2560" t="s">
        <v>2517</v>
      </c>
      <c r="B31" s="1003" t="s">
        <v>2518</v>
      </c>
      <c r="C31" s="1004">
        <f>ROUND(C4*F31/(1+'数据-取费表'!C42),0)</f>
        <v>0</v>
      </c>
      <c r="D31" s="1005"/>
      <c r="E31" s="1006"/>
      <c r="F31" s="1007">
        <f>'数据-取费表'!B41</f>
        <v>5.5000000000000007E-2</v>
      </c>
      <c r="G31" s="1008" t="s">
        <v>2519</v>
      </c>
      <c r="H31" s="1009"/>
      <c r="I31" s="1009"/>
      <c r="J31" s="1009"/>
      <c r="K31" s="1010"/>
    </row>
    <row r="32" spans="1:33" s="968" customFormat="1" ht="13.5" customHeight="1" thickBot="1">
      <c r="A32" s="998" t="s">
        <v>2520</v>
      </c>
      <c r="B32" s="999"/>
      <c r="C32" s="1000">
        <f ca="1">ROUND((C4-C21-C22-C23-C25-C28-C31)/(1+C24+D25+D28),0)</f>
        <v>0</v>
      </c>
      <c r="D32" s="999"/>
      <c r="E32" s="999"/>
      <c r="F32" s="999"/>
      <c r="G32" s="1001" t="s">
        <v>2521</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299" customWidth="1"/>
    <col min="2" max="2" width="20.625" style="702" customWidth="1"/>
    <col min="3" max="3" width="11.875" style="702"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1589</v>
      </c>
      <c r="B1" s="777"/>
      <c r="C1" s="1834"/>
      <c r="D1" s="1817"/>
      <c r="E1" s="1818" t="s">
        <v>1387</v>
      </c>
      <c r="F1" s="1281" t="b">
        <f>J53</f>
        <v>0</v>
      </c>
      <c r="G1" s="1833">
        <f>MATCH(C1,'数据-取费表'!A6:A16,0)+5</f>
        <v>7</v>
      </c>
      <c r="H1" s="747"/>
      <c r="I1" s="336"/>
      <c r="J1" s="336"/>
      <c r="K1" s="748"/>
      <c r="L1" s="336"/>
      <c r="M1" s="336"/>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0" t="s">
        <v>1515</v>
      </c>
      <c r="B2" s="1841" t="e">
        <f ca="1">C40+J29+L46</f>
        <v>#DIV/0!</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39" t="s">
        <v>1588</v>
      </c>
      <c r="I3" s="1837"/>
      <c r="J3" s="1837"/>
      <c r="K3" s="1838"/>
      <c r="L3" s="1837"/>
      <c r="M3" s="1837"/>
    </row>
    <row r="4" spans="1:37" ht="18" customHeight="1">
      <c r="A4" s="337" t="s">
        <v>1396</v>
      </c>
      <c r="B4" s="338" t="s">
        <v>1397</v>
      </c>
      <c r="C4" s="338" t="s">
        <v>1398</v>
      </c>
      <c r="D4" s="338" t="s">
        <v>1399</v>
      </c>
      <c r="E4" s="339" t="s">
        <v>1400</v>
      </c>
      <c r="F4" s="340"/>
      <c r="G4" s="1848"/>
      <c r="H4" s="337" t="s">
        <v>1396</v>
      </c>
      <c r="I4" s="338" t="s">
        <v>1397</v>
      </c>
      <c r="J4" s="338" t="s">
        <v>1398</v>
      </c>
      <c r="K4" s="338" t="s">
        <v>1399</v>
      </c>
      <c r="L4" s="339" t="s">
        <v>1400</v>
      </c>
      <c r="M4" s="340"/>
    </row>
    <row r="5" spans="1:37" ht="18" customHeight="1">
      <c r="A5" s="341">
        <v>1</v>
      </c>
      <c r="B5" s="342" t="s">
        <v>1401</v>
      </c>
      <c r="C5" s="1290">
        <f ca="1">C6+C10+C12</f>
        <v>0</v>
      </c>
      <c r="D5" s="1819" t="s">
        <v>1402</v>
      </c>
      <c r="E5" s="1291"/>
      <c r="F5" s="1292"/>
      <c r="G5" s="1848"/>
      <c r="H5" s="341">
        <v>1</v>
      </c>
      <c r="I5" s="342" t="s">
        <v>1401</v>
      </c>
      <c r="J5" s="1290">
        <f ca="1">J6+J10+J12</f>
        <v>0</v>
      </c>
      <c r="K5" s="1819" t="s">
        <v>1402</v>
      </c>
      <c r="L5" s="1291"/>
      <c r="M5" s="1292"/>
    </row>
    <row r="6" spans="1:37" ht="18" customHeight="1">
      <c r="A6" s="1289" t="s">
        <v>1035</v>
      </c>
      <c r="B6" s="3360" t="s">
        <v>1403</v>
      </c>
      <c r="C6" s="1294">
        <f ca="1">ROUND(F6*F8*F7*(1-F9)/10000,0)</f>
        <v>0</v>
      </c>
      <c r="D6" s="161" t="s">
        <v>3033</v>
      </c>
      <c r="E6" s="344" t="s">
        <v>1405</v>
      </c>
      <c r="F6" s="345">
        <f ca="1">INDIRECT("'数据-取费表'!u"&amp;$G$1)</f>
        <v>0</v>
      </c>
      <c r="G6" s="1848"/>
      <c r="H6" s="1289" t="s">
        <v>1035</v>
      </c>
      <c r="I6" s="3360" t="s">
        <v>1403</v>
      </c>
      <c r="J6" s="343">
        <f ca="1">ROUND(M6*M8*M7*(1-M9)/10000,0)</f>
        <v>0</v>
      </c>
      <c r="K6" s="161" t="s">
        <v>3032</v>
      </c>
      <c r="L6" s="344" t="s">
        <v>1405</v>
      </c>
      <c r="M6" s="345">
        <f ca="1">INDIRECT("'数据-取费表'!z"&amp;$G$1)</f>
        <v>0</v>
      </c>
    </row>
    <row r="7" spans="1:37" ht="18" customHeight="1">
      <c r="A7" s="1293"/>
      <c r="B7" s="3361"/>
      <c r="C7" s="1295"/>
      <c r="D7" s="349"/>
      <c r="E7" s="1296" t="s">
        <v>1406</v>
      </c>
      <c r="F7" s="345">
        <f ca="1">IF(INDIRECT("'数据-取费表'!ah"&amp;$G$1)="",INDIRECT("'数据-取费表'!k"&amp;$G$1),INDIRECT("'数据-取费表'!ah"&amp;$G$1))</f>
        <v>0</v>
      </c>
      <c r="G7" s="1848"/>
      <c r="H7" s="346"/>
      <c r="I7" s="3361"/>
      <c r="J7" s="348"/>
      <c r="K7" s="349"/>
      <c r="L7" s="344" t="s">
        <v>1406</v>
      </c>
      <c r="M7" s="345">
        <f ca="1">F7</f>
        <v>0</v>
      </c>
    </row>
    <row r="8" spans="1:37" ht="18" customHeight="1">
      <c r="A8" s="346"/>
      <c r="B8" s="3361"/>
      <c r="C8" s="348"/>
      <c r="D8" s="349"/>
      <c r="E8" s="344" t="s">
        <v>1407</v>
      </c>
      <c r="F8" s="345">
        <f ca="1">INDIRECT("'数据-取费表'!ai"&amp;$G$1)</f>
        <v>0</v>
      </c>
      <c r="G8" s="1848"/>
      <c r="H8" s="346"/>
      <c r="I8" s="3361"/>
      <c r="J8" s="348"/>
      <c r="K8" s="349"/>
      <c r="L8" s="344" t="s">
        <v>1407</v>
      </c>
      <c r="M8" s="345">
        <f ca="1">INDIRECT("'数据-取费表'!ai"&amp;$G$1)</f>
        <v>0</v>
      </c>
    </row>
    <row r="9" spans="1:37" ht="18" customHeight="1">
      <c r="A9" s="346"/>
      <c r="B9" s="3362"/>
      <c r="C9" s="348"/>
      <c r="D9" s="349"/>
      <c r="E9" s="344" t="s">
        <v>1408</v>
      </c>
      <c r="F9" s="354">
        <f ca="1">INDIRECT("'数据-取费表'!w"&amp;$G$1)</f>
        <v>0</v>
      </c>
      <c r="G9" s="1848"/>
      <c r="H9" s="346"/>
      <c r="I9" s="3362"/>
      <c r="J9" s="348"/>
      <c r="K9" s="349"/>
      <c r="L9" s="355" t="s">
        <v>1408</v>
      </c>
      <c r="M9" s="356">
        <f ca="1">INDIRECT("'数据-取费表'!ab"&amp;$G$1)</f>
        <v>0</v>
      </c>
    </row>
    <row r="10" spans="1:37" ht="18" customHeight="1">
      <c r="A10" s="1289" t="s">
        <v>1039</v>
      </c>
      <c r="B10" s="1820" t="s">
        <v>1409</v>
      </c>
      <c r="C10" s="358">
        <f ca="1">ROUND(IF(F10="押一",C6/12*F11,IF(F10="押二",C6/12*2*F11,IF(F10="押三",C6/12*3*F11,C11*F11))),0)</f>
        <v>0</v>
      </c>
      <c r="D10" s="1821" t="s">
        <v>3042</v>
      </c>
      <c r="E10" s="355" t="s">
        <v>1410</v>
      </c>
      <c r="F10" s="1364"/>
      <c r="G10" s="1848"/>
      <c r="H10" s="1289" t="s">
        <v>1039</v>
      </c>
      <c r="I10" s="1820" t="s">
        <v>1409</v>
      </c>
      <c r="J10" s="343">
        <f ca="1">ROUND(IF(M10="押一",J6/12*M11,IF(M10="押二",J6/12*2*M11,IF(M10="押三",J6/12*3*M11,J11*M11))),0)</f>
        <v>0</v>
      </c>
      <c r="K10" s="1821" t="s">
        <v>3041</v>
      </c>
      <c r="L10" s="355" t="s">
        <v>1410</v>
      </c>
      <c r="M10" s="1364" t="s">
        <v>1411</v>
      </c>
    </row>
    <row r="11" spans="1:37" ht="18" customHeight="1">
      <c r="A11" s="350"/>
      <c r="B11" s="1822" t="s">
        <v>1388</v>
      </c>
      <c r="C11" s="1176"/>
      <c r="D11" s="1823"/>
      <c r="E11" s="355" t="s">
        <v>1412</v>
      </c>
      <c r="F11" s="356">
        <f ca="1">'数据-取费表'!B39</f>
        <v>1.4999999999999999E-2</v>
      </c>
      <c r="G11" s="1848"/>
      <c r="H11" s="1297"/>
      <c r="I11" s="1822" t="s">
        <v>1388</v>
      </c>
      <c r="J11" s="1176"/>
      <c r="K11" s="743"/>
      <c r="L11" s="355"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2">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199" t="s">
        <v>1034</v>
      </c>
      <c r="B14" s="344" t="s">
        <v>1417</v>
      </c>
      <c r="C14" s="360">
        <f ca="1">INDIRECT("'数据-取费表'!m"&amp;$G$1)+INDIRECT("'数据-取费表'!t"&amp;$G$1)</f>
        <v>0</v>
      </c>
      <c r="D14" s="1797" t="s">
        <v>1418</v>
      </c>
      <c r="E14" s="1791"/>
      <c r="F14" s="361"/>
      <c r="G14" s="1848"/>
      <c r="H14" s="1199" t="s">
        <v>1035</v>
      </c>
      <c r="I14" s="344" t="s">
        <v>1419</v>
      </c>
      <c r="J14" s="24">
        <f ca="1">C29</f>
        <v>0</v>
      </c>
      <c r="K14" s="15"/>
      <c r="L14" s="977"/>
      <c r="M14" s="978"/>
    </row>
    <row r="15" spans="1:37" s="1855" customFormat="1" ht="18" customHeight="1" thickBot="1">
      <c r="A15" s="1199" t="s">
        <v>1036</v>
      </c>
      <c r="B15" s="344" t="s">
        <v>1420</v>
      </c>
      <c r="C15" s="24">
        <f ca="1">ROUND(C14*F15,0)</f>
        <v>0</v>
      </c>
      <c r="D15" s="362" t="s">
        <v>1421</v>
      </c>
      <c r="E15" s="362" t="s">
        <v>1422</v>
      </c>
      <c r="F15" s="363">
        <f>'数据-取费表'!B33</f>
        <v>0.03</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4" t="s">
        <v>1423</v>
      </c>
      <c r="C16" s="24">
        <f ca="1">ROUND(INDIRECT("'数据-取费表'!m"&amp;$G$1)*F16,0)</f>
        <v>0</v>
      </c>
      <c r="D16" s="344" t="s">
        <v>1421</v>
      </c>
      <c r="E16" s="344" t="s">
        <v>1422</v>
      </c>
      <c r="F16" s="364">
        <f ca="1">IF(INDIRECT("'数据-取费表'!c"&amp;$G$1)="住宅",'数据-取费表'!B34,0)</f>
        <v>0</v>
      </c>
      <c r="G16" s="1848"/>
      <c r="H16" s="1327" t="s">
        <v>1030</v>
      </c>
      <c r="I16" s="1328" t="s">
        <v>1424</v>
      </c>
      <c r="J16" s="352">
        <f ca="1">ROUND(J17+J22+J23+J24,0)</f>
        <v>0</v>
      </c>
      <c r="K16" s="1335" t="s">
        <v>1425</v>
      </c>
      <c r="L16" s="1336"/>
      <c r="M16" s="1292"/>
    </row>
    <row r="17" spans="1:37" s="1855" customFormat="1" ht="18" customHeight="1">
      <c r="A17" s="1199" t="s">
        <v>1390</v>
      </c>
      <c r="B17" s="344" t="s">
        <v>1426</v>
      </c>
      <c r="C17" s="24">
        <f ca="1">ROUND(F17*(F43+INDIRECT("'数据-取费表'!S"&amp;$G$1))/10000,0)</f>
        <v>0</v>
      </c>
      <c r="D17" s="344" t="s">
        <v>1427</v>
      </c>
      <c r="E17" s="344" t="s">
        <v>1428</v>
      </c>
      <c r="F17" s="26">
        <f>'数据-取费表'!B35</f>
        <v>200</v>
      </c>
      <c r="G17" s="1851"/>
      <c r="H17" s="1199" t="s">
        <v>1035</v>
      </c>
      <c r="I17" s="344" t="s">
        <v>1429</v>
      </c>
      <c r="J17" s="24">
        <f ca="1">ROUND(IF(项目基本情况!B11="自然人",J5*M17,J18+J19+J20),1)</f>
        <v>0</v>
      </c>
      <c r="K17" s="1797" t="s">
        <v>1430</v>
      </c>
      <c r="L17" s="1795" t="s">
        <v>1431</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4" t="s">
        <v>1432</v>
      </c>
      <c r="C18" s="24">
        <f ca="1">ROUND(C14*F18,0)</f>
        <v>0</v>
      </c>
      <c r="D18" s="344" t="s">
        <v>1421</v>
      </c>
      <c r="E18" s="344" t="s">
        <v>1422</v>
      </c>
      <c r="F18" s="364">
        <f>'数据-取费表'!B36</f>
        <v>1.4999999999999999E-2</v>
      </c>
      <c r="G18" s="1851"/>
      <c r="H18" s="1199" t="s">
        <v>1034</v>
      </c>
      <c r="I18" s="344" t="s">
        <v>1433</v>
      </c>
      <c r="J18" s="24">
        <f ca="1">ROUND(J5*M18/(1+'数据-取费表'!C42),2)</f>
        <v>0</v>
      </c>
      <c r="K18" s="1795" t="s">
        <v>1434</v>
      </c>
      <c r="L18" s="344" t="s">
        <v>1422</v>
      </c>
      <c r="M18" s="364">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4" t="s">
        <v>1435</v>
      </c>
      <c r="C19" s="24">
        <f ca="1">SUM(C14:C18)</f>
        <v>0</v>
      </c>
      <c r="D19" s="137" t="s">
        <v>1436</v>
      </c>
      <c r="E19" s="1815"/>
      <c r="F19" s="26"/>
      <c r="G19" s="1848"/>
      <c r="H19" s="1199" t="s">
        <v>1036</v>
      </c>
      <c r="I19" s="344" t="s">
        <v>1437</v>
      </c>
      <c r="J19" s="24">
        <f ca="1">IF(K19="按租金收入计税",ROUND(J5*M19,2),ROUND(C29*M19*0.7,2))</f>
        <v>0</v>
      </c>
      <c r="K19" s="1825" t="s">
        <v>1438</v>
      </c>
      <c r="L19" s="344" t="s">
        <v>1422</v>
      </c>
      <c r="M19" s="364">
        <f>IF(K19="按租金收入计税",'数据-取费表'!B51,'数据-取费表'!B50)</f>
        <v>1.2E-2</v>
      </c>
    </row>
    <row r="20" spans="1:37" s="1855" customFormat="1" ht="18" customHeight="1">
      <c r="A20" s="1199" t="s">
        <v>1039</v>
      </c>
      <c r="B20" s="344" t="s">
        <v>1439</v>
      </c>
      <c r="C20" s="24">
        <f ca="1">ROUND(C19*F20,0)</f>
        <v>0</v>
      </c>
      <c r="D20" s="366" t="s">
        <v>1440</v>
      </c>
      <c r="E20" s="344" t="s">
        <v>1422</v>
      </c>
      <c r="F20" s="364">
        <f>'数据-取费表'!B37</f>
        <v>0.02</v>
      </c>
      <c r="G20" s="1851"/>
      <c r="H20" s="1199" t="s">
        <v>1389</v>
      </c>
      <c r="I20" s="161" t="s">
        <v>1441</v>
      </c>
      <c r="J20" s="25">
        <f ca="1">ROUND(M20*M21/10000,2)</f>
        <v>0</v>
      </c>
      <c r="K20" s="367" t="s">
        <v>1442</v>
      </c>
      <c r="L20" s="344" t="s">
        <v>1443</v>
      </c>
      <c r="M20" s="368">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4" t="s">
        <v>1444</v>
      </c>
      <c r="C21" s="24" t="s">
        <v>18</v>
      </c>
      <c r="D21" s="366" t="s">
        <v>1445</v>
      </c>
      <c r="E21" s="344" t="s">
        <v>1446</v>
      </c>
      <c r="F21" s="364">
        <f>'数据-取费表'!B38</f>
        <v>0.01</v>
      </c>
      <c r="G21" s="1851"/>
      <c r="H21" s="369"/>
      <c r="I21" s="353"/>
      <c r="J21" s="29"/>
      <c r="K21" s="370"/>
      <c r="L21" s="344" t="s">
        <v>1447</v>
      </c>
      <c r="M21" s="345">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4" t="s">
        <v>1448</v>
      </c>
      <c r="C22" s="24"/>
      <c r="D22" s="137" t="str">
        <f>IF(F23&lt;=1,"单利计息。","复利计息。")&amp;"建造成本、管理费用、销售费用产生的利息。"</f>
        <v>复利计息。建造成本、管理费用、销售费用产生的利息。</v>
      </c>
      <c r="E22" s="1815"/>
      <c r="F22" s="26"/>
      <c r="G22" s="1848"/>
      <c r="H22" s="1199" t="s">
        <v>1039</v>
      </c>
      <c r="I22" s="344" t="s">
        <v>1449</v>
      </c>
      <c r="J22" s="24">
        <f ca="1">ROUND(J14*M22,1)</f>
        <v>0</v>
      </c>
      <c r="K22" s="1795" t="s">
        <v>1450</v>
      </c>
      <c r="L22" s="344" t="s">
        <v>1422</v>
      </c>
      <c r="M22" s="371">
        <f ca="1">INDIRECT("'数据-取费表'!Ak"&amp;$G$1)</f>
        <v>0</v>
      </c>
    </row>
    <row r="23" spans="1:37" s="1855" customFormat="1" ht="18" customHeight="1">
      <c r="A23" s="1199"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51"/>
      <c r="H23" s="1199" t="s">
        <v>1075</v>
      </c>
      <c r="I23" s="344" t="s">
        <v>1453</v>
      </c>
      <c r="J23" s="24">
        <f ca="1">ROUND(J13*M23,1)</f>
        <v>0</v>
      </c>
      <c r="K23" s="1795" t="s">
        <v>1454</v>
      </c>
      <c r="L23" s="344" t="s">
        <v>1455</v>
      </c>
      <c r="M23" s="373">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51"/>
      <c r="H24" s="1337" t="s">
        <v>1393</v>
      </c>
      <c r="I24" s="1338" t="s">
        <v>1439</v>
      </c>
      <c r="J24" s="1339">
        <f ca="1">ROUND(J5*M24,1)</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4" t="s">
        <v>1461</v>
      </c>
      <c r="C25" s="24"/>
      <c r="D25" s="137" t="s">
        <v>1462</v>
      </c>
      <c r="E25" s="1815"/>
      <c r="F25" s="26"/>
      <c r="G25" s="1848"/>
      <c r="H25" s="1327" t="s">
        <v>1031</v>
      </c>
      <c r="I25" s="1342" t="s">
        <v>1463</v>
      </c>
      <c r="J25" s="352">
        <f ca="1">J5-J16</f>
        <v>0</v>
      </c>
      <c r="K25" s="1343" t="s">
        <v>1464</v>
      </c>
      <c r="L25" s="1344"/>
      <c r="M25" s="1345"/>
    </row>
    <row r="26" spans="1:37">
      <c r="A26" s="1199" t="s">
        <v>1034</v>
      </c>
      <c r="B26" s="344" t="s">
        <v>1465</v>
      </c>
      <c r="C26" s="24">
        <f ca="1">ROUND((C19+C20)*F26,0)</f>
        <v>0</v>
      </c>
      <c r="D26" s="366" t="s">
        <v>1466</v>
      </c>
      <c r="E26" s="355" t="s">
        <v>1467</v>
      </c>
      <c r="F26" s="354">
        <f ca="1">INDIRECT("'数据-取费表'!q"&amp;$G$1)</f>
        <v>0</v>
      </c>
      <c r="G26" s="1848"/>
      <c r="H26" s="341" t="s">
        <v>1032</v>
      </c>
      <c r="I26" s="342" t="s">
        <v>1468</v>
      </c>
      <c r="J26" s="343">
        <f ca="1">IF(J5&lt;&gt;0,ROUND(J25*(1-((1+M28)/(1+M26))^M27)/(M26-M28),0),0)</f>
        <v>0</v>
      </c>
      <c r="K26" s="367" t="s">
        <v>1469</v>
      </c>
      <c r="L26" s="344" t="s">
        <v>1470</v>
      </c>
      <c r="M26" s="354">
        <f ca="1">INDIRECT("'数据-取费表'!I"&amp;$G$1)</f>
        <v>0</v>
      </c>
    </row>
    <row r="27" spans="1:37" ht="18" customHeight="1">
      <c r="A27" s="1199" t="s">
        <v>1036</v>
      </c>
      <c r="B27" s="344" t="s">
        <v>1471</v>
      </c>
      <c r="C27" s="24">
        <f ca="1">ROUND(F21*F26,4)</f>
        <v>0</v>
      </c>
      <c r="D27" s="366" t="s">
        <v>1472</v>
      </c>
      <c r="E27" s="362"/>
      <c r="F27" s="363"/>
      <c r="G27" s="1848"/>
      <c r="H27" s="346"/>
      <c r="I27" s="347"/>
      <c r="J27" s="348"/>
      <c r="K27" s="375" t="s">
        <v>1473</v>
      </c>
      <c r="L27" s="344" t="s">
        <v>1474</v>
      </c>
      <c r="M27" s="376">
        <f ca="1">INDIRECT("'数据-取费表'!ag"&amp;$G$1)</f>
        <v>0</v>
      </c>
    </row>
    <row r="28" spans="1:37" s="1855" customFormat="1" ht="18" customHeight="1">
      <c r="A28" s="1199" t="s">
        <v>1037</v>
      </c>
      <c r="B28" s="344" t="s">
        <v>1475</v>
      </c>
      <c r="C28" s="24">
        <f>ROUND(F28/(1+'数据-取费表'!C42),4)</f>
        <v>5.2400000000000002E-2</v>
      </c>
      <c r="D28" s="366" t="s">
        <v>1476</v>
      </c>
      <c r="E28" s="344" t="s">
        <v>1422</v>
      </c>
      <c r="F28" s="364">
        <f>'数据-取费表'!B41</f>
        <v>5.5000000000000007E-2</v>
      </c>
      <c r="G28" s="1851"/>
      <c r="H28" s="350"/>
      <c r="I28" s="351"/>
      <c r="J28" s="352"/>
      <c r="K28" s="370"/>
      <c r="L28" s="344" t="s">
        <v>1477</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77" t="s">
        <v>1033</v>
      </c>
      <c r="I29" s="378" t="s">
        <v>1479</v>
      </c>
      <c r="J29" s="379">
        <f ca="1">ROUND(J26/(1+F40)^F41,0)</f>
        <v>0</v>
      </c>
      <c r="K29" s="380" t="s">
        <v>1480</v>
      </c>
      <c r="L29" s="381"/>
      <c r="M29" s="382">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2">
        <f ca="1">ROUND(C31+C36+C37+C38,0)</f>
        <v>0</v>
      </c>
      <c r="D30" s="1335" t="s">
        <v>1425</v>
      </c>
      <c r="E30" s="1336"/>
      <c r="F30" s="1292"/>
      <c r="G30" s="1848"/>
      <c r="H30" s="740"/>
      <c r="I30" s="741"/>
      <c r="J30" s="742"/>
      <c r="K30" s="743"/>
      <c r="L30" s="744"/>
      <c r="M30" s="745"/>
    </row>
    <row r="31" spans="1:37" ht="18" customHeight="1">
      <c r="A31" s="1199" t="s">
        <v>1035</v>
      </c>
      <c r="B31" s="344" t="s">
        <v>1429</v>
      </c>
      <c r="C31" s="24">
        <f ca="1">ROUND(IF(项目基本情况!B11="自然人",C5*F31,C32+C33+C34),1)</f>
        <v>0</v>
      </c>
      <c r="D31" s="1797" t="s">
        <v>1430</v>
      </c>
      <c r="E31" s="1795" t="s">
        <v>1481</v>
      </c>
      <c r="F31" s="365" t="str">
        <f ca="1">IF(项目基本情况!B11="企业","",IF(INDIRECT("'数据-取费表'!c"&amp;$G$1)="住宅",5%,IF(F6*F7*F8/12/(1+'数据-取费表'!C42)&gt;20000,12%,7%)))</f>
        <v/>
      </c>
      <c r="G31" s="1848"/>
      <c r="H31" s="740"/>
      <c r="I31" s="741"/>
      <c r="J31" s="742"/>
      <c r="K31" s="743"/>
      <c r="L31" s="744"/>
      <c r="M31" s="745"/>
    </row>
    <row r="32" spans="1:37" ht="18" customHeight="1">
      <c r="A32" s="1199" t="s">
        <v>1034</v>
      </c>
      <c r="B32" s="344" t="s">
        <v>1433</v>
      </c>
      <c r="C32" s="24">
        <f ca="1">IF(项目基本情况!B11="自然人","——",ROUND(C5*F32/(1+'数据-取费表'!C42),2))</f>
        <v>0</v>
      </c>
      <c r="D32" s="1795" t="s">
        <v>1434</v>
      </c>
      <c r="E32" s="344" t="s">
        <v>1422</v>
      </c>
      <c r="F32" s="374">
        <f>'数据-取费表'!B41</f>
        <v>5.5000000000000007E-2</v>
      </c>
      <c r="G32" s="1848"/>
      <c r="H32" s="740"/>
      <c r="I32" s="741"/>
      <c r="J32" s="742"/>
      <c r="K32" s="743"/>
      <c r="L32" s="744"/>
      <c r="M32" s="745"/>
    </row>
    <row r="33" spans="1:18" ht="18" customHeight="1">
      <c r="A33" s="1199" t="s">
        <v>1036</v>
      </c>
      <c r="B33" s="344" t="s">
        <v>1437</v>
      </c>
      <c r="C33" s="24">
        <f ca="1">IF(项目基本情况!B11="自然人","——",IF(D33="按租金收入计税",ROUND(C5*F33,2),IF(D33="按房产原值计税",ROUND(C29*F33*0.7,2),INDIRECT("'数据-取费表'!Aj"&amp;$G$1))))</f>
        <v>0</v>
      </c>
      <c r="D33" s="1825" t="s">
        <v>1438</v>
      </c>
      <c r="E33" s="344" t="s">
        <v>1422</v>
      </c>
      <c r="F33" s="364">
        <f>IF(D33="按票据","——",IF(D33="按租金收入计税",'数据-取费表'!B51,'数据-取费表'!B50))</f>
        <v>1.2E-2</v>
      </c>
      <c r="G33" s="1848"/>
      <c r="H33" s="1856"/>
      <c r="I33" s="1857"/>
      <c r="J33" s="1858"/>
      <c r="K33" s="1859"/>
      <c r="L33" s="1856"/>
      <c r="M33" s="1856"/>
    </row>
    <row r="34" spans="1:18" ht="18" customHeight="1">
      <c r="A34" s="1289" t="s">
        <v>1389</v>
      </c>
      <c r="B34" s="161" t="s">
        <v>1441</v>
      </c>
      <c r="C34" s="25">
        <f ca="1">IF(项目基本情况!B11="自然人","——",ROUND(F34*F35/10000,2))</f>
        <v>0</v>
      </c>
      <c r="D34" s="367" t="s">
        <v>1442</v>
      </c>
      <c r="E34" s="344" t="s">
        <v>1443</v>
      </c>
      <c r="F34" s="368">
        <f>'数据-取费表'!B52</f>
        <v>1.5</v>
      </c>
      <c r="G34" s="1848"/>
      <c r="H34" s="740"/>
      <c r="I34" s="1857"/>
      <c r="J34" s="1858"/>
      <c r="K34" s="1860"/>
      <c r="L34" s="1861"/>
      <c r="M34" s="1861"/>
    </row>
    <row r="35" spans="1:18" ht="18" customHeight="1">
      <c r="A35" s="1351"/>
      <c r="B35" s="1349"/>
      <c r="C35" s="29"/>
      <c r="D35" s="370"/>
      <c r="E35" s="344" t="s">
        <v>1447</v>
      </c>
      <c r="F35" s="345">
        <f ca="1">INDIRECT("'数据-取费表'!r"&amp;$G$1)</f>
        <v>0</v>
      </c>
      <c r="G35" s="1848"/>
      <c r="H35" s="740"/>
      <c r="I35" s="1857"/>
      <c r="J35" s="1858"/>
      <c r="K35" s="1859"/>
      <c r="L35" s="1856"/>
      <c r="M35" s="1856"/>
    </row>
    <row r="36" spans="1:18" ht="18" customHeight="1">
      <c r="A36" s="1350" t="s">
        <v>1039</v>
      </c>
      <c r="B36" s="344" t="s">
        <v>1449</v>
      </c>
      <c r="C36" s="24">
        <f ca="1">ROUND(C29*F36,1)</f>
        <v>0</v>
      </c>
      <c r="D36" s="1795" t="s">
        <v>1482</v>
      </c>
      <c r="E36" s="344" t="s">
        <v>1422</v>
      </c>
      <c r="F36" s="371">
        <f ca="1">INDIRECT("'数据-取费表'!Ak"&amp;$G$1)</f>
        <v>0</v>
      </c>
      <c r="G36" s="1848"/>
      <c r="H36" s="1856"/>
      <c r="I36" s="1857"/>
      <c r="J36" s="1858"/>
      <c r="K36" s="746"/>
      <c r="L36" s="1856"/>
      <c r="M36" s="1856"/>
    </row>
    <row r="37" spans="1:18" ht="18" customHeight="1">
      <c r="A37" s="1199" t="s">
        <v>1075</v>
      </c>
      <c r="B37" s="344" t="s">
        <v>1453</v>
      </c>
      <c r="C37" s="24">
        <f ca="1">ROUND(C13*F37,1)</f>
        <v>0</v>
      </c>
      <c r="D37" s="1795" t="s">
        <v>1454</v>
      </c>
      <c r="E37" s="344" t="s">
        <v>1455</v>
      </c>
      <c r="F37" s="373">
        <f ca="1">INDIRECT("'数据-取费表'!Al"&amp;$G$1)</f>
        <v>0</v>
      </c>
      <c r="G37" s="1848"/>
      <c r="H37" s="1856"/>
      <c r="I37" s="1857"/>
      <c r="J37" s="1858"/>
      <c r="K37" s="746"/>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2">
        <f ca="1">C5-C30</f>
        <v>0</v>
      </c>
      <c r="D39" s="1343" t="s">
        <v>1484</v>
      </c>
      <c r="E39" s="1344"/>
      <c r="F39" s="1345"/>
      <c r="G39" s="1848"/>
      <c r="H39" s="1856"/>
      <c r="I39" s="1857"/>
      <c r="J39" s="1858"/>
      <c r="K39" s="1862"/>
      <c r="L39" s="1856"/>
      <c r="M39" s="1856"/>
    </row>
    <row r="40" spans="1:18" ht="18" customHeight="1">
      <c r="A40" s="341" t="s">
        <v>1032</v>
      </c>
      <c r="B40" s="342" t="s">
        <v>1485</v>
      </c>
      <c r="C40" s="343" t="e">
        <f ca="1">ROUND(C39*(1-((1+F42)/(1+F40))^F41)/(F40-F42),0)</f>
        <v>#DIV/0!</v>
      </c>
      <c r="D40" s="367" t="s">
        <v>1469</v>
      </c>
      <c r="E40" s="344" t="s">
        <v>1470</v>
      </c>
      <c r="F40" s="354">
        <f ca="1">INDIRECT("'数据-取费表'!I"&amp;$G$1)</f>
        <v>0</v>
      </c>
      <c r="G40" s="1848"/>
      <c r="H40" s="1836"/>
      <c r="I40" s="1857"/>
      <c r="J40" s="1858"/>
      <c r="K40" s="1862"/>
      <c r="L40" s="1836"/>
      <c r="M40" s="1836"/>
    </row>
    <row r="41" spans="1:18" ht="18" customHeight="1">
      <c r="A41" s="346"/>
      <c r="B41" s="347"/>
      <c r="C41" s="348"/>
      <c r="D41" s="375" t="s">
        <v>1486</v>
      </c>
      <c r="E41" s="344" t="s">
        <v>1474</v>
      </c>
      <c r="F41" s="376">
        <f ca="1">IF(INDIRECT("'数据-取费表'!af"&amp;$G$1)=0,INDIRECT("'数据-取费表'!ae"&amp;$G$1),INDIRECT("'数据-取费表'!af"&amp;$G$1))</f>
        <v>0</v>
      </c>
      <c r="G41" s="1848"/>
      <c r="H41" s="727"/>
      <c r="I41" s="1857"/>
      <c r="J41" s="1858"/>
      <c r="K41" s="746"/>
      <c r="L41" s="727"/>
      <c r="M41" s="727"/>
    </row>
    <row r="42" spans="1:18" ht="18" customHeight="1">
      <c r="A42" s="350"/>
      <c r="B42" s="351"/>
      <c r="C42" s="352"/>
      <c r="D42" s="370"/>
      <c r="E42" s="344" t="s">
        <v>1477</v>
      </c>
      <c r="F42" s="354">
        <f ca="1">INDIRECT("'数据-取费表'!v"&amp;$G$1)</f>
        <v>0</v>
      </c>
      <c r="G42" s="1848"/>
      <c r="H42" s="727"/>
      <c r="I42" s="1857"/>
      <c r="J42" s="1858"/>
      <c r="K42" s="746"/>
      <c r="L42" s="727"/>
      <c r="M42" s="727"/>
    </row>
    <row r="43" spans="1:18" ht="18" customHeight="1" thickBot="1">
      <c r="A43" s="377" t="s">
        <v>1033</v>
      </c>
      <c r="B43" s="378" t="s">
        <v>1487</v>
      </c>
      <c r="C43" s="379" t="e">
        <f ca="1">ROUND(C40*10000/F43,0)</f>
        <v>#DIV/0!</v>
      </c>
      <c r="D43" s="380" t="s">
        <v>1488</v>
      </c>
      <c r="E43" s="381" t="s">
        <v>1489</v>
      </c>
      <c r="F43" s="382">
        <f ca="1">INDIRECT("'数据-取费表'!k"&amp;$G$1)</f>
        <v>0</v>
      </c>
      <c r="G43" s="1848"/>
      <c r="H43" s="727"/>
      <c r="I43" s="727"/>
      <c r="J43" s="727"/>
      <c r="K43" s="746"/>
      <c r="L43" s="727"/>
      <c r="M43" s="727"/>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1"/>
      <c r="O45" s="1866" t="s">
        <v>1519</v>
      </c>
      <c r="P45" s="1836"/>
      <c r="Q45" s="1836"/>
      <c r="R45" s="1836"/>
    </row>
    <row r="46" spans="1:18" s="1839" customFormat="1" ht="13.5" thickBot="1">
      <c r="A46" s="1867" t="s">
        <v>1520</v>
      </c>
      <c r="C46" s="1868" t="e">
        <f ca="1">C68-C40</f>
        <v>#DIV/0!</v>
      </c>
      <c r="D46" s="1869" t="str">
        <f>C2</f>
        <v>万元</v>
      </c>
      <c r="E46" s="1863"/>
      <c r="F46" s="1863"/>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87"/>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2" t="s">
        <v>1401</v>
      </c>
      <c r="C48" s="1814">
        <f ca="1">C49+C53+C55</f>
        <v>0</v>
      </c>
      <c r="D48" s="1360"/>
      <c r="E48" s="1361"/>
      <c r="F48" s="1179"/>
      <c r="G48" s="787"/>
      <c r="H48" s="788"/>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2" t="s">
        <v>1136</v>
      </c>
      <c r="B49" s="1826" t="s">
        <v>1490</v>
      </c>
      <c r="C49" s="1362">
        <f ca="1">ROUND(F49*F51*F50*(1-F52)/10000,0)</f>
        <v>0</v>
      </c>
      <c r="D49" s="1274" t="s">
        <v>3034</v>
      </c>
      <c r="E49" s="1827" t="s">
        <v>1491</v>
      </c>
      <c r="F49" s="1279"/>
      <c r="G49" s="1888"/>
      <c r="H49" s="788"/>
      <c r="I49" s="1884" t="s">
        <v>1534</v>
      </c>
      <c r="J49" s="1889"/>
      <c r="K49" s="1886" t="s">
        <v>1535</v>
      </c>
      <c r="L49" s="1890"/>
      <c r="O49" s="1891" t="s">
        <v>1042</v>
      </c>
      <c r="P49" s="1882" t="s">
        <v>1536</v>
      </c>
      <c r="Q49" s="1883">
        <f ca="1">C29</f>
        <v>0</v>
      </c>
      <c r="R49" s="1883" t="s">
        <v>1529</v>
      </c>
    </row>
    <row r="50" spans="1:18" s="1839" customFormat="1" ht="13.5" thickBot="1">
      <c r="A50" s="1193"/>
      <c r="B50" s="1196"/>
      <c r="C50" s="1366"/>
      <c r="D50" s="1170"/>
      <c r="E50" s="1275" t="s">
        <v>1406</v>
      </c>
      <c r="F50" s="1276">
        <f ca="1">F7</f>
        <v>0</v>
      </c>
      <c r="H50" s="788"/>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4"/>
      <c r="B51" s="1196"/>
      <c r="C51" s="1197"/>
      <c r="D51" s="1170"/>
      <c r="E51" s="1198" t="s">
        <v>1407</v>
      </c>
      <c r="F51" s="345">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t="b">
        <f>J53</f>
        <v>0</v>
      </c>
      <c r="R52" s="1883" t="s">
        <v>1546</v>
      </c>
    </row>
    <row r="53" spans="1:18" s="1839" customFormat="1" ht="24.75" thickBot="1">
      <c r="A53" s="1402" t="s">
        <v>1137</v>
      </c>
      <c r="B53" s="1828" t="s">
        <v>1409</v>
      </c>
      <c r="C53" s="358">
        <f ca="1">ROUND(IF(F53="押一",C49/12*F11,IF(F53="押二",C49/12*2*F11,IF(F53="押三",C49/12*3*F11,C54*F11))),0)</f>
        <v>0</v>
      </c>
      <c r="D53" s="1821" t="s">
        <v>3041</v>
      </c>
      <c r="E53" s="355" t="s">
        <v>1410</v>
      </c>
      <c r="F53" s="1364"/>
      <c r="I53" s="1902" t="s">
        <v>1547</v>
      </c>
      <c r="J53" s="1903" t="b">
        <f>IF(M47="住宅",IF(D1="——",MAX(J51,L48),IF(D1="在建（套用方法）",MAX(J51,L48-'数据-取费表'!B24),MAX(J51,L48-'数据-取费表'!B20))),IF(D1="——",MIN(J51,L48),IF(D1="在建（套用方法）",MIN(J51,L48-'数据-取费表'!B24),IF(D1="土地（套用方法）",MIN(J51,L48-'数据-取费表'!B20)))))</f>
        <v>0</v>
      </c>
      <c r="K53" s="3358" t="s">
        <v>1548</v>
      </c>
      <c r="L53" s="3359"/>
      <c r="O53" s="1881" t="s">
        <v>1046</v>
      </c>
      <c r="P53" s="1882" t="s">
        <v>1549</v>
      </c>
      <c r="Q53" s="1883" t="e">
        <f ca="1">Q47+Q48</f>
        <v>#DIV/0!</v>
      </c>
      <c r="R53" s="1883" t="s">
        <v>1047</v>
      </c>
    </row>
    <row r="54" spans="1:18" s="1839" customFormat="1" ht="13.5" thickBot="1">
      <c r="A54" s="1403"/>
      <c r="B54" s="1822" t="s">
        <v>1388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t="s">
        <v>1553</v>
      </c>
      <c r="O55" s="1874" t="s">
        <v>1522</v>
      </c>
      <c r="P55" s="1875" t="s">
        <v>1523</v>
      </c>
      <c r="Q55" s="1876" t="s">
        <v>1524</v>
      </c>
      <c r="R55" s="1876" t="s">
        <v>1525</v>
      </c>
    </row>
    <row r="56" spans="1:18" s="1839" customFormat="1" ht="25.5" thickTop="1" thickBot="1">
      <c r="A56" s="1174">
        <v>2</v>
      </c>
      <c r="B56" s="1175" t="s">
        <v>1414</v>
      </c>
      <c r="C56" s="273">
        <f ca="1">C13</f>
        <v>0</v>
      </c>
      <c r="D56" s="1911"/>
      <c r="E56" s="1912"/>
      <c r="F56" s="1904"/>
      <c r="I56" s="1913" t="s">
        <v>1554</v>
      </c>
      <c r="J56" s="1914"/>
      <c r="K56" s="1884" t="s">
        <v>1555</v>
      </c>
      <c r="L56" s="1887">
        <f ca="1">IF(L48&lt;J51,"——",L48-J53)</f>
        <v>0</v>
      </c>
      <c r="O56" s="1881" t="s">
        <v>1040</v>
      </c>
      <c r="P56" s="1882" t="s">
        <v>1528</v>
      </c>
      <c r="Q56" s="1883" t="e">
        <f ca="1">C40+J29</f>
        <v>#DIV/0!</v>
      </c>
      <c r="R56" s="1883" t="s">
        <v>1529</v>
      </c>
    </row>
    <row r="57" spans="1:18" s="1839" customFormat="1" ht="24.75" thickBot="1">
      <c r="A57" s="1915"/>
      <c r="B57" s="1167" t="s">
        <v>1478</v>
      </c>
      <c r="C57" s="279">
        <f ca="1">C29</f>
        <v>0</v>
      </c>
      <c r="D57" s="1916"/>
      <c r="E57" s="1917"/>
      <c r="F57" s="1918"/>
      <c r="I57" s="1919" t="s">
        <v>1556</v>
      </c>
      <c r="J57" s="1920">
        <f ca="1">IF(OR(M47="住宅",J51&lt;L48,J56="是"),"——",J51-L48)</f>
        <v>0</v>
      </c>
      <c r="K57" s="1884" t="s">
        <v>1557</v>
      </c>
      <c r="L57" s="1887">
        <f ca="1">IF(L48&lt;J51,"——",IF(L55="比较法",L49,IF(L55="基准地价",L50,L51)))</f>
        <v>0</v>
      </c>
      <c r="O57" s="1881" t="s">
        <v>1041</v>
      </c>
      <c r="P57" s="1882" t="s">
        <v>1558</v>
      </c>
      <c r="Q57" s="1883" t="e">
        <f ca="1">L60</f>
        <v>#DIV/0!</v>
      </c>
      <c r="R57" s="1883" t="s">
        <v>1559</v>
      </c>
    </row>
    <row r="58" spans="1:18" s="1839" customFormat="1" ht="24.75" thickBot="1">
      <c r="A58" s="357" t="s">
        <v>1030</v>
      </c>
      <c r="B58" s="1175" t="s">
        <v>1424</v>
      </c>
      <c r="C58" s="358">
        <f ca="1">ROUND(C59+C64+C65+C66,0)</f>
        <v>0</v>
      </c>
      <c r="D58" s="1177" t="s">
        <v>1425</v>
      </c>
      <c r="E58" s="1178"/>
      <c r="F58" s="1179"/>
      <c r="I58" s="1919" t="s">
        <v>1560</v>
      </c>
      <c r="J58" s="1921" t="e">
        <f ca="1">IF(J55&lt;0.4,0.4,J55)</f>
        <v>#DIV/0!</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v>
      </c>
      <c r="D59" s="1180" t="s">
        <v>1430</v>
      </c>
      <c r="E59" s="1181" t="s">
        <v>1431</v>
      </c>
      <c r="F59" s="365"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4">
        <f t="shared" ref="F60:F66" si="0">F32</f>
        <v>5.5000000000000007E-2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IF(项目基本情况!B11="自然人","——",IF(D61="按租金收入计税",ROUND(C48*F61,2),IF(D61="按房产原值计税",ROUND(C57*F61*0.7,2),INDIRECT("'数据-取费表'!Aj"&amp;$G$1))))</f>
        <v>0</v>
      </c>
      <c r="D61" s="1825" t="s">
        <v>1438</v>
      </c>
      <c r="E61" s="1167" t="s">
        <v>1494</v>
      </c>
      <c r="F61" s="364">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IF(项目基本情况!B11="自然人","——",ROUND(F62*F63/10000,2))</f>
        <v>0</v>
      </c>
      <c r="D62" s="1182" t="s">
        <v>1497</v>
      </c>
      <c r="E62" s="1167" t="s">
        <v>1498</v>
      </c>
      <c r="F62" s="368">
        <f t="shared" si="0"/>
        <v>1.5</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69"/>
      <c r="B63" s="1173"/>
      <c r="C63" s="29"/>
      <c r="D63" s="1183"/>
      <c r="E63" s="1167" t="s">
        <v>1499</v>
      </c>
      <c r="F63" s="345">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ROUND(C57*F64,1)</f>
        <v>0</v>
      </c>
      <c r="D64" s="1181" t="s">
        <v>1502</v>
      </c>
      <c r="E64" s="1167" t="s">
        <v>1494</v>
      </c>
      <c r="F64" s="371">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0</v>
      </c>
      <c r="D65" s="1181" t="s">
        <v>1454</v>
      </c>
      <c r="E65" s="1167" t="s">
        <v>1455</v>
      </c>
      <c r="F65" s="373">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9" t="s">
        <v>1504</v>
      </c>
      <c r="B66" s="1167" t="s">
        <v>1439</v>
      </c>
      <c r="C66" s="24">
        <f ca="1">ROUND(C48*F66,1)</f>
        <v>0</v>
      </c>
      <c r="D66" s="1181" t="s">
        <v>1505</v>
      </c>
      <c r="E66" s="1167" t="s">
        <v>1422</v>
      </c>
      <c r="F66" s="354">
        <f t="shared" ca="1" si="0"/>
        <v>0</v>
      </c>
      <c r="O66" s="1881" t="s">
        <v>1041</v>
      </c>
      <c r="P66" s="1882" t="s">
        <v>1558</v>
      </c>
      <c r="Q66" s="1883" t="e">
        <f ca="1">L60</f>
        <v>#DIV/0!</v>
      </c>
      <c r="R66" s="1883" t="s">
        <v>1581</v>
      </c>
    </row>
    <row r="67" spans="1:18" s="1839" customFormat="1" ht="16.5" thickBot="1">
      <c r="A67" s="1174" t="s">
        <v>1031</v>
      </c>
      <c r="B67" s="1184" t="s">
        <v>1463</v>
      </c>
      <c r="C67" s="358">
        <f ca="1">C48-C58</f>
        <v>0</v>
      </c>
      <c r="D67" s="1180" t="s">
        <v>1464</v>
      </c>
      <c r="E67" s="1185"/>
      <c r="F67" s="1186"/>
      <c r="O67" s="1891" t="s">
        <v>1042</v>
      </c>
      <c r="P67" s="1882" t="s">
        <v>1562</v>
      </c>
      <c r="Q67" s="1930">
        <f ca="1">L51</f>
        <v>0</v>
      </c>
      <c r="R67" s="1883" t="s">
        <v>1582</v>
      </c>
    </row>
    <row r="68" spans="1:18" s="1839" customFormat="1" ht="16.5" thickBot="1">
      <c r="A68" s="1164" t="s">
        <v>1032</v>
      </c>
      <c r="B68" s="1165" t="s">
        <v>1485</v>
      </c>
      <c r="C68" s="343" t="e">
        <f ca="1">ROUND(C67*(1-((1+F70)/(1+F68))^F69)/(F68-F70),0)</f>
        <v>#DIV/0!</v>
      </c>
      <c r="D68" s="1182" t="s">
        <v>1469</v>
      </c>
      <c r="E68" s="1167" t="s">
        <v>1470</v>
      </c>
      <c r="F68" s="354">
        <f ca="1">F40</f>
        <v>0</v>
      </c>
      <c r="O68" s="1891" t="s">
        <v>1043</v>
      </c>
      <c r="P68" s="1931" t="s">
        <v>1583</v>
      </c>
      <c r="Q68" s="1883">
        <f ca="1">ROUND(Q69-Q70*Q71,0)</f>
        <v>0</v>
      </c>
      <c r="R68" s="1883" t="s">
        <v>1051</v>
      </c>
    </row>
    <row r="69" spans="1:18" s="1839" customFormat="1" ht="13.5" thickBot="1">
      <c r="A69" s="1168"/>
      <c r="B69" s="1169"/>
      <c r="C69" s="348"/>
      <c r="D69" s="1187" t="s">
        <v>1473</v>
      </c>
      <c r="E69" s="1167" t="s">
        <v>1474</v>
      </c>
      <c r="F69" s="376">
        <f ca="1">F41</f>
        <v>0</v>
      </c>
      <c r="O69" s="1891" t="s">
        <v>1048</v>
      </c>
      <c r="P69" s="1931" t="s">
        <v>1584</v>
      </c>
      <c r="Q69" s="1883">
        <f ca="1">C39</f>
        <v>0</v>
      </c>
      <c r="R69" s="1883" t="s">
        <v>1529</v>
      </c>
    </row>
    <row r="70" spans="1:18" s="1839" customFormat="1" ht="13.5" thickBot="1">
      <c r="A70" s="1171"/>
      <c r="B70" s="1172"/>
      <c r="C70" s="352"/>
      <c r="D70" s="1183"/>
      <c r="E70" s="1167" t="s">
        <v>1477</v>
      </c>
      <c r="F70" s="1273"/>
      <c r="O70" s="1891" t="s">
        <v>1049</v>
      </c>
      <c r="P70" s="1931" t="s">
        <v>1585</v>
      </c>
      <c r="Q70" s="1883">
        <f ca="1">C13</f>
        <v>0</v>
      </c>
      <c r="R70" s="1883" t="s">
        <v>1529</v>
      </c>
    </row>
    <row r="71" spans="1:18" s="1839" customFormat="1" ht="13.5" thickBot="1">
      <c r="A71" s="1188" t="s">
        <v>1033</v>
      </c>
      <c r="B71" s="1189" t="s">
        <v>1487</v>
      </c>
      <c r="C71" s="379" t="e">
        <f ca="1">ROUND(C68*10000/F71,0)</f>
        <v>#DIV/0!</v>
      </c>
      <c r="D71" s="1190" t="s">
        <v>1488</v>
      </c>
      <c r="E71" s="1191" t="s">
        <v>1489</v>
      </c>
      <c r="F71" s="382">
        <f ca="1">F43</f>
        <v>0</v>
      </c>
      <c r="O71" s="1891" t="s">
        <v>1050</v>
      </c>
      <c r="P71" s="1931" t="s">
        <v>1586</v>
      </c>
      <c r="Q71" s="1894">
        <f ca="1">C76</f>
        <v>0</v>
      </c>
      <c r="R71" s="1883"/>
    </row>
    <row r="72" spans="1:18" s="1839" customFormat="1" ht="13.5" thickBot="1">
      <c r="B72" s="791"/>
      <c r="C72" s="791"/>
      <c r="O72" s="1891" t="s">
        <v>1044</v>
      </c>
      <c r="P72" s="1882" t="s">
        <v>1564</v>
      </c>
      <c r="Q72" s="1894">
        <f>L52</f>
        <v>0</v>
      </c>
      <c r="R72" s="1883"/>
    </row>
    <row r="73" spans="1:18" ht="16.5" thickBot="1">
      <c r="A73" s="1839"/>
      <c r="B73" s="791"/>
      <c r="C73" s="791"/>
      <c r="D73" s="1839"/>
      <c r="E73" s="1839"/>
      <c r="F73" s="1839"/>
      <c r="O73" s="1891" t="s">
        <v>1045</v>
      </c>
      <c r="P73" s="1882" t="s">
        <v>1567</v>
      </c>
      <c r="Q73" s="1883" t="e">
        <f ca="1">L58</f>
        <v>#DIV/0!</v>
      </c>
      <c r="R73" s="1883" t="s">
        <v>1568</v>
      </c>
    </row>
    <row r="74" spans="1:18" ht="13.5" thickBot="1">
      <c r="A74" s="1839"/>
      <c r="B74" s="314"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3" t="s">
        <v>1506</v>
      </c>
      <c r="C75" s="384">
        <f ca="1">ROUND(C13*C76,0)</f>
        <v>0</v>
      </c>
      <c r="D75" s="1839"/>
      <c r="E75" s="1839"/>
      <c r="F75" s="1839"/>
      <c r="K75" s="1865"/>
      <c r="L75" s="1839"/>
      <c r="O75" s="1881" t="s">
        <v>1046</v>
      </c>
      <c r="P75" s="1882" t="s">
        <v>1549</v>
      </c>
      <c r="Q75" s="1883" t="e">
        <f ca="1">Q65+Q66</f>
        <v>#DIV/0!</v>
      </c>
      <c r="R75" s="1883" t="s">
        <v>1047</v>
      </c>
    </row>
    <row r="76" spans="1:18">
      <c r="B76" s="385" t="s">
        <v>1507</v>
      </c>
      <c r="C76" s="386">
        <f ca="1">INDIRECT("'数据-取费表'!j"&amp;$G$1)</f>
        <v>0</v>
      </c>
      <c r="I76" s="1839"/>
      <c r="J76" s="1839"/>
      <c r="K76" s="1865"/>
      <c r="L76" s="1839"/>
    </row>
    <row r="77" spans="1:18">
      <c r="B77" s="387" t="s">
        <v>1508</v>
      </c>
      <c r="C77" s="388"/>
      <c r="I77" s="1839"/>
      <c r="J77" s="1839"/>
      <c r="K77" s="1865"/>
      <c r="L77" s="1839"/>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RowHeight="12.75"/>
  <cols>
    <col min="1" max="1" width="9" style="299" customWidth="1"/>
    <col min="2" max="2" width="20.625" style="702" customWidth="1"/>
    <col min="3" max="3" width="11.875" style="702"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1589</v>
      </c>
      <c r="B1" s="777"/>
      <c r="C1" s="1834"/>
      <c r="D1" s="1817"/>
      <c r="E1" s="1818" t="s">
        <v>1387</v>
      </c>
      <c r="F1" s="1281" t="b">
        <f>J53</f>
        <v>0</v>
      </c>
      <c r="G1" s="1833">
        <f>MATCH(C1,'数据-取费表'!A6:A16,0)+5</f>
        <v>7</v>
      </c>
      <c r="H1" s="747"/>
      <c r="I1" s="336"/>
      <c r="J1" s="336"/>
      <c r="K1" s="748"/>
      <c r="L1" s="336"/>
      <c r="M1" s="336"/>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39" t="s">
        <v>1588</v>
      </c>
      <c r="I3" s="1837"/>
      <c r="J3" s="1837"/>
      <c r="K3" s="1838"/>
      <c r="L3" s="1837"/>
      <c r="M3" s="1837"/>
    </row>
    <row r="4" spans="1:37" ht="18" customHeight="1">
      <c r="A4" s="337" t="s">
        <v>1595</v>
      </c>
      <c r="B4" s="338" t="s">
        <v>1596</v>
      </c>
      <c r="C4" s="338" t="s">
        <v>1597</v>
      </c>
      <c r="D4" s="338" t="s">
        <v>1598</v>
      </c>
      <c r="E4" s="339" t="s">
        <v>1599</v>
      </c>
      <c r="F4" s="340"/>
      <c r="G4" s="1848"/>
      <c r="H4" s="337" t="s">
        <v>1595</v>
      </c>
      <c r="I4" s="338" t="s">
        <v>1596</v>
      </c>
      <c r="J4" s="338" t="s">
        <v>1597</v>
      </c>
      <c r="K4" s="338" t="s">
        <v>1598</v>
      </c>
      <c r="L4" s="339" t="s">
        <v>1599</v>
      </c>
      <c r="M4" s="340"/>
    </row>
    <row r="5" spans="1:37" ht="18" customHeight="1">
      <c r="A5" s="341">
        <v>1</v>
      </c>
      <c r="B5" s="342" t="s">
        <v>1600</v>
      </c>
      <c r="C5" s="1290">
        <f ca="1">C6+C10+C12</f>
        <v>0</v>
      </c>
      <c r="D5" s="1819" t="s">
        <v>1601</v>
      </c>
      <c r="E5" s="1291"/>
      <c r="F5" s="1292"/>
      <c r="G5" s="1848"/>
      <c r="H5" s="341">
        <v>1</v>
      </c>
      <c r="I5" s="342" t="s">
        <v>1600</v>
      </c>
      <c r="J5" s="1290">
        <f ca="1">J6+J10+J12</f>
        <v>0</v>
      </c>
      <c r="K5" s="1819" t="s">
        <v>1601</v>
      </c>
      <c r="L5" s="1291"/>
      <c r="M5" s="1292"/>
    </row>
    <row r="6" spans="1:37" ht="18" customHeight="1">
      <c r="A6" s="1289" t="s">
        <v>1035</v>
      </c>
      <c r="B6" s="3360" t="s">
        <v>1403</v>
      </c>
      <c r="C6" s="1294">
        <f ca="1">ROUND(F6*F8*F7*(1-F9),0)</f>
        <v>0</v>
      </c>
      <c r="D6" s="161" t="s">
        <v>3030</v>
      </c>
      <c r="E6" s="344" t="s">
        <v>1405</v>
      </c>
      <c r="F6" s="345">
        <f ca="1">INDIRECT("'数据-取费表'!u"&amp;$G$1)</f>
        <v>0</v>
      </c>
      <c r="G6" s="1848"/>
      <c r="H6" s="1289" t="s">
        <v>1035</v>
      </c>
      <c r="I6" s="3360" t="s">
        <v>1403</v>
      </c>
      <c r="J6" s="343">
        <f ca="1">ROUND(M6*M8*M7*(1-M9),0)</f>
        <v>0</v>
      </c>
      <c r="K6" s="1831" t="s">
        <v>3031</v>
      </c>
      <c r="L6" s="344" t="s">
        <v>1405</v>
      </c>
      <c r="M6" s="345">
        <f ca="1">INDIRECT("'数据-取费表'!z"&amp;$G$1)</f>
        <v>0</v>
      </c>
    </row>
    <row r="7" spans="1:37" ht="18" customHeight="1">
      <c r="A7" s="1293"/>
      <c r="B7" s="3361"/>
      <c r="C7" s="1295"/>
      <c r="D7" s="349"/>
      <c r="E7" s="1296" t="s">
        <v>1406</v>
      </c>
      <c r="F7" s="345">
        <f ca="1">IF(INDIRECT("'数据-取费表'!ah"&amp;$G$1)="",INDIRECT("'数据-取费表'!k"&amp;$G$1),INDIRECT("'数据-取费表'!ah"&amp;$G$1))</f>
        <v>0</v>
      </c>
      <c r="G7" s="1848"/>
      <c r="H7" s="346"/>
      <c r="I7" s="3361"/>
      <c r="J7" s="348"/>
      <c r="K7" s="349"/>
      <c r="L7" s="344" t="s">
        <v>1406</v>
      </c>
      <c r="M7" s="345">
        <f ca="1">F7</f>
        <v>0</v>
      </c>
    </row>
    <row r="8" spans="1:37" ht="18" customHeight="1">
      <c r="A8" s="346"/>
      <c r="B8" s="3361"/>
      <c r="C8" s="348"/>
      <c r="D8" s="349"/>
      <c r="E8" s="344" t="s">
        <v>1407</v>
      </c>
      <c r="F8" s="345">
        <f ca="1">INDIRECT("'数据-取费表'!ai"&amp;$G$1)</f>
        <v>0</v>
      </c>
      <c r="G8" s="1848"/>
      <c r="H8" s="346"/>
      <c r="I8" s="3361"/>
      <c r="J8" s="348"/>
      <c r="K8" s="349"/>
      <c r="L8" s="344" t="s">
        <v>1407</v>
      </c>
      <c r="M8" s="345">
        <f ca="1">INDIRECT("'数据-取费表'!ai"&amp;$G$1)</f>
        <v>0</v>
      </c>
    </row>
    <row r="9" spans="1:37" ht="18" customHeight="1">
      <c r="A9" s="346"/>
      <c r="B9" s="3362"/>
      <c r="C9" s="348"/>
      <c r="D9" s="349"/>
      <c r="E9" s="344" t="s">
        <v>1408</v>
      </c>
      <c r="F9" s="354">
        <f ca="1">INDIRECT("'数据-取费表'!w"&amp;$G$1)</f>
        <v>0</v>
      </c>
      <c r="G9" s="1848"/>
      <c r="H9" s="346"/>
      <c r="I9" s="3362"/>
      <c r="J9" s="348"/>
      <c r="K9" s="349"/>
      <c r="L9" s="355" t="s">
        <v>1408</v>
      </c>
      <c r="M9" s="356">
        <f ca="1">INDIRECT("'数据-取费表'!ab"&amp;$G$1)</f>
        <v>0</v>
      </c>
    </row>
    <row r="10" spans="1:37" ht="18" customHeight="1">
      <c r="A10" s="1289" t="s">
        <v>1039</v>
      </c>
      <c r="B10" s="1820" t="s">
        <v>1409</v>
      </c>
      <c r="C10" s="358">
        <f ca="1">ROUND(IF(F10="押一",C6/12*F11,IF(F10="押二",C6/12*2*F11,IF(F10="押三",C6/12*3*F11,C11*F11))),0)</f>
        <v>0</v>
      </c>
      <c r="D10" s="1821" t="s">
        <v>3041</v>
      </c>
      <c r="E10" s="355" t="s">
        <v>1410</v>
      </c>
      <c r="F10" s="1364"/>
      <c r="G10" s="1848"/>
      <c r="H10" s="1289" t="s">
        <v>1039</v>
      </c>
      <c r="I10" s="1820" t="s">
        <v>1409</v>
      </c>
      <c r="J10" s="343">
        <f ca="1">ROUND(IF(M10="押一",J6/12*M11,IF(M10="押二",J6/12*2*M11,IF(M10="押三",J6/12*3*M11,J11*M11))),0)</f>
        <v>0</v>
      </c>
      <c r="K10" s="1832" t="s">
        <v>3043</v>
      </c>
      <c r="L10" s="355" t="s">
        <v>1410</v>
      </c>
      <c r="M10" s="1364"/>
    </row>
    <row r="11" spans="1:37" ht="18" customHeight="1">
      <c r="A11" s="350"/>
      <c r="B11" s="1822" t="s">
        <v>1602</v>
      </c>
      <c r="C11" s="1176"/>
      <c r="D11" s="349"/>
      <c r="E11" s="355" t="s">
        <v>1412</v>
      </c>
      <c r="F11" s="356">
        <f ca="1">'数据-取费表'!B39</f>
        <v>1.4999999999999999E-2</v>
      </c>
      <c r="G11" s="1848"/>
      <c r="H11" s="1297"/>
      <c r="I11" s="1822" t="s">
        <v>1603</v>
      </c>
      <c r="J11" s="1176"/>
      <c r="K11" s="743"/>
      <c r="L11" s="355"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2">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199" t="s">
        <v>1034</v>
      </c>
      <c r="B14" s="344" t="s">
        <v>1417</v>
      </c>
      <c r="C14" s="360">
        <f ca="1">ROUND(INDIRECT("'数据-取费表'!l"&amp;$G$1)*F43+'数据-取费表'!L14*INDIRECT("'数据-取费表'!S"&amp;$G$1),0)</f>
        <v>0</v>
      </c>
      <c r="D14" s="1797" t="s">
        <v>1418</v>
      </c>
      <c r="E14" s="1791"/>
      <c r="F14" s="361"/>
      <c r="G14" s="1848"/>
      <c r="H14" s="1199" t="s">
        <v>1035</v>
      </c>
      <c r="I14" s="344" t="s">
        <v>1419</v>
      </c>
      <c r="J14" s="24">
        <f ca="1">C29</f>
        <v>0</v>
      </c>
      <c r="K14" s="15"/>
      <c r="L14" s="977"/>
      <c r="M14" s="978"/>
    </row>
    <row r="15" spans="1:37" s="1855" customFormat="1" ht="18" customHeight="1" thickBot="1">
      <c r="A15" s="1199" t="s">
        <v>1036</v>
      </c>
      <c r="B15" s="344" t="s">
        <v>1420</v>
      </c>
      <c r="C15" s="24">
        <f ca="1">ROUND(C14*F15,0)</f>
        <v>0</v>
      </c>
      <c r="D15" s="362" t="s">
        <v>1421</v>
      </c>
      <c r="E15" s="362" t="s">
        <v>1422</v>
      </c>
      <c r="F15" s="363">
        <f>'数据-取费表'!B33</f>
        <v>0.03</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4" t="s">
        <v>1423</v>
      </c>
      <c r="C16" s="24">
        <f ca="1">ROUND(INDIRECT("'数据-取费表'!l"&amp;$G$1)*F43*F16,0)</f>
        <v>0</v>
      </c>
      <c r="D16" s="344" t="s">
        <v>1421</v>
      </c>
      <c r="E16" s="344" t="s">
        <v>1422</v>
      </c>
      <c r="F16" s="364">
        <f ca="1">IF(INDIRECT("'数据-取费表'!c"&amp;$G$1)="住宅",'数据-取费表'!B34,0)</f>
        <v>0</v>
      </c>
      <c r="G16" s="1848"/>
      <c r="H16" s="1327" t="s">
        <v>1030</v>
      </c>
      <c r="I16" s="1328" t="s">
        <v>1424</v>
      </c>
      <c r="J16" s="352">
        <f ca="1">ROUND(J17+J22+J23+J24,0)</f>
        <v>0</v>
      </c>
      <c r="K16" s="1335" t="s">
        <v>1425</v>
      </c>
      <c r="L16" s="1336"/>
      <c r="M16" s="1292"/>
    </row>
    <row r="17" spans="1:37" s="1855" customFormat="1" ht="18" customHeight="1">
      <c r="A17" s="1199" t="s">
        <v>1390</v>
      </c>
      <c r="B17" s="344" t="s">
        <v>1426</v>
      </c>
      <c r="C17" s="24">
        <f ca="1">ROUND(F17*(F43+INDIRECT("'数据-取费表'!S"&amp;$G$1)),0)</f>
        <v>0</v>
      </c>
      <c r="D17" s="344" t="s">
        <v>1427</v>
      </c>
      <c r="E17" s="344" t="s">
        <v>1428</v>
      </c>
      <c r="F17" s="26">
        <f>'数据-取费表'!B35</f>
        <v>200</v>
      </c>
      <c r="G17" s="1851"/>
      <c r="H17" s="1199" t="s">
        <v>1035</v>
      </c>
      <c r="I17" s="344" t="s">
        <v>1429</v>
      </c>
      <c r="J17" s="24">
        <f ca="1">ROUND(IF(项目基本情况!B11="自然人",J5*M17,J18+J19+J20),0)</f>
        <v>0</v>
      </c>
      <c r="K17" s="1797" t="s">
        <v>1430</v>
      </c>
      <c r="L17" s="1795" t="s">
        <v>1431</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4" t="s">
        <v>1432</v>
      </c>
      <c r="C18" s="24">
        <f ca="1">ROUND(C14*F18,0)</f>
        <v>0</v>
      </c>
      <c r="D18" s="344" t="s">
        <v>1421</v>
      </c>
      <c r="E18" s="344" t="s">
        <v>1422</v>
      </c>
      <c r="F18" s="364">
        <f>'数据-取费表'!B36</f>
        <v>1.4999999999999999E-2</v>
      </c>
      <c r="G18" s="1851"/>
      <c r="H18" s="1199" t="s">
        <v>1034</v>
      </c>
      <c r="I18" s="344" t="s">
        <v>1433</v>
      </c>
      <c r="J18" s="24">
        <f ca="1">ROUND(J5*M18/(1+'数据-取费表'!C42),0)</f>
        <v>0</v>
      </c>
      <c r="K18" s="1795" t="s">
        <v>1434</v>
      </c>
      <c r="L18" s="344" t="s">
        <v>1422</v>
      </c>
      <c r="M18" s="364">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4" t="s">
        <v>1435</v>
      </c>
      <c r="C19" s="24">
        <f ca="1">SUM(C14:C18)</f>
        <v>0</v>
      </c>
      <c r="D19" s="137" t="s">
        <v>1436</v>
      </c>
      <c r="E19" s="1815"/>
      <c r="F19" s="26"/>
      <c r="G19" s="1848"/>
      <c r="H19" s="1199" t="s">
        <v>1036</v>
      </c>
      <c r="I19" s="344" t="s">
        <v>1437</v>
      </c>
      <c r="J19" s="24">
        <f ca="1">IF(K19="按租金收入计税",ROUND(J5*M19,0),ROUND(C29*M19*0.7,0))</f>
        <v>0</v>
      </c>
      <c r="K19" s="1825" t="s">
        <v>1438</v>
      </c>
      <c r="L19" s="344" t="s">
        <v>1422</v>
      </c>
      <c r="M19" s="364">
        <f>IF(K19="按租金收入计税",'数据-取费表'!B51,'数据-取费表'!B50)</f>
        <v>1.2E-2</v>
      </c>
    </row>
    <row r="20" spans="1:37" s="1855" customFormat="1" ht="18" customHeight="1">
      <c r="A20" s="1199" t="s">
        <v>1039</v>
      </c>
      <c r="B20" s="344" t="s">
        <v>1439</v>
      </c>
      <c r="C20" s="24">
        <f ca="1">ROUND(C19*F20,0)</f>
        <v>0</v>
      </c>
      <c r="D20" s="366" t="s">
        <v>1440</v>
      </c>
      <c r="E20" s="344" t="s">
        <v>1422</v>
      </c>
      <c r="F20" s="364">
        <f>'数据-取费表'!B37</f>
        <v>0.02</v>
      </c>
      <c r="G20" s="1851"/>
      <c r="H20" s="1199" t="s">
        <v>1389</v>
      </c>
      <c r="I20" s="161" t="s">
        <v>1441</v>
      </c>
      <c r="J20" s="25">
        <f ca="1">ROUND(M20*M21,0)</f>
        <v>0</v>
      </c>
      <c r="K20" s="367" t="s">
        <v>1442</v>
      </c>
      <c r="L20" s="344" t="s">
        <v>1443</v>
      </c>
      <c r="M20" s="368">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4" t="s">
        <v>1444</v>
      </c>
      <c r="C21" s="24" t="s">
        <v>1</v>
      </c>
      <c r="D21" s="366" t="s">
        <v>1445</v>
      </c>
      <c r="E21" s="344" t="s">
        <v>1446</v>
      </c>
      <c r="F21" s="364">
        <f>'数据-取费表'!B38</f>
        <v>0.01</v>
      </c>
      <c r="G21" s="1851"/>
      <c r="H21" s="369"/>
      <c r="I21" s="353"/>
      <c r="J21" s="29"/>
      <c r="K21" s="370"/>
      <c r="L21" s="344" t="s">
        <v>1447</v>
      </c>
      <c r="M21" s="345">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4" t="s">
        <v>1448</v>
      </c>
      <c r="C22" s="24"/>
      <c r="D22" s="137" t="str">
        <f>IF(F23&lt;=1,"单利计息。","复利计息。")&amp;"建造成本、管理费用、销售费用产生的利息。"</f>
        <v>复利计息。建造成本、管理费用、销售费用产生的利息。</v>
      </c>
      <c r="E22" s="1815"/>
      <c r="F22" s="26"/>
      <c r="G22" s="1848"/>
      <c r="H22" s="1199" t="s">
        <v>1039</v>
      </c>
      <c r="I22" s="344" t="s">
        <v>1449</v>
      </c>
      <c r="J22" s="24">
        <f ca="1">ROUND(J14*M22,0)</f>
        <v>0</v>
      </c>
      <c r="K22" s="1795" t="s">
        <v>1450</v>
      </c>
      <c r="L22" s="344" t="s">
        <v>1422</v>
      </c>
      <c r="M22" s="371">
        <f ca="1">INDIRECT("'数据-取费表'!Ak"&amp;$G$1)</f>
        <v>0</v>
      </c>
    </row>
    <row r="23" spans="1:37" s="1855" customFormat="1" ht="18" customHeight="1">
      <c r="A23" s="1199"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51"/>
      <c r="H23" s="1199" t="s">
        <v>1075</v>
      </c>
      <c r="I23" s="344" t="s">
        <v>1453</v>
      </c>
      <c r="J23" s="24">
        <f ca="1">ROUND(J13*M23,0)</f>
        <v>0</v>
      </c>
      <c r="K23" s="1795" t="s">
        <v>1454</v>
      </c>
      <c r="L23" s="344" t="s">
        <v>1455</v>
      </c>
      <c r="M23" s="373">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51"/>
      <c r="H24" s="1337" t="s">
        <v>1393</v>
      </c>
      <c r="I24" s="1338" t="s">
        <v>1439</v>
      </c>
      <c r="J24" s="1339">
        <f ca="1">ROUND(J5*M24,0)</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1460</v>
      </c>
      <c r="B25" s="344" t="s">
        <v>1461</v>
      </c>
      <c r="C25" s="24"/>
      <c r="D25" s="137" t="s">
        <v>1462</v>
      </c>
      <c r="E25" s="1815"/>
      <c r="F25" s="26"/>
      <c r="G25" s="1848"/>
      <c r="H25" s="1327" t="s">
        <v>1031</v>
      </c>
      <c r="I25" s="1342" t="s">
        <v>1463</v>
      </c>
      <c r="J25" s="352">
        <f ca="1">J5-J16</f>
        <v>0</v>
      </c>
      <c r="K25" s="1343" t="s">
        <v>1464</v>
      </c>
      <c r="L25" s="1344"/>
      <c r="M25" s="1345"/>
    </row>
    <row r="26" spans="1:37" ht="18" customHeight="1">
      <c r="A26" s="1199" t="s">
        <v>1034</v>
      </c>
      <c r="B26" s="344" t="s">
        <v>1465</v>
      </c>
      <c r="C26" s="24">
        <f ca="1">ROUND((C19+C20)*F26,0)</f>
        <v>0</v>
      </c>
      <c r="D26" s="366" t="s">
        <v>1466</v>
      </c>
      <c r="E26" s="355" t="s">
        <v>1467</v>
      </c>
      <c r="F26" s="354">
        <f ca="1">INDIRECT("'数据-取费表'!q"&amp;$G$1)</f>
        <v>0</v>
      </c>
      <c r="G26" s="1848"/>
      <c r="H26" s="341" t="s">
        <v>1032</v>
      </c>
      <c r="I26" s="342" t="s">
        <v>1468</v>
      </c>
      <c r="J26" s="343">
        <f ca="1">IF(J5&lt;&gt;0,ROUND(J25*(1-((1+M28)/(1+M26))^M27)/(M26-M28),0),0)</f>
        <v>0</v>
      </c>
      <c r="K26" s="367" t="s">
        <v>1469</v>
      </c>
      <c r="L26" s="344" t="s">
        <v>1470</v>
      </c>
      <c r="M26" s="354">
        <f ca="1">INDIRECT("'数据-取费表'!I"&amp;$G$1)</f>
        <v>0</v>
      </c>
    </row>
    <row r="27" spans="1:37" ht="18" customHeight="1">
      <c r="A27" s="1199" t="s">
        <v>1036</v>
      </c>
      <c r="B27" s="344" t="s">
        <v>1471</v>
      </c>
      <c r="C27" s="24">
        <f ca="1">ROUND(F21*F26,4)</f>
        <v>0</v>
      </c>
      <c r="D27" s="366" t="s">
        <v>1472</v>
      </c>
      <c r="E27" s="362"/>
      <c r="F27" s="363"/>
      <c r="G27" s="1848"/>
      <c r="H27" s="346"/>
      <c r="I27" s="347"/>
      <c r="J27" s="348"/>
      <c r="K27" s="375" t="s">
        <v>1473</v>
      </c>
      <c r="L27" s="344" t="s">
        <v>1474</v>
      </c>
      <c r="M27" s="376">
        <f ca="1">INDIRECT("'数据-取费表'!ag"&amp;$G$1)</f>
        <v>0</v>
      </c>
    </row>
    <row r="28" spans="1:37" s="1855" customFormat="1" ht="18" customHeight="1">
      <c r="A28" s="1199" t="s">
        <v>1037</v>
      </c>
      <c r="B28" s="344" t="s">
        <v>1475</v>
      </c>
      <c r="C28" s="24">
        <f>ROUND(F28/(1+'数据-取费表'!C42),4)</f>
        <v>5.2400000000000002E-2</v>
      </c>
      <c r="D28" s="366" t="s">
        <v>1476</v>
      </c>
      <c r="E28" s="344" t="s">
        <v>1422</v>
      </c>
      <c r="F28" s="364">
        <f>'数据-取费表'!B41</f>
        <v>5.5000000000000007E-2</v>
      </c>
      <c r="G28" s="1851"/>
      <c r="H28" s="350"/>
      <c r="I28" s="351"/>
      <c r="J28" s="352"/>
      <c r="K28" s="370"/>
      <c r="L28" s="344" t="s">
        <v>1477</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77" t="s">
        <v>1033</v>
      </c>
      <c r="I29" s="378" t="s">
        <v>1479</v>
      </c>
      <c r="J29" s="379">
        <f ca="1">ROUND(J26/(1+F40)^F41,0)</f>
        <v>0</v>
      </c>
      <c r="K29" s="380" t="s">
        <v>1480</v>
      </c>
      <c r="L29" s="381"/>
      <c r="M29" s="382">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2">
        <f ca="1">ROUND(C31+C36+C37+C38,0)</f>
        <v>0</v>
      </c>
      <c r="D30" s="1335" t="s">
        <v>1425</v>
      </c>
      <c r="E30" s="1336"/>
      <c r="F30" s="1292"/>
      <c r="G30" s="1848"/>
      <c r="H30" s="740"/>
      <c r="I30" s="741"/>
      <c r="J30" s="742"/>
      <c r="K30" s="743"/>
      <c r="L30" s="744"/>
      <c r="M30" s="745"/>
    </row>
    <row r="31" spans="1:37" ht="18" customHeight="1">
      <c r="A31" s="1199" t="s">
        <v>1035</v>
      </c>
      <c r="B31" s="344" t="s">
        <v>1429</v>
      </c>
      <c r="C31" s="24">
        <f ca="1">ROUND(IF(项目基本情况!B11="自然人",C5*F31,C32+C33+C34),0)</f>
        <v>0</v>
      </c>
      <c r="D31" s="1797" t="s">
        <v>1430</v>
      </c>
      <c r="E31" s="1795" t="s">
        <v>1481</v>
      </c>
      <c r="F31" s="365" t="str">
        <f ca="1">IF(项目基本情况!B11="企业","",IF(INDIRECT("'数据-取费表'!c"&amp;$G$1)="住宅",5%,IF(F6*F7*F8/12/(1+'数据-取费表'!C42)&gt;20000,12%,7%)))</f>
        <v/>
      </c>
      <c r="G31" s="1848"/>
      <c r="H31" s="740"/>
      <c r="I31" s="741"/>
      <c r="J31" s="742"/>
      <c r="K31" s="743"/>
      <c r="L31" s="744"/>
      <c r="M31" s="745"/>
    </row>
    <row r="32" spans="1:37" ht="18" customHeight="1">
      <c r="A32" s="1199" t="s">
        <v>1034</v>
      </c>
      <c r="B32" s="344" t="s">
        <v>1433</v>
      </c>
      <c r="C32" s="24">
        <f ca="1">IF(项目基本情况!B11="自然人","——",ROUND(C5*F32/(1+'数据-取费表'!C42),0))</f>
        <v>0</v>
      </c>
      <c r="D32" s="1795" t="s">
        <v>1434</v>
      </c>
      <c r="E32" s="344" t="s">
        <v>1422</v>
      </c>
      <c r="F32" s="374">
        <f>'数据-取费表'!B41</f>
        <v>5.5000000000000007E-2</v>
      </c>
      <c r="G32" s="1848"/>
      <c r="H32" s="740"/>
      <c r="I32" s="741"/>
      <c r="J32" s="742"/>
      <c r="K32" s="743"/>
      <c r="L32" s="744"/>
      <c r="M32" s="745"/>
    </row>
    <row r="33" spans="1:18" ht="18" customHeight="1">
      <c r="A33" s="1199" t="s">
        <v>1036</v>
      </c>
      <c r="B33" s="344" t="s">
        <v>1437</v>
      </c>
      <c r="C33" s="24">
        <f ca="1">IF(项目基本情况!B11="自然人","——",IF(D33="按租金收入计税",ROUND(C5*F33,0),IF(D33="按房产原值计税",ROUND(C29*F33*0.7,0),INDIRECT("'数据-取费表'!Aj"&amp;$G$1))))</f>
        <v>0</v>
      </c>
      <c r="D33" s="1825" t="s">
        <v>1438</v>
      </c>
      <c r="E33" s="344" t="s">
        <v>1422</v>
      </c>
      <c r="F33" s="364">
        <f>IF(D33="按票据","——",IF(D33="按租金收入计税",'数据-取费表'!B51,'数据-取费表'!B50))</f>
        <v>1.2E-2</v>
      </c>
      <c r="G33" s="1848"/>
      <c r="H33" s="1856"/>
      <c r="I33" s="1857"/>
      <c r="J33" s="1858"/>
      <c r="K33" s="1859"/>
      <c r="L33" s="1856"/>
      <c r="M33" s="1856"/>
    </row>
    <row r="34" spans="1:18" ht="18" customHeight="1">
      <c r="A34" s="1289" t="s">
        <v>1389</v>
      </c>
      <c r="B34" s="161" t="s">
        <v>1441</v>
      </c>
      <c r="C34" s="25">
        <f ca="1">IF(项目基本情况!B11="自然人","——",ROUND(F34*F35,))</f>
        <v>0</v>
      </c>
      <c r="D34" s="367" t="s">
        <v>1442</v>
      </c>
      <c r="E34" s="344" t="s">
        <v>1443</v>
      </c>
      <c r="F34" s="368">
        <f>'数据-取费表'!B52</f>
        <v>1.5</v>
      </c>
      <c r="G34" s="1848"/>
      <c r="H34" s="740"/>
      <c r="I34" s="1857"/>
      <c r="J34" s="1858"/>
      <c r="K34" s="1860"/>
      <c r="L34" s="1861"/>
      <c r="M34" s="1861"/>
    </row>
    <row r="35" spans="1:18" ht="18" customHeight="1">
      <c r="A35" s="1351"/>
      <c r="B35" s="1349"/>
      <c r="C35" s="29"/>
      <c r="D35" s="370"/>
      <c r="E35" s="344" t="s">
        <v>1447</v>
      </c>
      <c r="F35" s="345">
        <f ca="1">INDIRECT("'数据-取费表'!r"&amp;$G$1)</f>
        <v>0</v>
      </c>
      <c r="G35" s="1848"/>
      <c r="H35" s="740"/>
      <c r="I35" s="1857"/>
      <c r="J35" s="1858"/>
      <c r="K35" s="1859"/>
      <c r="L35" s="1856"/>
      <c r="M35" s="1856"/>
    </row>
    <row r="36" spans="1:18" ht="18" customHeight="1">
      <c r="A36" s="1350" t="s">
        <v>1039</v>
      </c>
      <c r="B36" s="344" t="s">
        <v>1449</v>
      </c>
      <c r="C36" s="24">
        <f ca="1">ROUND(C29*F36,0)</f>
        <v>0</v>
      </c>
      <c r="D36" s="1795" t="s">
        <v>1482</v>
      </c>
      <c r="E36" s="344" t="s">
        <v>1422</v>
      </c>
      <c r="F36" s="371">
        <f ca="1">INDIRECT("'数据-取费表'!Ak"&amp;$G$1)</f>
        <v>0</v>
      </c>
      <c r="G36" s="1848"/>
      <c r="H36" s="1856"/>
      <c r="I36" s="1857"/>
      <c r="J36" s="1858"/>
      <c r="K36" s="746"/>
      <c r="L36" s="1856"/>
      <c r="M36" s="1856"/>
    </row>
    <row r="37" spans="1:18" ht="18" customHeight="1">
      <c r="A37" s="1199" t="s">
        <v>1075</v>
      </c>
      <c r="B37" s="344" t="s">
        <v>1453</v>
      </c>
      <c r="C37" s="24">
        <f ca="1">ROUND(C13*F37,0)</f>
        <v>0</v>
      </c>
      <c r="D37" s="1795" t="s">
        <v>1454</v>
      </c>
      <c r="E37" s="344" t="s">
        <v>1455</v>
      </c>
      <c r="F37" s="373">
        <f ca="1">INDIRECT("'数据-取费表'!Al"&amp;$G$1)</f>
        <v>0</v>
      </c>
      <c r="G37" s="1848"/>
      <c r="H37" s="1856"/>
      <c r="I37" s="1857"/>
      <c r="J37" s="1858"/>
      <c r="K37" s="746"/>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2">
        <f ca="1">C5-C30</f>
        <v>0</v>
      </c>
      <c r="D39" s="1343" t="s">
        <v>1484</v>
      </c>
      <c r="E39" s="1344"/>
      <c r="F39" s="1345"/>
      <c r="G39" s="1848"/>
      <c r="H39" s="1856"/>
      <c r="I39" s="1857"/>
      <c r="J39" s="1858"/>
      <c r="K39" s="1862"/>
      <c r="L39" s="1856"/>
      <c r="M39" s="1856"/>
    </row>
    <row r="40" spans="1:18" ht="18" customHeight="1">
      <c r="A40" s="341" t="s">
        <v>1032</v>
      </c>
      <c r="B40" s="342" t="s">
        <v>1485</v>
      </c>
      <c r="C40" s="343" t="e">
        <f ca="1">ROUND(C39*(1-((1+F42)/(1+F40))^F41)/(F40-F42),0)</f>
        <v>#DIV/0!</v>
      </c>
      <c r="D40" s="367" t="s">
        <v>1469</v>
      </c>
      <c r="E40" s="344" t="s">
        <v>1470</v>
      </c>
      <c r="F40" s="354">
        <f ca="1">INDIRECT("'数据-取费表'!I"&amp;$G$1)</f>
        <v>0</v>
      </c>
      <c r="G40" s="1848"/>
      <c r="H40" s="1836"/>
      <c r="I40" s="1857"/>
      <c r="J40" s="1858"/>
      <c r="K40" s="1862"/>
      <c r="L40" s="1836"/>
      <c r="M40" s="1836"/>
    </row>
    <row r="41" spans="1:18" ht="18" customHeight="1">
      <c r="A41" s="346"/>
      <c r="B41" s="347"/>
      <c r="C41" s="348"/>
      <c r="D41" s="375" t="s">
        <v>1486</v>
      </c>
      <c r="E41" s="344" t="s">
        <v>1474</v>
      </c>
      <c r="F41" s="376">
        <f ca="1">IF(INDIRECT("'数据-取费表'!af"&amp;$G$1)=0,INDIRECT("'数据-取费表'!ae"&amp;$G$1),INDIRECT("'数据-取费表'!af"&amp;$G$1))</f>
        <v>0</v>
      </c>
      <c r="G41" s="1848"/>
      <c r="H41" s="727"/>
      <c r="I41" s="1857"/>
      <c r="J41" s="1858"/>
      <c r="K41" s="746"/>
      <c r="L41" s="727"/>
      <c r="M41" s="727"/>
    </row>
    <row r="42" spans="1:18" ht="18" customHeight="1">
      <c r="A42" s="350"/>
      <c r="B42" s="351"/>
      <c r="C42" s="352"/>
      <c r="D42" s="370"/>
      <c r="E42" s="344" t="s">
        <v>1477</v>
      </c>
      <c r="F42" s="354">
        <f ca="1">INDIRECT("'数据-取费表'!v"&amp;$G$1)</f>
        <v>0</v>
      </c>
      <c r="G42" s="1848"/>
      <c r="H42" s="727"/>
      <c r="I42" s="1857"/>
      <c r="J42" s="1858"/>
      <c r="K42" s="746"/>
      <c r="L42" s="727"/>
      <c r="M42" s="727"/>
    </row>
    <row r="43" spans="1:18" ht="18" customHeight="1" thickBot="1">
      <c r="A43" s="377" t="s">
        <v>1033</v>
      </c>
      <c r="B43" s="378" t="s">
        <v>1487</v>
      </c>
      <c r="C43" s="379" t="e">
        <f ca="1">ROUND(C40/F43,0)</f>
        <v>#DIV/0!</v>
      </c>
      <c r="D43" s="380" t="s">
        <v>1488</v>
      </c>
      <c r="E43" s="381" t="s">
        <v>1489</v>
      </c>
      <c r="F43" s="382">
        <f ca="1">INDIRECT("'数据-取费表'!k"&amp;$G$1)</f>
        <v>0</v>
      </c>
      <c r="G43" s="1848"/>
      <c r="H43" s="727"/>
      <c r="I43" s="727"/>
      <c r="J43" s="727"/>
      <c r="K43" s="746"/>
      <c r="L43" s="727"/>
      <c r="M43" s="727"/>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3" t="s">
        <v>1396</v>
      </c>
      <c r="B47" s="1195" t="s">
        <v>1397</v>
      </c>
      <c r="C47" s="1195" t="s">
        <v>1398</v>
      </c>
      <c r="D47" s="1195" t="s">
        <v>1399</v>
      </c>
      <c r="E47" s="1277" t="s">
        <v>1400</v>
      </c>
      <c r="F47" s="1278"/>
      <c r="G47" s="787"/>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2" t="s">
        <v>1401</v>
      </c>
      <c r="C48" s="1814">
        <f ca="1">C49+C53+C55</f>
        <v>0</v>
      </c>
      <c r="D48" s="1360"/>
      <c r="E48" s="1361"/>
      <c r="F48" s="1179"/>
      <c r="G48" s="787"/>
      <c r="H48" s="788"/>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2" t="s">
        <v>1136</v>
      </c>
      <c r="B49" s="1826" t="s">
        <v>1490</v>
      </c>
      <c r="C49" s="1362">
        <f ca="1">ROUND(F49*F51*F50*(1-F52),0)</f>
        <v>0</v>
      </c>
      <c r="D49" s="1274" t="s">
        <v>1404</v>
      </c>
      <c r="E49" s="1827" t="s">
        <v>1491</v>
      </c>
      <c r="F49" s="1279"/>
      <c r="G49" s="1888"/>
      <c r="H49" s="788"/>
      <c r="I49" s="1884" t="s">
        <v>1534</v>
      </c>
      <c r="J49" s="1889"/>
      <c r="K49" s="1886" t="s">
        <v>1535</v>
      </c>
      <c r="L49" s="1890"/>
      <c r="O49" s="1891" t="s">
        <v>1042</v>
      </c>
      <c r="P49" s="1882" t="s">
        <v>1536</v>
      </c>
      <c r="Q49" s="1883">
        <f ca="1">C29</f>
        <v>0</v>
      </c>
      <c r="R49" s="1883" t="s">
        <v>1529</v>
      </c>
    </row>
    <row r="50" spans="1:18" s="1839" customFormat="1" ht="13.5" thickBot="1">
      <c r="A50" s="1193"/>
      <c r="B50" s="1196"/>
      <c r="C50" s="1197"/>
      <c r="D50" s="1170"/>
      <c r="E50" s="1275" t="s">
        <v>1406</v>
      </c>
      <c r="F50" s="1276">
        <f ca="1">F7</f>
        <v>0</v>
      </c>
      <c r="H50" s="788"/>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4"/>
      <c r="B51" s="1196"/>
      <c r="C51" s="1197"/>
      <c r="D51" s="1170"/>
      <c r="E51" s="1198" t="s">
        <v>1407</v>
      </c>
      <c r="F51" s="345">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t="b">
        <f>J53</f>
        <v>0</v>
      </c>
      <c r="R52" s="1883" t="s">
        <v>1546</v>
      </c>
    </row>
    <row r="53" spans="1:18" s="1839" customFormat="1" ht="30.75" customHeight="1" thickBot="1">
      <c r="A53" s="1359" t="s">
        <v>1137</v>
      </c>
      <c r="B53" s="366" t="s">
        <v>1409</v>
      </c>
      <c r="C53" s="358">
        <f ca="1">ROUND(IF(F53="押一",C49/12*F11,IF(F53="押二",C49/12*2*F11,IF(F53="押三",C49/12*3*F11,C54*F11))),0)</f>
        <v>0</v>
      </c>
      <c r="D53" s="1821" t="s">
        <v>3044</v>
      </c>
      <c r="E53" s="355" t="s">
        <v>1410</v>
      </c>
      <c r="F53" s="1364"/>
      <c r="I53" s="1902" t="s">
        <v>1547</v>
      </c>
      <c r="J53" s="1903" t="b">
        <f>IF(M47="住宅",IF(D1="——",MAX(J51,L48),IF(D1="在建（套用方法）",MAX(J51,L48-'数据-取费表'!B24),MAX(J51,L48-'数据-取费表'!B20))),IF(D1="——",MIN(J51,L48),IF(D1="在建（套用方法）",MIN(J51,L48-'数据-取费表'!B24),IF(D1="土地（套用方法）",MIN(J51,L48-'数据-取费表'!B20)))))</f>
        <v>0</v>
      </c>
      <c r="K53" s="3358" t="s">
        <v>1548</v>
      </c>
      <c r="L53" s="3359"/>
      <c r="O53" s="1881" t="s">
        <v>1046</v>
      </c>
      <c r="P53" s="1882" t="s">
        <v>1549</v>
      </c>
      <c r="Q53" s="1883" t="e">
        <f ca="1">Q47+Q48</f>
        <v>#DIV/0!</v>
      </c>
      <c r="R53" s="1883" t="s">
        <v>1047</v>
      </c>
    </row>
    <row r="54" spans="1:18" s="1839" customFormat="1" ht="13.5" thickBot="1">
      <c r="A54" s="1192"/>
      <c r="B54" s="1938" t="s">
        <v>1603</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4">
        <v>2</v>
      </c>
      <c r="B56" s="1175" t="s">
        <v>1414</v>
      </c>
      <c r="C56" s="273">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7" t="s">
        <v>1478</v>
      </c>
      <c r="C57" s="279">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57" t="s">
        <v>1030</v>
      </c>
      <c r="B58" s="1175" t="s">
        <v>1424</v>
      </c>
      <c r="C58" s="358">
        <f ca="1">ROUND(C59+C64+C65+C66,0)</f>
        <v>0</v>
      </c>
      <c r="D58" s="1177" t="s">
        <v>1425</v>
      </c>
      <c r="E58" s="1178"/>
      <c r="F58" s="1179"/>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ROUND(IF(项目基本情况!B11="自然人",C48*F59,C60+C61+C62),0)</f>
        <v>0</v>
      </c>
      <c r="D59" s="1180" t="s">
        <v>1430</v>
      </c>
      <c r="E59" s="1181" t="s">
        <v>1431</v>
      </c>
      <c r="F59" s="365"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IF(项目基本情况!B11="自然人","——",ROUND(C48*F60/(1+'数据-取费表'!C42),0))</f>
        <v>0</v>
      </c>
      <c r="D60" s="1181" t="s">
        <v>1434</v>
      </c>
      <c r="E60" s="1167" t="s">
        <v>1422</v>
      </c>
      <c r="F60" s="374">
        <f t="shared" ref="F60:F66" si="0">F32</f>
        <v>5.5000000000000007E-2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IF(项目基本情况!B11="自然人","——",IF(D61="按租金收入计税",ROUND(C48*F61,0),IF(D61="按房产原值计税",ROUND(C57*F61*0.7,0),INDIRECT("'数据-取费表'!Aj"&amp;$G$1))))</f>
        <v>0</v>
      </c>
      <c r="D61" s="1825" t="s">
        <v>1438</v>
      </c>
      <c r="E61" s="1167" t="s">
        <v>1494</v>
      </c>
      <c r="F61" s="364">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IF(项目基本情况!B11="自然人","——",ROUND(F62*F63,0))</f>
        <v>0</v>
      </c>
      <c r="D62" s="1182" t="s">
        <v>1497</v>
      </c>
      <c r="E62" s="1167" t="s">
        <v>1498</v>
      </c>
      <c r="F62" s="368">
        <f t="shared" si="0"/>
        <v>1.5</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69"/>
      <c r="B63" s="1173"/>
      <c r="C63" s="29"/>
      <c r="D63" s="1183"/>
      <c r="E63" s="1167" t="s">
        <v>1499</v>
      </c>
      <c r="F63" s="345">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ROUND(C57*F64,0)</f>
        <v>0</v>
      </c>
      <c r="D64" s="1181" t="s">
        <v>1502</v>
      </c>
      <c r="E64" s="1167" t="s">
        <v>1494</v>
      </c>
      <c r="F64" s="371">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ROUND(C56*F65,0)</f>
        <v>0</v>
      </c>
      <c r="D65" s="1181" t="s">
        <v>1454</v>
      </c>
      <c r="E65" s="1167" t="s">
        <v>1455</v>
      </c>
      <c r="F65" s="373">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9" t="s">
        <v>1504</v>
      </c>
      <c r="B66" s="1167" t="s">
        <v>1439</v>
      </c>
      <c r="C66" s="24">
        <f ca="1">ROUND(C48*F66,0)</f>
        <v>0</v>
      </c>
      <c r="D66" s="1181" t="s">
        <v>1505</v>
      </c>
      <c r="E66" s="1167" t="s">
        <v>1422</v>
      </c>
      <c r="F66" s="354">
        <f t="shared" ca="1" si="0"/>
        <v>0</v>
      </c>
      <c r="O66" s="1881" t="s">
        <v>1041</v>
      </c>
      <c r="P66" s="1882" t="s">
        <v>1558</v>
      </c>
      <c r="Q66" s="1883" t="e">
        <f ca="1">L60</f>
        <v>#DIV/0!</v>
      </c>
      <c r="R66" s="1883" t="s">
        <v>1581</v>
      </c>
    </row>
    <row r="67" spans="1:18" s="1839" customFormat="1" ht="16.5" thickBot="1">
      <c r="A67" s="1174" t="s">
        <v>1031</v>
      </c>
      <c r="B67" s="1184" t="s">
        <v>1463</v>
      </c>
      <c r="C67" s="358">
        <f ca="1">C48-C58</f>
        <v>0</v>
      </c>
      <c r="D67" s="1180" t="s">
        <v>1464</v>
      </c>
      <c r="E67" s="1185"/>
      <c r="F67" s="1186"/>
      <c r="O67" s="1891" t="s">
        <v>1042</v>
      </c>
      <c r="P67" s="1882" t="s">
        <v>1562</v>
      </c>
      <c r="Q67" s="1930">
        <f ca="1">L51</f>
        <v>0</v>
      </c>
      <c r="R67" s="1883" t="s">
        <v>1582</v>
      </c>
    </row>
    <row r="68" spans="1:18" s="1839" customFormat="1" ht="16.5" thickBot="1">
      <c r="A68" s="1164" t="s">
        <v>1032</v>
      </c>
      <c r="B68" s="1165" t="s">
        <v>1485</v>
      </c>
      <c r="C68" s="343" t="e">
        <f ca="1">ROUND(C67*(1-((1+F70)/(1+F68))^F69)/(F68-F70),0)</f>
        <v>#DIV/0!</v>
      </c>
      <c r="D68" s="1182" t="s">
        <v>1469</v>
      </c>
      <c r="E68" s="1167" t="s">
        <v>1470</v>
      </c>
      <c r="F68" s="354">
        <f ca="1">F40</f>
        <v>0</v>
      </c>
      <c r="O68" s="1891" t="s">
        <v>1043</v>
      </c>
      <c r="P68" s="1931" t="s">
        <v>1583</v>
      </c>
      <c r="Q68" s="1883">
        <f ca="1">ROUND(Q69-Q70*Q71,0)</f>
        <v>0</v>
      </c>
      <c r="R68" s="1883" t="s">
        <v>1051</v>
      </c>
    </row>
    <row r="69" spans="1:18" s="1839" customFormat="1" ht="13.5" thickBot="1">
      <c r="A69" s="1168"/>
      <c r="B69" s="1169"/>
      <c r="C69" s="348"/>
      <c r="D69" s="1187" t="s">
        <v>1473</v>
      </c>
      <c r="E69" s="1167" t="s">
        <v>1474</v>
      </c>
      <c r="F69" s="376">
        <f ca="1">F41</f>
        <v>0</v>
      </c>
      <c r="O69" s="1891" t="s">
        <v>1048</v>
      </c>
      <c r="P69" s="1931" t="s">
        <v>1584</v>
      </c>
      <c r="Q69" s="1883">
        <f ca="1">C39</f>
        <v>0</v>
      </c>
      <c r="R69" s="1883" t="s">
        <v>1529</v>
      </c>
    </row>
    <row r="70" spans="1:18" s="1839" customFormat="1" ht="13.5" thickBot="1">
      <c r="A70" s="1171"/>
      <c r="B70" s="1172"/>
      <c r="C70" s="352"/>
      <c r="D70" s="1183"/>
      <c r="E70" s="1167" t="s">
        <v>1477</v>
      </c>
      <c r="F70" s="1273">
        <f ca="1">F42</f>
        <v>0</v>
      </c>
      <c r="O70" s="1891" t="s">
        <v>1049</v>
      </c>
      <c r="P70" s="1931" t="s">
        <v>1585</v>
      </c>
      <c r="Q70" s="1883">
        <f ca="1">C13</f>
        <v>0</v>
      </c>
      <c r="R70" s="1883" t="s">
        <v>1529</v>
      </c>
    </row>
    <row r="71" spans="1:18" s="1839" customFormat="1" ht="13.5" thickBot="1">
      <c r="A71" s="1188" t="s">
        <v>1033</v>
      </c>
      <c r="B71" s="1189" t="s">
        <v>1487</v>
      </c>
      <c r="C71" s="379" t="e">
        <f ca="1">ROUND(C68/F71,0)</f>
        <v>#DIV/0!</v>
      </c>
      <c r="D71" s="1190" t="s">
        <v>1488</v>
      </c>
      <c r="E71" s="1191" t="s">
        <v>1489</v>
      </c>
      <c r="F71" s="382">
        <f ca="1">F43</f>
        <v>0</v>
      </c>
      <c r="O71" s="1891" t="s">
        <v>1050</v>
      </c>
      <c r="P71" s="1931" t="s">
        <v>1586</v>
      </c>
      <c r="Q71" s="1894">
        <f ca="1">C76</f>
        <v>0</v>
      </c>
      <c r="R71" s="1883"/>
    </row>
    <row r="72" spans="1:18" s="1839" customFormat="1" ht="13.5" thickBot="1">
      <c r="B72" s="791"/>
      <c r="C72" s="791"/>
      <c r="O72" s="1891" t="s">
        <v>1044</v>
      </c>
      <c r="P72" s="1882" t="s">
        <v>1564</v>
      </c>
      <c r="Q72" s="1894">
        <f>L52</f>
        <v>0</v>
      </c>
      <c r="R72" s="1883"/>
    </row>
    <row r="73" spans="1:18" ht="16.5" thickBot="1">
      <c r="A73" s="1839"/>
      <c r="B73" s="791"/>
      <c r="C73" s="791"/>
      <c r="D73" s="1839"/>
      <c r="E73" s="1839"/>
      <c r="F73" s="1839"/>
      <c r="O73" s="1891" t="s">
        <v>1045</v>
      </c>
      <c r="P73" s="1882" t="s">
        <v>1567</v>
      </c>
      <c r="Q73" s="1883" t="e">
        <f ca="1">L58</f>
        <v>#DIV/0!</v>
      </c>
      <c r="R73" s="1883" t="s">
        <v>1568</v>
      </c>
    </row>
    <row r="74" spans="1:18" ht="13.5" thickBot="1">
      <c r="A74" s="1839"/>
      <c r="B74" s="314"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3" t="s">
        <v>1506</v>
      </c>
      <c r="C75" s="384">
        <f ca="1">ROUND(C13*C76,0)</f>
        <v>0</v>
      </c>
      <c r="D75" s="1839"/>
      <c r="E75" s="1839"/>
      <c r="F75" s="1839"/>
      <c r="K75" s="1865"/>
      <c r="L75" s="1839"/>
      <c r="O75" s="1881" t="s">
        <v>1046</v>
      </c>
      <c r="P75" s="1882" t="s">
        <v>1549</v>
      </c>
      <c r="Q75" s="1883" t="e">
        <f ca="1">Q65+Q66</f>
        <v>#DIV/0!</v>
      </c>
      <c r="R75" s="1883" t="s">
        <v>1047</v>
      </c>
    </row>
    <row r="76" spans="1:18">
      <c r="B76" s="385" t="s">
        <v>1507</v>
      </c>
      <c r="C76" s="386">
        <f ca="1">INDIRECT("'数据-取费表'!j"&amp;$G$1)</f>
        <v>0</v>
      </c>
      <c r="I76" s="1839"/>
      <c r="J76" s="1839"/>
      <c r="K76" s="1865"/>
      <c r="L76" s="1839"/>
    </row>
    <row r="77" spans="1:18">
      <c r="B77" s="387" t="s">
        <v>1508</v>
      </c>
      <c r="C77" s="388"/>
      <c r="I77" s="1839"/>
      <c r="J77" s="1839"/>
      <c r="K77" s="1865"/>
      <c r="L77" s="1839"/>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2529</v>
      </c>
      <c r="B1" s="2562"/>
      <c r="C1" s="2562"/>
      <c r="D1" s="2562"/>
      <c r="E1" s="2563"/>
    </row>
    <row r="2" spans="1:6" ht="15.75">
      <c r="A2" s="2564" t="s">
        <v>2330</v>
      </c>
      <c r="B2" s="2565">
        <f ca="1">SUMIF(B6:B13,"&lt;&gt;#ref!",B6:B13)</f>
        <v>3</v>
      </c>
      <c r="C2" s="2566" t="s">
        <v>2522</v>
      </c>
      <c r="D2" s="2567" t="s">
        <v>2523</v>
      </c>
      <c r="E2" s="2568">
        <f>SUM(E6:E13)</f>
        <v>1</v>
      </c>
    </row>
    <row r="3" spans="1:6" ht="15.75">
      <c r="A3" s="2564" t="s">
        <v>1395</v>
      </c>
      <c r="B3" s="2565">
        <f ca="1">ROUND(B2*10000/E2,0)</f>
        <v>30000</v>
      </c>
      <c r="C3" s="2566" t="s">
        <v>2530</v>
      </c>
      <c r="D3" s="2569"/>
      <c r="E3" s="2570"/>
    </row>
    <row r="4" spans="1:6" ht="15.75">
      <c r="A4" s="2571"/>
      <c r="B4" s="2569"/>
      <c r="C4" s="2569"/>
      <c r="D4" s="2569"/>
      <c r="E4" s="2570"/>
    </row>
    <row r="5" spans="1:6" ht="15">
      <c r="A5" s="2572" t="s">
        <v>2524</v>
      </c>
      <c r="B5" s="3363" t="s">
        <v>2525</v>
      </c>
      <c r="C5" s="3363"/>
      <c r="D5" s="2573"/>
      <c r="E5" s="2574" t="s">
        <v>2526</v>
      </c>
      <c r="F5" s="2575" t="s">
        <v>2527</v>
      </c>
    </row>
    <row r="6" spans="1:6">
      <c r="A6" s="2576" t="str">
        <f>'数据-取费表'!AN6</f>
        <v>成本法 (元)</v>
      </c>
      <c r="B6" s="2575">
        <f ca="1">IF(F6="是",'数据-取费表'!AO6,0)</f>
        <v>3</v>
      </c>
      <c r="C6" s="2566" t="s">
        <v>2522</v>
      </c>
      <c r="D6" s="2569"/>
      <c r="E6" s="2577">
        <f>IF(OR(A6=0,F6="否"),0,'数据-取费表'!K6+'数据-取费表'!S6)</f>
        <v>1</v>
      </c>
      <c r="F6" s="2578" t="s">
        <v>2528</v>
      </c>
    </row>
    <row r="7" spans="1:6">
      <c r="A7" s="2576">
        <f>'数据-取费表'!AN7</f>
        <v>0</v>
      </c>
      <c r="B7" s="2575" t="e">
        <f ca="1">IF(F7="是",'数据-取费表'!AO7,0)</f>
        <v>#REF!</v>
      </c>
      <c r="C7" s="2566" t="s">
        <v>2522</v>
      </c>
      <c r="D7" s="2569"/>
      <c r="E7" s="2577">
        <f>IF(OR(A7=0,F7="否"),0,'数据-取费表'!K7+'数据-取费表'!S7)</f>
        <v>0</v>
      </c>
      <c r="F7" s="2578" t="s">
        <v>2528</v>
      </c>
    </row>
    <row r="8" spans="1:6">
      <c r="A8" s="2576">
        <f>'数据-取费表'!AN8</f>
        <v>0</v>
      </c>
      <c r="B8" s="2575" t="e">
        <f ca="1">IF(F8="是",'数据-取费表'!AO8,0)</f>
        <v>#REF!</v>
      </c>
      <c r="C8" s="2566" t="s">
        <v>2522</v>
      </c>
      <c r="D8" s="2569"/>
      <c r="E8" s="2577">
        <f>IF(OR(A8=0,F8="否"),0,'数据-取费表'!K8+'数据-取费表'!S8)</f>
        <v>0</v>
      </c>
      <c r="F8" s="2578" t="s">
        <v>2528</v>
      </c>
    </row>
    <row r="9" spans="1:6">
      <c r="A9" s="2576">
        <f>'数据-取费表'!AN9</f>
        <v>0</v>
      </c>
      <c r="B9" s="2575" t="e">
        <f ca="1">IF(F9="是",'数据-取费表'!AO9,0)</f>
        <v>#REF!</v>
      </c>
      <c r="C9" s="2566" t="s">
        <v>2522</v>
      </c>
      <c r="D9" s="2569"/>
      <c r="E9" s="2577">
        <f>IF(OR(A9=0,F9="否"),0,'数据-取费表'!K9+'数据-取费表'!S9)</f>
        <v>0</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380" t="s">
        <v>1076</v>
      </c>
      <c r="B1" s="3381"/>
      <c r="C1" s="3382"/>
      <c r="D1" s="3383">
        <f>SUM(I10,I15,I20,I21,I23)</f>
        <v>0</v>
      </c>
      <c r="E1" s="3383"/>
      <c r="F1" s="3383"/>
      <c r="G1" s="3383"/>
      <c r="H1" s="3383"/>
      <c r="I1" s="3384"/>
    </row>
    <row r="2" spans="1:9">
      <c r="A2" s="3370" t="s">
        <v>1077</v>
      </c>
      <c r="B2" s="3371" t="s">
        <v>1078</v>
      </c>
      <c r="C2" s="3371"/>
      <c r="D2" s="1299" t="s">
        <v>1079</v>
      </c>
      <c r="E2" s="1299" t="s">
        <v>1080</v>
      </c>
      <c r="F2" s="1299" t="s">
        <v>1081</v>
      </c>
      <c r="G2" s="1299" t="s">
        <v>1082</v>
      </c>
      <c r="H2" s="1299" t="s">
        <v>1083</v>
      </c>
      <c r="I2" s="1300" t="s">
        <v>1084</v>
      </c>
    </row>
    <row r="3" spans="1:9">
      <c r="A3" s="3370"/>
      <c r="B3" s="3371" t="s">
        <v>1085</v>
      </c>
      <c r="C3" s="3371"/>
      <c r="D3" s="1301"/>
      <c r="E3" s="1299"/>
      <c r="F3" s="1302"/>
      <c r="G3" s="1302"/>
      <c r="H3" s="1303"/>
      <c r="I3" s="1304">
        <f>ROUND(D3*E3*F3*G3*H3/10000,0)</f>
        <v>0</v>
      </c>
    </row>
    <row r="4" spans="1:9">
      <c r="A4" s="3370"/>
      <c r="B4" s="3371" t="s">
        <v>1086</v>
      </c>
      <c r="C4" s="3371"/>
      <c r="D4" s="1301"/>
      <c r="E4" s="1299"/>
      <c r="F4" s="1302"/>
      <c r="G4" s="1302"/>
      <c r="H4" s="1303"/>
      <c r="I4" s="1304">
        <f t="shared" ref="I4:I9" si="0">ROUND(D4*E4*F4*G4*H4/10000,0)</f>
        <v>0</v>
      </c>
    </row>
    <row r="5" spans="1:9">
      <c r="A5" s="3370"/>
      <c r="B5" s="3371" t="s">
        <v>1087</v>
      </c>
      <c r="C5" s="3371"/>
      <c r="D5" s="1301"/>
      <c r="E5" s="1299"/>
      <c r="F5" s="1302"/>
      <c r="G5" s="1302"/>
      <c r="H5" s="1303"/>
      <c r="I5" s="1304">
        <f t="shared" si="0"/>
        <v>0</v>
      </c>
    </row>
    <row r="6" spans="1:9">
      <c r="A6" s="3370"/>
      <c r="B6" s="3371" t="s">
        <v>1088</v>
      </c>
      <c r="C6" s="3371"/>
      <c r="D6" s="1301"/>
      <c r="E6" s="1299"/>
      <c r="F6" s="1302"/>
      <c r="G6" s="1302"/>
      <c r="H6" s="1303"/>
      <c r="I6" s="1304">
        <f t="shared" si="0"/>
        <v>0</v>
      </c>
    </row>
    <row r="7" spans="1:9">
      <c r="A7" s="3370"/>
      <c r="B7" s="3371" t="s">
        <v>1089</v>
      </c>
      <c r="C7" s="3371"/>
      <c r="D7" s="1301"/>
      <c r="E7" s="1299"/>
      <c r="F7" s="1302"/>
      <c r="G7" s="1302"/>
      <c r="H7" s="1303"/>
      <c r="I7" s="1304">
        <f t="shared" si="0"/>
        <v>0</v>
      </c>
    </row>
    <row r="8" spans="1:9">
      <c r="A8" s="3370"/>
      <c r="B8" s="3371" t="s">
        <v>1090</v>
      </c>
      <c r="C8" s="3371"/>
      <c r="D8" s="1301"/>
      <c r="E8" s="1299"/>
      <c r="F8" s="1302"/>
      <c r="G8" s="1302"/>
      <c r="H8" s="1303"/>
      <c r="I8" s="1304">
        <f t="shared" si="0"/>
        <v>0</v>
      </c>
    </row>
    <row r="9" spans="1:9">
      <c r="A9" s="3370"/>
      <c r="B9" s="3371" t="s">
        <v>1091</v>
      </c>
      <c r="C9" s="3371"/>
      <c r="D9" s="1301"/>
      <c r="E9" s="1299"/>
      <c r="F9" s="1302"/>
      <c r="G9" s="1302"/>
      <c r="H9" s="1303"/>
      <c r="I9" s="1304">
        <f t="shared" si="0"/>
        <v>0</v>
      </c>
    </row>
    <row r="10" spans="1:9">
      <c r="A10" s="3370"/>
      <c r="B10" s="3372" t="s">
        <v>1092</v>
      </c>
      <c r="C10" s="3372"/>
      <c r="D10" s="1305"/>
      <c r="E10" s="1305" t="e">
        <f>ROUND(D1*10000/D10/H9,0)</f>
        <v>#DIV/0!</v>
      </c>
      <c r="F10" s="1306"/>
      <c r="G10" s="1306"/>
      <c r="H10" s="1307"/>
      <c r="I10" s="1308">
        <f>SUM(I3:I9)</f>
        <v>0</v>
      </c>
    </row>
    <row r="11" spans="1:9" ht="14.25">
      <c r="A11" s="3370" t="s">
        <v>1093</v>
      </c>
      <c r="B11" s="3371" t="s">
        <v>1094</v>
      </c>
      <c r="C11" s="3371"/>
      <c r="D11" s="1301" t="s">
        <v>1095</v>
      </c>
      <c r="E11" s="1301" t="s">
        <v>1096</v>
      </c>
      <c r="F11" s="1302" t="s">
        <v>1097</v>
      </c>
      <c r="G11" s="1302" t="s">
        <v>1083</v>
      </c>
      <c r="H11" s="1309" t="s">
        <v>1098</v>
      </c>
      <c r="I11" s="1300" t="s">
        <v>1084</v>
      </c>
    </row>
    <row r="12" spans="1:9">
      <c r="A12" s="3370"/>
      <c r="B12" s="3371" t="s">
        <v>1099</v>
      </c>
      <c r="C12" s="3371"/>
      <c r="D12" s="1301"/>
      <c r="E12" s="1301"/>
      <c r="F12" s="1302"/>
      <c r="G12" s="1303"/>
      <c r="H12" s="1310"/>
      <c r="I12" s="1300">
        <f>ROUND(D12*E12*F12*G12/10000,0)</f>
        <v>0</v>
      </c>
    </row>
    <row r="13" spans="1:9">
      <c r="A13" s="3370"/>
      <c r="B13" s="3371" t="s">
        <v>1100</v>
      </c>
      <c r="C13" s="3371"/>
      <c r="D13" s="1301"/>
      <c r="E13" s="1301"/>
      <c r="F13" s="1302"/>
      <c r="G13" s="1303"/>
      <c r="H13" s="1310"/>
      <c r="I13" s="1300">
        <f>ROUND(D13*E13*F13*G13/10000,0)</f>
        <v>0</v>
      </c>
    </row>
    <row r="14" spans="1:9">
      <c r="A14" s="3370"/>
      <c r="B14" s="3371" t="s">
        <v>1101</v>
      </c>
      <c r="C14" s="3371"/>
      <c r="D14" s="1301"/>
      <c r="E14" s="1301"/>
      <c r="F14" s="1302"/>
      <c r="G14" s="1303"/>
      <c r="H14" s="1310"/>
      <c r="I14" s="1300">
        <f>ROUND(D14*E14*F14*G14/10000,0)</f>
        <v>0</v>
      </c>
    </row>
    <row r="15" spans="1:9">
      <c r="A15" s="3370"/>
      <c r="B15" s="3372" t="s">
        <v>1092</v>
      </c>
      <c r="C15" s="3372"/>
      <c r="D15" s="1305"/>
      <c r="E15" s="1305">
        <f>SUM(E12:E14)</f>
        <v>0</v>
      </c>
      <c r="F15" s="1306"/>
      <c r="G15" s="1303"/>
      <c r="H15" s="1310"/>
      <c r="I15" s="1311">
        <f>SUM(I12:I14)</f>
        <v>0</v>
      </c>
    </row>
    <row r="16" spans="1:9" ht="24">
      <c r="A16" s="3370" t="s">
        <v>1102</v>
      </c>
      <c r="B16" s="3371" t="s">
        <v>1103</v>
      </c>
      <c r="C16" s="3371"/>
      <c r="D16" s="1301" t="s">
        <v>1079</v>
      </c>
      <c r="E16" s="1312" t="s">
        <v>1104</v>
      </c>
      <c r="F16" s="1302" t="s">
        <v>1105</v>
      </c>
      <c r="G16" s="1303" t="s">
        <v>1083</v>
      </c>
      <c r="H16" s="1309" t="s">
        <v>1098</v>
      </c>
      <c r="I16" s="1300" t="s">
        <v>1084</v>
      </c>
    </row>
    <row r="17" spans="1:9" ht="14.25">
      <c r="A17" s="3370"/>
      <c r="B17" s="3371" t="s">
        <v>1106</v>
      </c>
      <c r="C17" s="3371"/>
      <c r="D17" s="1301"/>
      <c r="E17" s="1301"/>
      <c r="F17" s="1302"/>
      <c r="G17" s="1303"/>
      <c r="H17" s="1313"/>
      <c r="I17" s="1314">
        <f>ROUND(D17*E17*F17*G17/10000,0)</f>
        <v>0</v>
      </c>
    </row>
    <row r="18" spans="1:9" ht="14.25">
      <c r="A18" s="3370"/>
      <c r="B18" s="3371" t="s">
        <v>1107</v>
      </c>
      <c r="C18" s="3371"/>
      <c r="D18" s="1301"/>
      <c r="E18" s="1301"/>
      <c r="F18" s="1302"/>
      <c r="G18" s="1303"/>
      <c r="H18" s="1313"/>
      <c r="I18" s="1314">
        <f>ROUND(D18*E18*F18*G18/10000,0)</f>
        <v>0</v>
      </c>
    </row>
    <row r="19" spans="1:9" ht="14.25">
      <c r="A19" s="3370"/>
      <c r="B19" s="3371" t="s">
        <v>1108</v>
      </c>
      <c r="C19" s="3371"/>
      <c r="D19" s="1301"/>
      <c r="E19" s="1301"/>
      <c r="F19" s="1302"/>
      <c r="G19" s="1303"/>
      <c r="H19" s="1313"/>
      <c r="I19" s="1314">
        <f>ROUND(D19*E19*F19*G19/10000,0)</f>
        <v>0</v>
      </c>
    </row>
    <row r="20" spans="1:9">
      <c r="A20" s="3370"/>
      <c r="B20" s="3372" t="s">
        <v>1092</v>
      </c>
      <c r="C20" s="3372"/>
      <c r="D20" s="1305">
        <f>SUM(D17:D19)</f>
        <v>0</v>
      </c>
      <c r="E20" s="1305"/>
      <c r="F20" s="1306"/>
      <c r="G20" s="1303"/>
      <c r="H20" s="1310"/>
      <c r="I20" s="1311">
        <f>SUM(I17:I19)</f>
        <v>0</v>
      </c>
    </row>
    <row r="21" spans="1:9">
      <c r="A21" s="3370" t="s">
        <v>1109</v>
      </c>
      <c r="B21" s="3373"/>
      <c r="C21" s="3373"/>
      <c r="D21" s="3373"/>
      <c r="E21" s="3373"/>
      <c r="F21" s="3373"/>
      <c r="G21" s="3373"/>
      <c r="H21" s="1762">
        <v>0.1</v>
      </c>
      <c r="I21" s="1308">
        <f>ROUND(I10*H21,0)</f>
        <v>0</v>
      </c>
    </row>
    <row r="22" spans="1:9" ht="14.25">
      <c r="A22" s="3374" t="s">
        <v>1110</v>
      </c>
      <c r="B22" s="3375"/>
      <c r="C22" s="3376"/>
      <c r="D22" s="1315" t="s">
        <v>1111</v>
      </c>
      <c r="E22" s="1315" t="s">
        <v>1112</v>
      </c>
      <c r="F22" s="1316" t="s">
        <v>1113</v>
      </c>
      <c r="G22" s="1316" t="s">
        <v>1114</v>
      </c>
      <c r="H22" s="1309" t="s">
        <v>1115</v>
      </c>
      <c r="I22" s="1300" t="s">
        <v>1116</v>
      </c>
    </row>
    <row r="23" spans="1:9" ht="14.25" thickBot="1">
      <c r="A23" s="3377"/>
      <c r="B23" s="3378"/>
      <c r="C23" s="3379"/>
      <c r="D23" s="1317"/>
      <c r="E23" s="1317"/>
      <c r="F23" s="1317"/>
      <c r="G23" s="1318"/>
      <c r="H23" s="1319"/>
      <c r="I23" s="1320">
        <f>ROUND(E23*D23*F23*(1-G23)/10000,0)</f>
        <v>0</v>
      </c>
    </row>
    <row r="26" spans="1:9">
      <c r="A26" s="1321" t="s">
        <v>1117</v>
      </c>
      <c r="B26" s="1321"/>
      <c r="C26" s="1321"/>
      <c r="D26" s="1321"/>
      <c r="E26" s="3367">
        <f>C27-C30-C31-C32</f>
        <v>0</v>
      </c>
      <c r="F26" s="3367"/>
      <c r="G26" s="3367"/>
      <c r="H26" s="1734" t="s">
        <v>1340</v>
      </c>
    </row>
    <row r="27" spans="1:9">
      <c r="A27" s="1322">
        <v>1</v>
      </c>
      <c r="B27" s="1323" t="s">
        <v>1118</v>
      </c>
      <c r="C27" s="1323">
        <f>C28+C29</f>
        <v>0</v>
      </c>
      <c r="D27" s="1323"/>
      <c r="E27" s="3368"/>
      <c r="F27" s="3368"/>
      <c r="G27" s="3368"/>
    </row>
    <row r="28" spans="1:9">
      <c r="A28" s="1324" t="s">
        <v>1119</v>
      </c>
      <c r="B28" s="1323" t="s">
        <v>1120</v>
      </c>
      <c r="C28" s="1323"/>
      <c r="D28" s="1323"/>
      <c r="E28" s="3368"/>
      <c r="F28" s="3368"/>
      <c r="G28" s="3368"/>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369"/>
      <c r="F32" s="3369"/>
      <c r="G32" s="3369"/>
    </row>
    <row r="33" spans="1:7" hidden="1">
      <c r="A33" s="3364" t="s">
        <v>1129</v>
      </c>
      <c r="B33" s="3365"/>
      <c r="C33" s="3365"/>
      <c r="D33" s="3366"/>
      <c r="E33" s="3367"/>
      <c r="F33" s="3367"/>
      <c r="G33" s="3367"/>
    </row>
    <row r="34" spans="1:7" hidden="1">
      <c r="A34" s="1326">
        <v>1</v>
      </c>
      <c r="B34" s="1323" t="s">
        <v>1130</v>
      </c>
      <c r="C34" s="1323"/>
      <c r="D34" s="1323"/>
      <c r="E34" s="3368"/>
      <c r="F34" s="3368"/>
      <c r="G34" s="3368"/>
    </row>
    <row r="35" spans="1:7" hidden="1">
      <c r="A35" s="1326">
        <v>2</v>
      </c>
      <c r="B35" s="1323" t="s">
        <v>1131</v>
      </c>
      <c r="C35" s="1323"/>
      <c r="D35" s="1323"/>
      <c r="E35" s="3368"/>
      <c r="F35" s="3368"/>
      <c r="G35" s="3368"/>
    </row>
    <row r="36" spans="1:7" hidden="1">
      <c r="A36" s="1326">
        <v>3</v>
      </c>
      <c r="B36" s="1323" t="s">
        <v>1132</v>
      </c>
      <c r="C36" s="1323"/>
      <c r="D36" s="1323"/>
      <c r="E36" s="3368"/>
      <c r="F36" s="3368"/>
      <c r="G36" s="3368"/>
    </row>
    <row r="37" spans="1:7" hidden="1">
      <c r="A37" s="1326">
        <v>4</v>
      </c>
      <c r="B37" s="1323" t="s">
        <v>1133</v>
      </c>
      <c r="C37" s="1323"/>
      <c r="D37" s="1323"/>
      <c r="E37" s="3368"/>
      <c r="F37" s="3368"/>
      <c r="G37" s="3368"/>
    </row>
    <row r="38" spans="1:7" hidden="1">
      <c r="A38" s="3364" t="s">
        <v>1134</v>
      </c>
      <c r="B38" s="3365"/>
      <c r="C38" s="3365"/>
      <c r="D38" s="3366"/>
      <c r="E38" s="3367"/>
      <c r="F38" s="3367"/>
      <c r="G38" s="33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2624"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2531</v>
      </c>
      <c r="B1" s="2582" t="s">
        <v>2644</v>
      </c>
      <c r="C1" s="1631" t="s">
        <v>2533</v>
      </c>
      <c r="D1" s="1618"/>
      <c r="E1" s="2657"/>
      <c r="F1" s="2584"/>
      <c r="G1" s="1628" t="s">
        <v>2645</v>
      </c>
      <c r="H1" s="1627"/>
      <c r="I1" s="1627"/>
      <c r="J1" s="1627"/>
      <c r="K1" s="1629"/>
      <c r="L1" s="1630"/>
      <c r="M1" s="1631"/>
      <c r="N1" s="1631"/>
      <c r="O1" s="1631"/>
      <c r="P1" s="2658"/>
      <c r="Q1" s="2659"/>
      <c r="R1" s="2659"/>
      <c r="S1" s="2659"/>
      <c r="T1" s="2659"/>
      <c r="U1" s="2659"/>
      <c r="V1" s="2659"/>
      <c r="W1" s="2659"/>
      <c r="X1" s="2659"/>
      <c r="Y1" s="2659"/>
      <c r="Z1" s="2659"/>
      <c r="AA1" s="2659"/>
      <c r="AB1" s="2659"/>
      <c r="AC1" s="2660"/>
    </row>
    <row r="2" spans="1:29" s="395" customFormat="1" ht="28.5" customHeight="1" thickTop="1">
      <c r="A2" s="1614" t="s">
        <v>2330</v>
      </c>
      <c r="B2" s="1415" t="e">
        <f ca="1">IF(C2="——",ROUND(C49*D3/10000,0),ROUND(C49*D3/10000,0)-D2)</f>
        <v>#DIV/0!</v>
      </c>
      <c r="C2" s="2586"/>
      <c r="D2" s="1363" t="e">
        <f ca="1">SUMIF(INDIRECT("'"&amp;F2&amp;"'"&amp;"!A:A"),"承租人权益价值",INDIRECT("'"&amp;F2&amp;"'"&amp;"!c:c"))</f>
        <v>#REF!</v>
      </c>
      <c r="E2" s="2587" t="s">
        <v>2331</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5" customFormat="1" ht="28.5" customHeight="1" thickBot="1">
      <c r="A3" s="244" t="s">
        <v>2332</v>
      </c>
      <c r="B3" s="604" t="e">
        <f ca="1">IF(C2="——",C49,ROUND(B2*10000/D3,0))</f>
        <v>#DIV/0!</v>
      </c>
      <c r="C3" s="397" t="s">
        <v>2646</v>
      </c>
      <c r="D3" s="396">
        <f>IF(D1="",'数据-汇总表'!E3,SUMIF('数据-汇总表'!$C19:$C33,D1,'数据-汇总表'!$E19:$E33))</f>
        <v>1</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398" t="s">
        <v>2647</v>
      </c>
      <c r="B4" s="399"/>
      <c r="C4" s="3330" t="s">
        <v>2648</v>
      </c>
      <c r="D4" s="3331"/>
      <c r="E4" s="3332" t="s">
        <v>2649</v>
      </c>
      <c r="F4" s="3333"/>
      <c r="G4" s="3330" t="s">
        <v>2650</v>
      </c>
      <c r="H4" s="3331"/>
      <c r="I4" s="3330" t="s">
        <v>2651</v>
      </c>
      <c r="J4" s="3331"/>
      <c r="K4" s="605" t="s">
        <v>2652</v>
      </c>
      <c r="L4" s="1128"/>
      <c r="M4" s="1129"/>
      <c r="N4" s="1129"/>
      <c r="O4" s="1129"/>
      <c r="P4" s="3334" t="s">
        <v>2653</v>
      </c>
      <c r="Q4" s="3335"/>
      <c r="R4" s="3340" t="s">
        <v>2649</v>
      </c>
      <c r="S4" s="3341"/>
      <c r="T4" s="3340" t="s">
        <v>2650</v>
      </c>
      <c r="U4" s="3341"/>
      <c r="V4" s="3346" t="s">
        <v>2651</v>
      </c>
      <c r="W4" s="3346"/>
      <c r="X4" s="1810"/>
      <c r="Y4" s="3340" t="s">
        <v>2653</v>
      </c>
      <c r="Z4" s="3341"/>
      <c r="AA4" s="3327" t="s">
        <v>2649</v>
      </c>
      <c r="AB4" s="3346" t="s">
        <v>2650</v>
      </c>
      <c r="AC4" s="3327" t="s">
        <v>2651</v>
      </c>
    </row>
    <row r="5" spans="1:29" ht="15">
      <c r="A5" s="401"/>
      <c r="B5" s="402"/>
      <c r="C5" s="3386" t="s">
        <v>2544</v>
      </c>
      <c r="D5" s="3355"/>
      <c r="E5" s="3388" t="s">
        <v>2545</v>
      </c>
      <c r="F5" s="3350"/>
      <c r="G5" s="3386" t="s">
        <v>2546</v>
      </c>
      <c r="H5" s="3355"/>
      <c r="I5" s="3386" t="s">
        <v>2547</v>
      </c>
      <c r="J5" s="3355"/>
      <c r="K5" s="605"/>
      <c r="L5" s="1128"/>
      <c r="M5" s="1129"/>
      <c r="N5" s="1129"/>
      <c r="O5" s="1129"/>
      <c r="P5" s="3336"/>
      <c r="Q5" s="3337"/>
      <c r="R5" s="3342"/>
      <c r="S5" s="3343"/>
      <c r="T5" s="3342"/>
      <c r="U5" s="3343"/>
      <c r="V5" s="3346"/>
      <c r="W5" s="3346"/>
      <c r="X5" s="1810"/>
      <c r="Y5" s="3342"/>
      <c r="Z5" s="3343"/>
      <c r="AA5" s="3328"/>
      <c r="AB5" s="3346"/>
      <c r="AC5" s="3328"/>
    </row>
    <row r="6" spans="1:29" ht="15.75" thickBot="1">
      <c r="A6" s="403"/>
      <c r="B6" s="404"/>
      <c r="C6" s="3385" t="s">
        <v>2548</v>
      </c>
      <c r="D6" s="3357"/>
      <c r="E6" s="3387" t="s">
        <v>2548</v>
      </c>
      <c r="F6" s="3348"/>
      <c r="G6" s="3385" t="s">
        <v>2548</v>
      </c>
      <c r="H6" s="3357"/>
      <c r="I6" s="3385" t="s">
        <v>2548</v>
      </c>
      <c r="J6" s="3357"/>
      <c r="K6" s="605" t="s">
        <v>2549</v>
      </c>
      <c r="L6" s="1128"/>
      <c r="M6" s="1129"/>
      <c r="N6" s="1129"/>
      <c r="O6" s="1129"/>
      <c r="P6" s="3338"/>
      <c r="Q6" s="3339"/>
      <c r="R6" s="3342"/>
      <c r="S6" s="3343"/>
      <c r="T6" s="3344"/>
      <c r="U6" s="3345"/>
      <c r="V6" s="3346"/>
      <c r="W6" s="3346"/>
      <c r="X6" s="1810"/>
      <c r="Y6" s="3344"/>
      <c r="Z6" s="3345"/>
      <c r="AA6" s="3329"/>
      <c r="AB6" s="3346"/>
      <c r="AC6" s="3329"/>
    </row>
    <row r="7" spans="1:29" s="116" customFormat="1" ht="15.75" thickBot="1">
      <c r="A7" s="405" t="s">
        <v>2550</v>
      </c>
      <c r="B7" s="406"/>
      <c r="C7" s="407">
        <f>'数据-取费表'!B2</f>
        <v>43621</v>
      </c>
      <c r="D7" s="408">
        <v>100</v>
      </c>
      <c r="E7" s="409"/>
      <c r="F7" s="410">
        <f>SUMIF(58:58,YEAR(E7)&amp;"-"&amp;MONTH(E7),59:59)</f>
        <v>0</v>
      </c>
      <c r="G7" s="409"/>
      <c r="H7" s="408">
        <f>SUMIF(58:58,YEAR(G7)&amp;"-"&amp;MONTH(G7),59:59)</f>
        <v>0</v>
      </c>
      <c r="I7" s="409"/>
      <c r="J7" s="408">
        <f>SUMIF(58:58,YEAR(I7)&amp;"-"&amp;MONTH(I7),59:59)</f>
        <v>0</v>
      </c>
      <c r="K7" s="606"/>
      <c r="L7" s="1130"/>
      <c r="M7" s="1131"/>
      <c r="N7" s="1131"/>
      <c r="O7" s="1131"/>
      <c r="P7" s="3351" t="s">
        <v>2551</v>
      </c>
      <c r="Q7" s="3353"/>
      <c r="R7" s="765" t="s">
        <v>17</v>
      </c>
      <c r="S7" s="766">
        <f t="shared" ref="S7:S15" si="0">F7</f>
        <v>0</v>
      </c>
      <c r="T7" s="765" t="s">
        <v>17</v>
      </c>
      <c r="U7" s="766">
        <f t="shared" ref="U7:U15" si="1">H7</f>
        <v>0</v>
      </c>
      <c r="V7" s="765" t="s">
        <v>17</v>
      </c>
      <c r="W7" s="766">
        <f t="shared" ref="W7:W15" si="2">J7</f>
        <v>0</v>
      </c>
      <c r="X7" s="767"/>
      <c r="Y7" s="3351" t="s">
        <v>2551</v>
      </c>
      <c r="Z7" s="3352"/>
      <c r="AA7" s="768" t="e">
        <f>D7/F7</f>
        <v>#DIV/0!</v>
      </c>
      <c r="AB7" s="768" t="e">
        <f>D7/H7</f>
        <v>#DIV/0!</v>
      </c>
      <c r="AC7" s="768" t="e">
        <f>D7/J7</f>
        <v>#DIV/0!</v>
      </c>
    </row>
    <row r="8" spans="1:29" s="116" customFormat="1" ht="15.75" thickBot="1">
      <c r="A8" s="405" t="s">
        <v>2552</v>
      </c>
      <c r="B8" s="406"/>
      <c r="C8" s="411" t="s">
        <v>2654</v>
      </c>
      <c r="D8" s="408">
        <v>100</v>
      </c>
      <c r="E8" s="411"/>
      <c r="F8" s="410">
        <f>SUMIF(61:61,E8,62:62)-SUMIF(61:61,C8,62:62)+100</f>
        <v>0</v>
      </c>
      <c r="G8" s="411"/>
      <c r="H8" s="408">
        <f>SUMIF(61:61,G8,62:62)-SUMIF(61:61,C8,62:62)+100</f>
        <v>0</v>
      </c>
      <c r="I8" s="411"/>
      <c r="J8" s="408">
        <f>SUMIF(61:61,I8,62:62)-SUMIF(61:61,C8,62:62)+100</f>
        <v>0</v>
      </c>
      <c r="K8" s="606"/>
      <c r="L8" s="1130"/>
      <c r="M8" s="1131"/>
      <c r="N8" s="1131"/>
      <c r="O8" s="1131"/>
      <c r="P8" s="3351" t="s">
        <v>2554</v>
      </c>
      <c r="Q8" s="3352"/>
      <c r="R8" s="765" t="s">
        <v>17</v>
      </c>
      <c r="S8" s="766">
        <f t="shared" si="0"/>
        <v>0</v>
      </c>
      <c r="T8" s="765" t="s">
        <v>17</v>
      </c>
      <c r="U8" s="766">
        <f t="shared" si="1"/>
        <v>0</v>
      </c>
      <c r="V8" s="765" t="s">
        <v>17</v>
      </c>
      <c r="W8" s="766">
        <f t="shared" si="2"/>
        <v>0</v>
      </c>
      <c r="X8" s="767"/>
      <c r="Y8" s="3351" t="s">
        <v>2554</v>
      </c>
      <c r="Z8" s="3352"/>
      <c r="AA8" s="768" t="e">
        <f t="shared" ref="AA8:AA46" si="3">D8/F8</f>
        <v>#DIV/0!</v>
      </c>
      <c r="AB8" s="768" t="e">
        <f t="shared" ref="AB8:AB46" si="4">D8/H8</f>
        <v>#DIV/0!</v>
      </c>
      <c r="AC8" s="768" t="e">
        <f t="shared" ref="AC8:AC46" si="5">D8/J8</f>
        <v>#DIV/0!</v>
      </c>
    </row>
    <row r="9" spans="1:29" s="116" customFormat="1">
      <c r="A9" s="412" t="s">
        <v>2555</v>
      </c>
      <c r="B9" s="71" t="s">
        <v>2556</v>
      </c>
      <c r="C9" s="413"/>
      <c r="D9" s="132">
        <v>100</v>
      </c>
      <c r="E9" s="414"/>
      <c r="F9" s="415">
        <f>SUMIF(63:63,E9,64:64)-SUMIF(63:63,C9,64:64)+100</f>
        <v>100</v>
      </c>
      <c r="G9" s="414"/>
      <c r="H9" s="132">
        <f>SUMIF(63:63,G9,64:64)-SUMIF(63:63,C9,64:64)+100</f>
        <v>100</v>
      </c>
      <c r="I9" s="414"/>
      <c r="J9" s="132">
        <f>SUMIF(63:63,I9,64:64)-SUMIF(63:63,C9,64:64)+100</f>
        <v>100</v>
      </c>
      <c r="K9" s="606"/>
      <c r="L9" s="1130"/>
      <c r="M9" s="1131"/>
      <c r="N9" s="1131"/>
      <c r="O9" s="1131"/>
      <c r="P9" s="3326" t="s">
        <v>2557</v>
      </c>
      <c r="Q9" s="1792" t="str">
        <f t="shared" ref="Q9:Q15" si="6">B9</f>
        <v>用途</v>
      </c>
      <c r="R9" s="765" t="s">
        <v>17</v>
      </c>
      <c r="S9" s="766">
        <f t="shared" si="0"/>
        <v>100</v>
      </c>
      <c r="T9" s="765" t="s">
        <v>17</v>
      </c>
      <c r="U9" s="766">
        <f t="shared" si="1"/>
        <v>100</v>
      </c>
      <c r="V9" s="765" t="s">
        <v>17</v>
      </c>
      <c r="W9" s="766">
        <f t="shared" si="2"/>
        <v>100</v>
      </c>
      <c r="X9" s="767"/>
      <c r="Y9" s="3167" t="s">
        <v>2558</v>
      </c>
      <c r="Z9" s="55" t="str">
        <f t="shared" ref="Z9:Z15" si="7">Q9</f>
        <v>用途</v>
      </c>
      <c r="AA9" s="768">
        <f t="shared" si="3"/>
        <v>1</v>
      </c>
      <c r="AB9" s="768">
        <f t="shared" si="4"/>
        <v>1</v>
      </c>
      <c r="AC9" s="768">
        <f t="shared" si="5"/>
        <v>1</v>
      </c>
    </row>
    <row r="10" spans="1:29" s="424" customFormat="1" ht="27">
      <c r="A10" s="418"/>
      <c r="B10" s="419" t="s">
        <v>2559</v>
      </c>
      <c r="C10" s="420"/>
      <c r="D10" s="133">
        <v>100</v>
      </c>
      <c r="E10" s="421"/>
      <c r="F10" s="422">
        <f>SUMIF(65:65,E10,66:66)-SUMIF(65:65,C10,66:66)+100</f>
        <v>100</v>
      </c>
      <c r="G10" s="420"/>
      <c r="H10" s="133">
        <f>SUMIF(65:65,G10,66:66)-SUMIF(65:65,C10,66:66)+100</f>
        <v>100</v>
      </c>
      <c r="I10" s="420"/>
      <c r="J10" s="133">
        <f>SUMIF(65:65,I10,66:66)-SUMIF(65:65,C10,66:66)+100</f>
        <v>100</v>
      </c>
      <c r="K10" s="607"/>
      <c r="L10" s="1133"/>
      <c r="M10" s="1134"/>
      <c r="N10" s="1134"/>
      <c r="O10" s="1134"/>
      <c r="P10" s="3326"/>
      <c r="Q10" s="1792" t="str">
        <f t="shared" si="6"/>
        <v>土地使用年限（年）</v>
      </c>
      <c r="R10" s="765" t="s">
        <v>17</v>
      </c>
      <c r="S10" s="766">
        <f t="shared" si="0"/>
        <v>100</v>
      </c>
      <c r="T10" s="765" t="s">
        <v>17</v>
      </c>
      <c r="U10" s="766">
        <f t="shared" si="1"/>
        <v>100</v>
      </c>
      <c r="V10" s="765" t="s">
        <v>17</v>
      </c>
      <c r="W10" s="766">
        <f t="shared" si="2"/>
        <v>100</v>
      </c>
      <c r="X10" s="767"/>
      <c r="Y10" s="3167"/>
      <c r="Z10" s="55" t="str">
        <f t="shared" si="7"/>
        <v>土地使用年限（年）</v>
      </c>
      <c r="AA10" s="768">
        <f t="shared" si="3"/>
        <v>1</v>
      </c>
      <c r="AB10" s="768">
        <f t="shared" si="4"/>
        <v>1</v>
      </c>
      <c r="AC10" s="768">
        <f t="shared" si="5"/>
        <v>1</v>
      </c>
    </row>
    <row r="11" spans="1:29" ht="15">
      <c r="A11" s="425"/>
      <c r="B11" s="419" t="s">
        <v>2560</v>
      </c>
      <c r="C11" s="426"/>
      <c r="D11" s="133">
        <v>100</v>
      </c>
      <c r="E11" s="427"/>
      <c r="F11" s="422" t="e">
        <f>LOOKUP(E11,68:68,69:69)-LOOKUP(C11,68:68,69:69)+100</f>
        <v>#N/A</v>
      </c>
      <c r="G11" s="426"/>
      <c r="H11" s="133" t="e">
        <f>LOOKUP(G11,68:68,69:69)-LOOKUP(C11,68:68,69:69)+100</f>
        <v>#N/A</v>
      </c>
      <c r="I11" s="426"/>
      <c r="J11" s="133" t="e">
        <f>LOOKUP(I11,68:68,69:69)-LOOKUP(C11,68:68,69:69)+100</f>
        <v>#N/A</v>
      </c>
      <c r="K11" s="607"/>
      <c r="L11" s="1136"/>
      <c r="M11" s="1129"/>
      <c r="N11" s="1129"/>
      <c r="O11" s="1129"/>
      <c r="P11" s="3326"/>
      <c r="Q11" s="1792" t="str">
        <f t="shared" si="6"/>
        <v>容积率</v>
      </c>
      <c r="R11" s="765" t="s">
        <v>17</v>
      </c>
      <c r="S11" s="766" t="e">
        <f t="shared" si="0"/>
        <v>#N/A</v>
      </c>
      <c r="T11" s="765" t="s">
        <v>17</v>
      </c>
      <c r="U11" s="766" t="e">
        <f t="shared" si="1"/>
        <v>#N/A</v>
      </c>
      <c r="V11" s="765" t="s">
        <v>17</v>
      </c>
      <c r="W11" s="766" t="e">
        <f t="shared" si="2"/>
        <v>#N/A</v>
      </c>
      <c r="X11" s="767"/>
      <c r="Y11" s="3167"/>
      <c r="Z11" s="55" t="str">
        <f t="shared" si="7"/>
        <v>容积率</v>
      </c>
      <c r="AA11" s="768" t="e">
        <f t="shared" si="3"/>
        <v>#N/A</v>
      </c>
      <c r="AB11" s="768" t="e">
        <f t="shared" si="4"/>
        <v>#N/A</v>
      </c>
      <c r="AC11" s="768" t="e">
        <f t="shared" si="5"/>
        <v>#N/A</v>
      </c>
    </row>
    <row r="12" spans="1:29" s="116" customFormat="1" ht="15">
      <c r="A12" s="428"/>
      <c r="B12" s="2600">
        <v>111</v>
      </c>
      <c r="C12" s="429"/>
      <c r="D12" s="430">
        <v>100</v>
      </c>
      <c r="E12" s="431"/>
      <c r="F12" s="422">
        <f>SUMIF(70:70,E12,71:71)-SUMIF(70:70,C12,71:71)+100</f>
        <v>100</v>
      </c>
      <c r="G12" s="431"/>
      <c r="H12" s="133">
        <f>SUMIF(70:70,G12,71:71)-SUMIF(70:70,C12,71:71)+100</f>
        <v>100</v>
      </c>
      <c r="I12" s="431"/>
      <c r="J12" s="133">
        <f>SUMIF(70:70,I12,71:71)-SUMIF(70:70,C12,71:71)+100</f>
        <v>100</v>
      </c>
      <c r="K12" s="608"/>
      <c r="L12" s="1130"/>
      <c r="M12" s="1131"/>
      <c r="N12" s="1131"/>
      <c r="O12" s="1131"/>
      <c r="P12" s="3326"/>
      <c r="Q12" s="1792">
        <f t="shared" si="6"/>
        <v>111</v>
      </c>
      <c r="R12" s="765" t="s">
        <v>17</v>
      </c>
      <c r="S12" s="766">
        <f t="shared" si="0"/>
        <v>100</v>
      </c>
      <c r="T12" s="765" t="s">
        <v>17</v>
      </c>
      <c r="U12" s="766">
        <f t="shared" si="1"/>
        <v>100</v>
      </c>
      <c r="V12" s="765" t="s">
        <v>17</v>
      </c>
      <c r="W12" s="766">
        <f t="shared" si="2"/>
        <v>100</v>
      </c>
      <c r="X12" s="767"/>
      <c r="Y12" s="3167"/>
      <c r="Z12" s="55">
        <f t="shared" si="7"/>
        <v>111</v>
      </c>
      <c r="AA12" s="768">
        <f>D12/F12</f>
        <v>1</v>
      </c>
      <c r="AB12" s="768">
        <f>D12/H12</f>
        <v>1</v>
      </c>
      <c r="AC12" s="768">
        <f>D12/J12</f>
        <v>1</v>
      </c>
    </row>
    <row r="13" spans="1:29" ht="15">
      <c r="A13" s="425"/>
      <c r="B13" s="2600">
        <v>111</v>
      </c>
      <c r="C13" s="431"/>
      <c r="D13" s="432">
        <v>100</v>
      </c>
      <c r="E13" s="431"/>
      <c r="F13" s="422">
        <f>SUMIF(72:72,E13,73:73)-SUMIF(72:72,C13,73:73)+100</f>
        <v>100</v>
      </c>
      <c r="G13" s="431"/>
      <c r="H13" s="432">
        <f>SUMIF(72:72,G13,73:73)-SUMIF(72:72,C13,73:73)+100</f>
        <v>100</v>
      </c>
      <c r="I13" s="431"/>
      <c r="J13" s="432">
        <f>SUMIF(72:72,I13,73:73)-SUMIF(72:72,C13,73:73)+100</f>
        <v>100</v>
      </c>
      <c r="K13" s="608"/>
      <c r="L13" s="1138"/>
      <c r="M13" s="1129"/>
      <c r="N13" s="1129"/>
      <c r="O13" s="1129"/>
      <c r="P13" s="3326"/>
      <c r="Q13" s="1792">
        <f t="shared" si="6"/>
        <v>111</v>
      </c>
      <c r="R13" s="765" t="s">
        <v>17</v>
      </c>
      <c r="S13" s="766">
        <f t="shared" si="0"/>
        <v>100</v>
      </c>
      <c r="T13" s="765" t="s">
        <v>17</v>
      </c>
      <c r="U13" s="766">
        <f t="shared" si="1"/>
        <v>100</v>
      </c>
      <c r="V13" s="765" t="s">
        <v>17</v>
      </c>
      <c r="W13" s="766">
        <f t="shared" si="2"/>
        <v>100</v>
      </c>
      <c r="X13" s="767"/>
      <c r="Y13" s="3167"/>
      <c r="Z13" s="55">
        <f t="shared" si="7"/>
        <v>111</v>
      </c>
      <c r="AA13" s="768">
        <f t="shared" si="3"/>
        <v>1</v>
      </c>
      <c r="AB13" s="768">
        <f t="shared" si="4"/>
        <v>1</v>
      </c>
      <c r="AC13" s="768">
        <f t="shared" si="5"/>
        <v>1</v>
      </c>
    </row>
    <row r="14" spans="1:29" ht="15.75" thickBot="1">
      <c r="A14" s="433"/>
      <c r="B14" s="2602">
        <v>111</v>
      </c>
      <c r="C14" s="434"/>
      <c r="D14" s="435">
        <v>100</v>
      </c>
      <c r="E14" s="431"/>
      <c r="F14" s="436">
        <f>SUMIF(74:74,E14,75:75)-SUMIF(74:74,C14,75:75)+100</f>
        <v>100</v>
      </c>
      <c r="G14" s="431"/>
      <c r="H14" s="435">
        <f>SUMIF(74:74,G14,75:75)-SUMIF(74:74,C14,75:75)+100</f>
        <v>100</v>
      </c>
      <c r="I14" s="431"/>
      <c r="J14" s="435">
        <f>SUMIF(74:74,I14,75:75)-SUMIF(74:74,C14,75:75)+100</f>
        <v>100</v>
      </c>
      <c r="K14" s="608"/>
      <c r="L14" s="1138"/>
      <c r="M14" s="1129"/>
      <c r="N14" s="1129"/>
      <c r="O14" s="1129"/>
      <c r="P14" s="3326"/>
      <c r="Q14" s="1792">
        <f t="shared" si="6"/>
        <v>111</v>
      </c>
      <c r="R14" s="765" t="s">
        <v>17</v>
      </c>
      <c r="S14" s="766">
        <f t="shared" si="0"/>
        <v>100</v>
      </c>
      <c r="T14" s="765" t="s">
        <v>17</v>
      </c>
      <c r="U14" s="766">
        <f t="shared" si="1"/>
        <v>100</v>
      </c>
      <c r="V14" s="765" t="s">
        <v>17</v>
      </c>
      <c r="W14" s="766">
        <f t="shared" si="2"/>
        <v>100</v>
      </c>
      <c r="X14" s="767"/>
      <c r="Y14" s="3167"/>
      <c r="Z14" s="55">
        <f t="shared" si="7"/>
        <v>111</v>
      </c>
      <c r="AA14" s="768">
        <f t="shared" si="3"/>
        <v>1</v>
      </c>
      <c r="AB14" s="768">
        <f t="shared" si="4"/>
        <v>1</v>
      </c>
      <c r="AC14" s="768">
        <f t="shared" si="5"/>
        <v>1</v>
      </c>
    </row>
    <row r="15" spans="1:29" ht="71.25">
      <c r="A15" s="437" t="s">
        <v>2561</v>
      </c>
      <c r="B15" s="69" t="s">
        <v>2655</v>
      </c>
      <c r="C15" s="2603"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09"/>
      <c r="L15" s="1138"/>
      <c r="M15" s="1129"/>
      <c r="N15" s="1129"/>
      <c r="O15" s="1129"/>
      <c r="P15" s="3324" t="s">
        <v>2562</v>
      </c>
      <c r="Q15" s="1807" t="str">
        <f t="shared" si="6"/>
        <v>商业繁华度</v>
      </c>
      <c r="R15" s="769" t="s">
        <v>17</v>
      </c>
      <c r="S15" s="770">
        <f t="shared" si="0"/>
        <v>100</v>
      </c>
      <c r="T15" s="769" t="s">
        <v>17</v>
      </c>
      <c r="U15" s="770">
        <f t="shared" si="1"/>
        <v>100</v>
      </c>
      <c r="V15" s="769" t="s">
        <v>17</v>
      </c>
      <c r="W15" s="770">
        <f t="shared" si="2"/>
        <v>100</v>
      </c>
      <c r="X15" s="1810"/>
      <c r="Y15" s="3317" t="s">
        <v>2562</v>
      </c>
      <c r="Z15" s="1811" t="str">
        <f t="shared" si="7"/>
        <v>商业繁华度</v>
      </c>
      <c r="AA15" s="1808">
        <f t="shared" si="3"/>
        <v>1</v>
      </c>
      <c r="AB15" s="1808">
        <f t="shared" si="4"/>
        <v>1</v>
      </c>
      <c r="AC15" s="1808">
        <f t="shared" si="5"/>
        <v>1</v>
      </c>
    </row>
    <row r="16" spans="1:29" ht="15">
      <c r="A16" s="425"/>
      <c r="B16" s="443"/>
      <c r="C16" s="444"/>
      <c r="D16" s="445"/>
      <c r="E16" s="444"/>
      <c r="F16" s="446"/>
      <c r="G16" s="444"/>
      <c r="H16" s="447"/>
      <c r="I16" s="444"/>
      <c r="J16" s="445"/>
      <c r="K16" s="610"/>
      <c r="L16" s="1138"/>
      <c r="M16" s="1129"/>
      <c r="N16" s="1129"/>
      <c r="O16" s="1129"/>
      <c r="P16" s="3325"/>
      <c r="Q16" s="1807"/>
      <c r="R16" s="769"/>
      <c r="S16" s="770"/>
      <c r="T16" s="769"/>
      <c r="U16" s="770"/>
      <c r="V16" s="769"/>
      <c r="W16" s="770"/>
      <c r="X16" s="1810"/>
      <c r="Y16" s="3318"/>
      <c r="Z16" s="1811"/>
      <c r="AA16" s="1808">
        <v>1</v>
      </c>
      <c r="AB16" s="1808">
        <v>1</v>
      </c>
      <c r="AC16" s="1808">
        <v>1</v>
      </c>
    </row>
    <row r="17" spans="1:29" ht="185.25">
      <c r="A17" s="425"/>
      <c r="B17" s="448" t="s">
        <v>2100</v>
      </c>
      <c r="C17" s="2607"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7">
        <v>100</v>
      </c>
      <c r="E17" s="449"/>
      <c r="F17" s="450">
        <f>SUMIF(78:78,E18,79:79)-SUMIF(78:78,C18,79:79)+100</f>
        <v>100</v>
      </c>
      <c r="G17" s="451"/>
      <c r="H17" s="452">
        <f>SUMIF(78:78,G18,79:79)-SUMIF(78:78,C18,79:79)+100</f>
        <v>100</v>
      </c>
      <c r="I17" s="449"/>
      <c r="J17" s="452">
        <f>SUMIF(78:78,I18,79:79)-SUMIF(78:78,C18,79:79)+100</f>
        <v>100</v>
      </c>
      <c r="K17" s="609"/>
      <c r="L17" s="1138"/>
      <c r="M17" s="1129"/>
      <c r="N17" s="1129"/>
      <c r="O17" s="1129"/>
      <c r="P17" s="3325"/>
      <c r="Q17" s="1807" t="str">
        <f>B17</f>
        <v>交通便捷度</v>
      </c>
      <c r="R17" s="769" t="s">
        <v>17</v>
      </c>
      <c r="S17" s="770">
        <f>F17</f>
        <v>100</v>
      </c>
      <c r="T17" s="769" t="s">
        <v>17</v>
      </c>
      <c r="U17" s="770">
        <f>H17</f>
        <v>100</v>
      </c>
      <c r="V17" s="769" t="s">
        <v>17</v>
      </c>
      <c r="W17" s="770">
        <f>J17</f>
        <v>100</v>
      </c>
      <c r="X17" s="1810"/>
      <c r="Y17" s="3318"/>
      <c r="Z17" s="1811" t="str">
        <f>Q17</f>
        <v>交通便捷度</v>
      </c>
      <c r="AA17" s="1808">
        <f t="shared" si="3"/>
        <v>1</v>
      </c>
      <c r="AB17" s="1808">
        <f t="shared" si="4"/>
        <v>1</v>
      </c>
      <c r="AC17" s="1808">
        <f t="shared" si="5"/>
        <v>1</v>
      </c>
    </row>
    <row r="18" spans="1:29" ht="15">
      <c r="A18" s="425"/>
      <c r="B18" s="453"/>
      <c r="C18" s="2608"/>
      <c r="D18" s="447"/>
      <c r="E18" s="2610"/>
      <c r="F18" s="450"/>
      <c r="G18" s="2609"/>
      <c r="H18" s="445"/>
      <c r="I18" s="2610"/>
      <c r="J18" s="445"/>
      <c r="K18" s="610"/>
      <c r="L18" s="1138"/>
      <c r="M18" s="1129"/>
      <c r="N18" s="1129"/>
      <c r="O18" s="1129"/>
      <c r="P18" s="3325"/>
      <c r="Q18" s="1807"/>
      <c r="R18" s="769"/>
      <c r="S18" s="770"/>
      <c r="T18" s="769"/>
      <c r="U18" s="770"/>
      <c r="V18" s="769"/>
      <c r="W18" s="770"/>
      <c r="X18" s="1810"/>
      <c r="Y18" s="3318"/>
      <c r="Z18" s="1811"/>
      <c r="AA18" s="1808">
        <v>1</v>
      </c>
      <c r="AB18" s="1808">
        <v>1</v>
      </c>
      <c r="AC18" s="1808">
        <v>1</v>
      </c>
    </row>
    <row r="19" spans="1:29" ht="142.5">
      <c r="A19" s="425"/>
      <c r="B19" s="448" t="s">
        <v>2656</v>
      </c>
      <c r="C19" s="2607" t="str">
        <f>估价对象房地状况!C7</f>
        <v>估价对象周边有教育机构（育鹰小学、西二旗小学）、医疗设施（清河社区卫生服务站）、金融机构（农商银行、建设银行）等，公共配套设施状况一般。</v>
      </c>
      <c r="D19" s="452">
        <v>100</v>
      </c>
      <c r="E19" s="454"/>
      <c r="F19" s="455">
        <f>SUMIF(80:80,E20,81:81)-SUMIF(80:80,C20,81:81)+100</f>
        <v>100</v>
      </c>
      <c r="G19" s="456"/>
      <c r="H19" s="447">
        <f>SUMIF(80:80,G20,81:81)-SUMIF(80:80,C20,81:81)+100</f>
        <v>100</v>
      </c>
      <c r="I19" s="454"/>
      <c r="J19" s="447">
        <f>SUMIF(80:80,I20,81:81)-SUMIF(80:80,C20,81:81)+100</f>
        <v>100</v>
      </c>
      <c r="K19" s="609"/>
      <c r="L19" s="1138"/>
      <c r="M19" s="1129"/>
      <c r="N19" s="1129"/>
      <c r="O19" s="1129"/>
      <c r="P19" s="3325"/>
      <c r="Q19" s="1807" t="str">
        <f>B19</f>
        <v>公共配套设施</v>
      </c>
      <c r="R19" s="769" t="s">
        <v>17</v>
      </c>
      <c r="S19" s="770">
        <f>F19</f>
        <v>100</v>
      </c>
      <c r="T19" s="769" t="s">
        <v>17</v>
      </c>
      <c r="U19" s="770">
        <f>H19</f>
        <v>100</v>
      </c>
      <c r="V19" s="769" t="s">
        <v>17</v>
      </c>
      <c r="W19" s="770">
        <f>J19</f>
        <v>100</v>
      </c>
      <c r="X19" s="1810"/>
      <c r="Y19" s="3318"/>
      <c r="Z19" s="1811" t="str">
        <f>Q19</f>
        <v>公共配套设施</v>
      </c>
      <c r="AA19" s="1808">
        <f t="shared" si="3"/>
        <v>1</v>
      </c>
      <c r="AB19" s="1808">
        <f t="shared" si="4"/>
        <v>1</v>
      </c>
      <c r="AC19" s="1808">
        <f t="shared" si="5"/>
        <v>1</v>
      </c>
    </row>
    <row r="20" spans="1:29" ht="15">
      <c r="A20" s="425"/>
      <c r="B20" s="453"/>
      <c r="C20" s="444"/>
      <c r="D20" s="445"/>
      <c r="E20" s="2605"/>
      <c r="F20" s="446"/>
      <c r="G20" s="2604"/>
      <c r="H20" s="445"/>
      <c r="I20" s="2605"/>
      <c r="J20" s="445"/>
      <c r="K20" s="610"/>
      <c r="L20" s="1138"/>
      <c r="M20" s="1129"/>
      <c r="N20" s="1129"/>
      <c r="O20" s="1129"/>
      <c r="P20" s="3325"/>
      <c r="Q20" s="1807"/>
      <c r="R20" s="769"/>
      <c r="S20" s="770"/>
      <c r="T20" s="769"/>
      <c r="U20" s="770"/>
      <c r="V20" s="769"/>
      <c r="W20" s="770"/>
      <c r="X20" s="1810"/>
      <c r="Y20" s="3318"/>
      <c r="Z20" s="1811"/>
      <c r="AA20" s="1808">
        <v>1</v>
      </c>
      <c r="AB20" s="1808">
        <v>1</v>
      </c>
      <c r="AC20" s="1808">
        <v>1</v>
      </c>
    </row>
    <row r="21" spans="1:29" ht="42.75">
      <c r="A21" s="425"/>
      <c r="B21" s="1382" t="s">
        <v>2657</v>
      </c>
      <c r="C21" s="2607" t="str">
        <f>估价对象房地状况!C8</f>
        <v>估价对象所在区域基础设施水平为五通一平</v>
      </c>
      <c r="D21" s="452">
        <v>100</v>
      </c>
      <c r="E21" s="454"/>
      <c r="F21" s="455">
        <f>SUMIF(82:82,E22,83:83)-SUMIF(82:82,C22,83:83)+100</f>
        <v>100</v>
      </c>
      <c r="G21" s="456"/>
      <c r="H21" s="447">
        <f>SUMIF(82:82,G22,83:83)-SUMIF(82:82,C22,83:83)+100</f>
        <v>100</v>
      </c>
      <c r="I21" s="454"/>
      <c r="J21" s="447">
        <f>SUMIF(82:82,I22,83:83)-SUMIF(82:82,C22,83:83)+100</f>
        <v>100</v>
      </c>
      <c r="K21" s="609"/>
      <c r="L21" s="1138"/>
      <c r="M21" s="1129"/>
      <c r="N21" s="1129"/>
      <c r="O21" s="1129"/>
      <c r="P21" s="3325"/>
      <c r="Q21" s="1807" t="str">
        <f>B21</f>
        <v>基础设施水平</v>
      </c>
      <c r="R21" s="769" t="s">
        <v>17</v>
      </c>
      <c r="S21" s="770">
        <f>F21</f>
        <v>100</v>
      </c>
      <c r="T21" s="769" t="s">
        <v>17</v>
      </c>
      <c r="U21" s="770">
        <f>H21</f>
        <v>100</v>
      </c>
      <c r="V21" s="769" t="s">
        <v>17</v>
      </c>
      <c r="W21" s="770">
        <f>J21</f>
        <v>100</v>
      </c>
      <c r="X21" s="1810"/>
      <c r="Y21" s="3318"/>
      <c r="Z21" s="1811" t="str">
        <f>Q21</f>
        <v>基础设施水平</v>
      </c>
      <c r="AA21" s="1808">
        <f t="shared" ref="AA21" si="8">D21/F21</f>
        <v>1</v>
      </c>
      <c r="AB21" s="1808">
        <f t="shared" ref="AB21" si="9">D21/H21</f>
        <v>1</v>
      </c>
      <c r="AC21" s="1808">
        <f t="shared" ref="AC21" si="10">D21/J21</f>
        <v>1</v>
      </c>
    </row>
    <row r="22" spans="1:29" ht="15">
      <c r="A22" s="425"/>
      <c r="B22" s="1382"/>
      <c r="C22" s="2608"/>
      <c r="D22" s="445"/>
      <c r="E22" s="444"/>
      <c r="F22" s="446"/>
      <c r="G22" s="444"/>
      <c r="H22" s="445"/>
      <c r="I22" s="444"/>
      <c r="J22" s="445"/>
      <c r="K22" s="1381"/>
      <c r="L22" s="1138"/>
      <c r="M22" s="1129"/>
      <c r="N22" s="1129"/>
      <c r="O22" s="1129"/>
      <c r="P22" s="3325"/>
      <c r="Q22" s="1807"/>
      <c r="R22" s="769"/>
      <c r="S22" s="770"/>
      <c r="T22" s="769"/>
      <c r="U22" s="770"/>
      <c r="V22" s="769"/>
      <c r="W22" s="770"/>
      <c r="X22" s="1810"/>
      <c r="Y22" s="3318"/>
      <c r="Z22" s="1811"/>
      <c r="AA22" s="1808">
        <v>1</v>
      </c>
      <c r="AB22" s="1808">
        <v>1</v>
      </c>
      <c r="AC22" s="1808">
        <v>1</v>
      </c>
    </row>
    <row r="23" spans="1:29" ht="114">
      <c r="A23" s="425"/>
      <c r="B23" s="448" t="s">
        <v>2105</v>
      </c>
      <c r="C23" s="2664" t="str">
        <f>估价对象房地状况!C9</f>
        <v>估价对象西北侧隔路有加油站；周边2公里范围内无大型绿化及博物馆、高等教育学校等人文设施；综合评价环境状况较差。</v>
      </c>
      <c r="D23" s="447">
        <v>100</v>
      </c>
      <c r="E23" s="449"/>
      <c r="F23" s="450">
        <f>SUMIF(84:84,E24,85:85)-SUMIF(84:84,C24,85:85)+100</f>
        <v>100</v>
      </c>
      <c r="G23" s="451"/>
      <c r="H23" s="447">
        <f>SUMIF(84:84,G24,85:85)-SUMIF(84:84,C24,85:85)+100</f>
        <v>100</v>
      </c>
      <c r="I23" s="449"/>
      <c r="J23" s="447">
        <f>SUMIF(84:84,I24,85:85)-SUMIF(84:84,C24,85:85)+100</f>
        <v>100</v>
      </c>
      <c r="K23" s="609"/>
      <c r="L23" s="1138"/>
      <c r="M23" s="1129"/>
      <c r="N23" s="1129"/>
      <c r="O23" s="1129"/>
      <c r="P23" s="3325"/>
      <c r="Q23" s="1807" t="str">
        <f>B23</f>
        <v>自然及人文环境</v>
      </c>
      <c r="R23" s="769" t="s">
        <v>17</v>
      </c>
      <c r="S23" s="770">
        <f>F23</f>
        <v>100</v>
      </c>
      <c r="T23" s="769" t="s">
        <v>17</v>
      </c>
      <c r="U23" s="770">
        <f>H23</f>
        <v>100</v>
      </c>
      <c r="V23" s="769" t="s">
        <v>17</v>
      </c>
      <c r="W23" s="770">
        <f>J23</f>
        <v>100</v>
      </c>
      <c r="X23" s="1810"/>
      <c r="Y23" s="3318"/>
      <c r="Z23" s="1811" t="str">
        <f>Q23</f>
        <v>自然及人文环境</v>
      </c>
      <c r="AA23" s="1808">
        <f t="shared" si="3"/>
        <v>1</v>
      </c>
      <c r="AB23" s="1808">
        <f t="shared" si="4"/>
        <v>1</v>
      </c>
      <c r="AC23" s="1808">
        <f t="shared" si="5"/>
        <v>1</v>
      </c>
    </row>
    <row r="24" spans="1:29" ht="15">
      <c r="A24" s="425"/>
      <c r="B24" s="453"/>
      <c r="C24" s="444"/>
      <c r="D24" s="445"/>
      <c r="E24" s="2605"/>
      <c r="F24" s="446"/>
      <c r="G24" s="2604"/>
      <c r="H24" s="445"/>
      <c r="I24" s="2605"/>
      <c r="J24" s="445"/>
      <c r="K24" s="610"/>
      <c r="L24" s="1138"/>
      <c r="M24" s="1129"/>
      <c r="N24" s="1129"/>
      <c r="O24" s="1129"/>
      <c r="P24" s="3325"/>
      <c r="Q24" s="1807"/>
      <c r="R24" s="769"/>
      <c r="S24" s="770"/>
      <c r="T24" s="769"/>
      <c r="U24" s="770"/>
      <c r="V24" s="769"/>
      <c r="W24" s="770"/>
      <c r="X24" s="1810"/>
      <c r="Y24" s="3318"/>
      <c r="Z24" s="1811"/>
      <c r="AA24" s="1808">
        <v>1</v>
      </c>
      <c r="AB24" s="1808">
        <v>1</v>
      </c>
      <c r="AC24" s="1808">
        <v>1</v>
      </c>
    </row>
    <row r="25" spans="1:29" ht="15">
      <c r="A25" s="425"/>
      <c r="B25" s="419" t="s">
        <v>2658</v>
      </c>
      <c r="C25" s="611"/>
      <c r="D25" s="432">
        <v>100</v>
      </c>
      <c r="E25" s="611"/>
      <c r="F25" s="458">
        <f>SUMIF(86:86,E25,87:87)-SUMIF(86:86,C25,87:87)+100</f>
        <v>100</v>
      </c>
      <c r="G25" s="611"/>
      <c r="H25" s="432">
        <f>SUMIF(86:86,G25,87:87)-SUMIF(86:86,C25,87:87)+100</f>
        <v>100</v>
      </c>
      <c r="I25" s="611"/>
      <c r="J25" s="432">
        <f>SUMIF(86:86,I25,87:87)-SUMIF(86:86,C25,87:87)+100</f>
        <v>100</v>
      </c>
      <c r="K25" s="607"/>
      <c r="L25" s="1138"/>
      <c r="M25" s="1129"/>
      <c r="N25" s="1129"/>
      <c r="O25" s="1129"/>
      <c r="P25" s="3325"/>
      <c r="Q25" s="1807" t="str">
        <f t="shared" ref="Q25:Q46" si="11">B25</f>
        <v>临街状况</v>
      </c>
      <c r="R25" s="769" t="s">
        <v>17</v>
      </c>
      <c r="S25" s="770">
        <f>F25</f>
        <v>100</v>
      </c>
      <c r="T25" s="769" t="s">
        <v>17</v>
      </c>
      <c r="U25" s="770">
        <f>H25</f>
        <v>100</v>
      </c>
      <c r="V25" s="769" t="s">
        <v>17</v>
      </c>
      <c r="W25" s="770">
        <f>J25</f>
        <v>100</v>
      </c>
      <c r="X25" s="1810"/>
      <c r="Y25" s="3318"/>
      <c r="Z25" s="1811" t="str">
        <f>Q25</f>
        <v>临街状况</v>
      </c>
      <c r="AA25" s="1808">
        <f t="shared" si="3"/>
        <v>1</v>
      </c>
      <c r="AB25" s="1808">
        <f t="shared" si="4"/>
        <v>1</v>
      </c>
      <c r="AC25" s="1808">
        <f t="shared" si="5"/>
        <v>1</v>
      </c>
    </row>
    <row r="26" spans="1:29" ht="15">
      <c r="A26" s="425"/>
      <c r="B26" s="1384" t="s">
        <v>2659</v>
      </c>
      <c r="C26" s="431"/>
      <c r="D26" s="432">
        <v>100</v>
      </c>
      <c r="E26" s="431"/>
      <c r="F26" s="458">
        <f>SUMIF(88:88,E26,89:89)-SUMIF(88:88,C26,89:89)+100</f>
        <v>100</v>
      </c>
      <c r="G26" s="431"/>
      <c r="H26" s="432">
        <f>SUMIF(88:88,G26,89:89)-SUMIF(88:88,C26,89:89)+100</f>
        <v>100</v>
      </c>
      <c r="I26" s="431"/>
      <c r="J26" s="432">
        <f>SUMIF(88:88,I26,89:89)-SUMIF(88:88,C26,89:89)+100</f>
        <v>100</v>
      </c>
      <c r="K26" s="608"/>
      <c r="L26" s="1138"/>
      <c r="M26" s="1129"/>
      <c r="N26" s="1129"/>
      <c r="O26" s="1129"/>
      <c r="P26" s="3325"/>
      <c r="Q26" s="1807" t="str">
        <f t="shared" si="11"/>
        <v>平面位置/可视性</v>
      </c>
      <c r="R26" s="769" t="s">
        <v>17</v>
      </c>
      <c r="S26" s="770">
        <f>F26</f>
        <v>100</v>
      </c>
      <c r="T26" s="769" t="s">
        <v>17</v>
      </c>
      <c r="U26" s="770">
        <f>H26</f>
        <v>100</v>
      </c>
      <c r="V26" s="769" t="s">
        <v>17</v>
      </c>
      <c r="W26" s="770">
        <f>J26</f>
        <v>100</v>
      </c>
      <c r="X26" s="1810"/>
      <c r="Y26" s="3318"/>
      <c r="Z26" s="1811" t="str">
        <f>Q26</f>
        <v>平面位置/可视性</v>
      </c>
      <c r="AA26" s="1808">
        <f t="shared" si="3"/>
        <v>1</v>
      </c>
      <c r="AB26" s="1808">
        <f t="shared" si="4"/>
        <v>1</v>
      </c>
      <c r="AC26" s="1808">
        <f t="shared" si="5"/>
        <v>1</v>
      </c>
    </row>
    <row r="27" spans="1:29" s="116" customFormat="1" ht="15">
      <c r="A27" s="428"/>
      <c r="B27" s="448" t="s">
        <v>2660</v>
      </c>
      <c r="C27" s="2665"/>
      <c r="D27" s="459">
        <v>100</v>
      </c>
      <c r="E27" s="2665"/>
      <c r="F27" s="460">
        <f>SUMIF(90:90,E27,91:91)-SUMIF(90:90,C27,91:91)+100</f>
        <v>100</v>
      </c>
      <c r="G27" s="2665"/>
      <c r="H27" s="459">
        <f>SUMIF(90:90,G27,91:91)-SUMIF(90:90,C27,91:91)+100</f>
        <v>100</v>
      </c>
      <c r="I27" s="2665"/>
      <c r="J27" s="459">
        <f>SUMIF(90:90,I27,91:91)-SUMIF(90:90,C27,91:91)+100</f>
        <v>100</v>
      </c>
      <c r="K27" s="607"/>
      <c r="L27" s="1130"/>
      <c r="M27" s="1131"/>
      <c r="N27" s="1131"/>
      <c r="O27" s="1131"/>
      <c r="P27" s="3325"/>
      <c r="Q27" s="1792" t="str">
        <f t="shared" si="11"/>
        <v>人流量</v>
      </c>
      <c r="R27" s="765" t="s">
        <v>17</v>
      </c>
      <c r="S27" s="766">
        <f>F27</f>
        <v>100</v>
      </c>
      <c r="T27" s="765" t="s">
        <v>17</v>
      </c>
      <c r="U27" s="766">
        <f>H27</f>
        <v>100</v>
      </c>
      <c r="V27" s="765" t="s">
        <v>17</v>
      </c>
      <c r="W27" s="766">
        <f>J27</f>
        <v>100</v>
      </c>
      <c r="X27" s="767"/>
      <c r="Y27" s="3318"/>
      <c r="Z27" s="55" t="str">
        <f>Q27</f>
        <v>人流量</v>
      </c>
      <c r="AA27" s="1808">
        <f>D27/F27</f>
        <v>1</v>
      </c>
      <c r="AB27" s="1808">
        <f>D27/H27</f>
        <v>1</v>
      </c>
      <c r="AC27" s="1808">
        <f>D27/J27</f>
        <v>1</v>
      </c>
    </row>
    <row r="28" spans="1:29" ht="15">
      <c r="A28" s="425"/>
      <c r="B28" s="419" t="s">
        <v>2661</v>
      </c>
      <c r="C28" s="611"/>
      <c r="D28" s="432">
        <v>100</v>
      </c>
      <c r="E28" s="611"/>
      <c r="F28" s="458">
        <f>SUMIF(92:92,E28,93:93)-SUMIF(92:92,C28,93:93)+100</f>
        <v>100</v>
      </c>
      <c r="G28" s="611"/>
      <c r="H28" s="432">
        <f>SUMIF(92:92,G28,93:93)-SUMIF(92:92,C28,93:93)+100</f>
        <v>100</v>
      </c>
      <c r="I28" s="611"/>
      <c r="J28" s="432">
        <f>SUMIF(92:92,I28,93:93)-SUMIF(92:92,C28,93:93)+100</f>
        <v>100</v>
      </c>
      <c r="K28" s="608"/>
      <c r="L28" s="1138"/>
      <c r="M28" s="1129"/>
      <c r="N28" s="1129"/>
      <c r="O28" s="1129"/>
      <c r="P28" s="3325"/>
      <c r="Q28" s="1807" t="str">
        <f t="shared" si="11"/>
        <v>楼层</v>
      </c>
      <c r="R28" s="769" t="s">
        <v>17</v>
      </c>
      <c r="S28" s="770">
        <f t="shared" ref="S28:S46" si="12">F28</f>
        <v>100</v>
      </c>
      <c r="T28" s="769" t="s">
        <v>17</v>
      </c>
      <c r="U28" s="770">
        <f t="shared" ref="U28:U46" si="13">H28</f>
        <v>100</v>
      </c>
      <c r="V28" s="769" t="s">
        <v>17</v>
      </c>
      <c r="W28" s="770">
        <f t="shared" ref="W28:W46" si="14">J28</f>
        <v>100</v>
      </c>
      <c r="X28" s="1810"/>
      <c r="Y28" s="3318"/>
      <c r="Z28" s="1811" t="str">
        <f t="shared" ref="Z28:Z46" si="15">Q28</f>
        <v>楼层</v>
      </c>
      <c r="AA28" s="1808">
        <f t="shared" si="3"/>
        <v>1</v>
      </c>
      <c r="AB28" s="1808">
        <f t="shared" si="4"/>
        <v>1</v>
      </c>
      <c r="AC28" s="1808">
        <f t="shared" si="5"/>
        <v>1</v>
      </c>
    </row>
    <row r="29" spans="1:29" ht="15">
      <c r="A29" s="425"/>
      <c r="B29" s="1384">
        <v>111</v>
      </c>
      <c r="C29" s="431"/>
      <c r="D29" s="432">
        <v>100</v>
      </c>
      <c r="E29" s="431"/>
      <c r="F29" s="458">
        <f>SUMIF(94:94,E29,95:95)-SUMIF(94:94,C29,95:95)+100</f>
        <v>100</v>
      </c>
      <c r="G29" s="431"/>
      <c r="H29" s="432">
        <f>SUMIF(94:94,G29,95:95)-SUMIF(94:94,C29,95:95)+100</f>
        <v>100</v>
      </c>
      <c r="I29" s="431"/>
      <c r="J29" s="432">
        <f>SUMIF(94:94,I29,95:95)-SUMIF(94:94,C29,95:95)+100</f>
        <v>100</v>
      </c>
      <c r="K29" s="608"/>
      <c r="L29" s="1138"/>
      <c r="M29" s="1129"/>
      <c r="N29" s="1129"/>
      <c r="O29" s="1129"/>
      <c r="P29" s="3325"/>
      <c r="Q29" s="1807">
        <f t="shared" si="11"/>
        <v>111</v>
      </c>
      <c r="R29" s="769" t="s">
        <v>17</v>
      </c>
      <c r="S29" s="770">
        <f t="shared" si="12"/>
        <v>100</v>
      </c>
      <c r="T29" s="769" t="s">
        <v>17</v>
      </c>
      <c r="U29" s="770">
        <f t="shared" si="13"/>
        <v>100</v>
      </c>
      <c r="V29" s="769" t="s">
        <v>17</v>
      </c>
      <c r="W29" s="770">
        <f t="shared" si="14"/>
        <v>100</v>
      </c>
      <c r="X29" s="1810"/>
      <c r="Y29" s="3318"/>
      <c r="Z29" s="1811">
        <f t="shared" si="15"/>
        <v>111</v>
      </c>
      <c r="AA29" s="1808">
        <f t="shared" si="3"/>
        <v>1</v>
      </c>
      <c r="AB29" s="1808">
        <f t="shared" si="4"/>
        <v>1</v>
      </c>
      <c r="AC29" s="1808">
        <f t="shared" si="5"/>
        <v>1</v>
      </c>
    </row>
    <row r="30" spans="1:29" ht="15">
      <c r="A30" s="425"/>
      <c r="B30" s="1384">
        <v>111</v>
      </c>
      <c r="C30" s="431"/>
      <c r="D30" s="432">
        <v>100</v>
      </c>
      <c r="E30" s="431"/>
      <c r="F30" s="458">
        <f>SUMIF(96:96,E30,97:97)-SUMIF(96:96,C30,97:97)+100</f>
        <v>100</v>
      </c>
      <c r="G30" s="431"/>
      <c r="H30" s="432">
        <f>SUMIF(96:96,G30,97:97)-SUMIF(96:96,C30,97:97)+100</f>
        <v>100</v>
      </c>
      <c r="I30" s="431"/>
      <c r="J30" s="432">
        <f>SUMIF(96:96,I30,97:97)-SUMIF(96:96,C30,97:97)+100</f>
        <v>100</v>
      </c>
      <c r="K30" s="608"/>
      <c r="L30" s="1138"/>
      <c r="M30" s="1129"/>
      <c r="N30" s="1129"/>
      <c r="O30" s="1129"/>
      <c r="P30" s="3325"/>
      <c r="Q30" s="1807">
        <f t="shared" si="11"/>
        <v>111</v>
      </c>
      <c r="R30" s="769" t="s">
        <v>17</v>
      </c>
      <c r="S30" s="770">
        <f t="shared" si="12"/>
        <v>100</v>
      </c>
      <c r="T30" s="769" t="s">
        <v>17</v>
      </c>
      <c r="U30" s="770">
        <f t="shared" si="13"/>
        <v>100</v>
      </c>
      <c r="V30" s="769" t="s">
        <v>17</v>
      </c>
      <c r="W30" s="770">
        <f t="shared" si="14"/>
        <v>100</v>
      </c>
      <c r="X30" s="1810"/>
      <c r="Y30" s="3318"/>
      <c r="Z30" s="1811">
        <f t="shared" si="15"/>
        <v>111</v>
      </c>
      <c r="AA30" s="1808">
        <f t="shared" si="3"/>
        <v>1</v>
      </c>
      <c r="AB30" s="1808">
        <f t="shared" si="4"/>
        <v>1</v>
      </c>
      <c r="AC30" s="1808">
        <f t="shared" si="5"/>
        <v>1</v>
      </c>
    </row>
    <row r="31" spans="1:29" ht="15.75" thickBot="1">
      <c r="A31" s="433"/>
      <c r="B31" s="1384">
        <v>111</v>
      </c>
      <c r="C31" s="434"/>
      <c r="D31" s="435">
        <v>100</v>
      </c>
      <c r="E31" s="431"/>
      <c r="F31" s="436">
        <f>SUMIF(98:98,E31,99:99)-SUMIF(98:98,C31,99:99)+100</f>
        <v>100</v>
      </c>
      <c r="G31" s="431"/>
      <c r="H31" s="435">
        <f>SUMIF(98:98,G31,99:99)-SUMIF(98:98,C31,99:99)+100</f>
        <v>100</v>
      </c>
      <c r="I31" s="431"/>
      <c r="J31" s="435">
        <f>SUMIF(98:98,I31,99:99)-SUMIF(98:98,C31,99:99)+100</f>
        <v>100</v>
      </c>
      <c r="K31" s="608"/>
      <c r="L31" s="1138"/>
      <c r="M31" s="1129"/>
      <c r="N31" s="1129"/>
      <c r="O31" s="1129"/>
      <c r="P31" s="3325"/>
      <c r="Q31" s="1807">
        <f t="shared" si="11"/>
        <v>111</v>
      </c>
      <c r="R31" s="769" t="s">
        <v>17</v>
      </c>
      <c r="S31" s="770">
        <f t="shared" si="12"/>
        <v>100</v>
      </c>
      <c r="T31" s="769" t="s">
        <v>17</v>
      </c>
      <c r="U31" s="770">
        <f t="shared" si="13"/>
        <v>100</v>
      </c>
      <c r="V31" s="769" t="s">
        <v>17</v>
      </c>
      <c r="W31" s="770">
        <f t="shared" si="14"/>
        <v>100</v>
      </c>
      <c r="X31" s="1810"/>
      <c r="Y31" s="3318"/>
      <c r="Z31" s="1811">
        <f t="shared" si="15"/>
        <v>111</v>
      </c>
      <c r="AA31" s="1808">
        <f t="shared" si="3"/>
        <v>1</v>
      </c>
      <c r="AB31" s="1808">
        <f t="shared" si="4"/>
        <v>1</v>
      </c>
      <c r="AC31" s="1808">
        <f t="shared" si="5"/>
        <v>1</v>
      </c>
    </row>
    <row r="32" spans="1:29" ht="15">
      <c r="A32" s="437" t="s">
        <v>2565</v>
      </c>
      <c r="B32" s="71" t="s">
        <v>2662</v>
      </c>
      <c r="C32" s="2617"/>
      <c r="D32" s="462">
        <v>100</v>
      </c>
      <c r="E32" s="2617"/>
      <c r="F32" s="458">
        <f>SUMIF(100:100,E32,101:101)-SUMIF(100:100,C32,101:101)+100</f>
        <v>100</v>
      </c>
      <c r="G32" s="2617"/>
      <c r="H32" s="432">
        <f>SUMIF(100:100,G32,101:101)-SUMIF(100:100,C32,101:101)+100</f>
        <v>100</v>
      </c>
      <c r="I32" s="2617"/>
      <c r="J32" s="462">
        <f>SUMIF(100:100,I32,101:101)-SUMIF(100:100,C32,101:101)+100</f>
        <v>100</v>
      </c>
      <c r="K32" s="607"/>
      <c r="L32" s="1138"/>
      <c r="M32" s="1129"/>
      <c r="N32" s="1129"/>
      <c r="O32" s="1129"/>
      <c r="P32" s="3319" t="s">
        <v>2567</v>
      </c>
      <c r="Q32" s="1807" t="str">
        <f t="shared" si="11"/>
        <v>商业类型</v>
      </c>
      <c r="R32" s="769" t="s">
        <v>17</v>
      </c>
      <c r="S32" s="770">
        <f t="shared" si="12"/>
        <v>100</v>
      </c>
      <c r="T32" s="769" t="s">
        <v>17</v>
      </c>
      <c r="U32" s="770">
        <f t="shared" si="13"/>
        <v>100</v>
      </c>
      <c r="V32" s="769" t="s">
        <v>17</v>
      </c>
      <c r="W32" s="770">
        <f t="shared" si="14"/>
        <v>100</v>
      </c>
      <c r="X32" s="1810"/>
      <c r="Y32" s="3322" t="s">
        <v>2567</v>
      </c>
      <c r="Z32" s="1811" t="str">
        <f t="shared" si="15"/>
        <v>商业类型</v>
      </c>
      <c r="AA32" s="1808">
        <f t="shared" si="3"/>
        <v>1</v>
      </c>
      <c r="AB32" s="1808">
        <f t="shared" si="4"/>
        <v>1</v>
      </c>
      <c r="AC32" s="1808">
        <f t="shared" si="5"/>
        <v>1</v>
      </c>
    </row>
    <row r="33" spans="1:29" s="466" customFormat="1" ht="15">
      <c r="A33" s="463"/>
      <c r="B33" s="419" t="s">
        <v>2568</v>
      </c>
      <c r="C33" s="464"/>
      <c r="D33" s="133">
        <v>100</v>
      </c>
      <c r="E33" s="427"/>
      <c r="F33" s="422" t="e">
        <f>LOOKUP(E33,103:103,104:104)-LOOKUP(C33,103:103,104:104)+100</f>
        <v>#N/A</v>
      </c>
      <c r="G33" s="426"/>
      <c r="H33" s="133" t="e">
        <f>LOOKUP(G33,103:103,104:104)-LOOKUP(C33,103:103,104:104)+100</f>
        <v>#N/A</v>
      </c>
      <c r="I33" s="426"/>
      <c r="J33" s="133" t="e">
        <f>LOOKUP(I33,103:103,104:104)-LOOKUP(C33,103:103,104:104)+100</f>
        <v>#N/A</v>
      </c>
      <c r="K33" s="608"/>
      <c r="L33" s="1136"/>
      <c r="M33" s="1139"/>
      <c r="N33" s="1139"/>
      <c r="O33" s="1139"/>
      <c r="P33" s="3320"/>
      <c r="Q33" s="771" t="str">
        <f t="shared" si="11"/>
        <v>项目建筑规模</v>
      </c>
      <c r="R33" s="772" t="s">
        <v>17</v>
      </c>
      <c r="S33" s="773" t="e">
        <f t="shared" si="12"/>
        <v>#N/A</v>
      </c>
      <c r="T33" s="772" t="s">
        <v>17</v>
      </c>
      <c r="U33" s="773" t="e">
        <f t="shared" si="13"/>
        <v>#N/A</v>
      </c>
      <c r="V33" s="772" t="s">
        <v>17</v>
      </c>
      <c r="W33" s="773" t="e">
        <f t="shared" si="14"/>
        <v>#N/A</v>
      </c>
      <c r="X33" s="774"/>
      <c r="Y33" s="3322"/>
      <c r="Z33" s="775" t="str">
        <f t="shared" si="15"/>
        <v>项目建筑规模</v>
      </c>
      <c r="AA33" s="1808" t="e">
        <f t="shared" si="3"/>
        <v>#N/A</v>
      </c>
      <c r="AB33" s="1808" t="e">
        <f t="shared" si="4"/>
        <v>#N/A</v>
      </c>
      <c r="AC33" s="1808" t="e">
        <f t="shared" si="5"/>
        <v>#N/A</v>
      </c>
    </row>
    <row r="34" spans="1:29" ht="15">
      <c r="A34" s="467"/>
      <c r="B34" s="419" t="s">
        <v>2569</v>
      </c>
      <c r="C34" s="2619"/>
      <c r="D34" s="432">
        <v>100</v>
      </c>
      <c r="E34" s="2619"/>
      <c r="F34" s="458">
        <f>SUMIF(105:105,E34,106:106)-SUMIF(105:105,C34,106:106)+100</f>
        <v>100</v>
      </c>
      <c r="G34" s="2619"/>
      <c r="H34" s="432">
        <f>SUMIF(105:105,G34,106:106)-SUMIF(105:105,C34,106:106)+100</f>
        <v>100</v>
      </c>
      <c r="I34" s="2619"/>
      <c r="J34" s="432">
        <f>SUMIF(105:105,I34,106:106)-SUMIF(105:105,C34,106:106)+100</f>
        <v>100</v>
      </c>
      <c r="K34" s="607"/>
      <c r="L34" s="1138"/>
      <c r="M34" s="1129"/>
      <c r="N34" s="1129"/>
      <c r="O34" s="1129"/>
      <c r="P34" s="3320"/>
      <c r="Q34" s="1807" t="str">
        <f t="shared" si="11"/>
        <v>建筑结构</v>
      </c>
      <c r="R34" s="769" t="s">
        <v>17</v>
      </c>
      <c r="S34" s="770">
        <f t="shared" si="12"/>
        <v>100</v>
      </c>
      <c r="T34" s="769" t="s">
        <v>17</v>
      </c>
      <c r="U34" s="770">
        <f t="shared" si="13"/>
        <v>100</v>
      </c>
      <c r="V34" s="769" t="s">
        <v>17</v>
      </c>
      <c r="W34" s="770">
        <f t="shared" si="14"/>
        <v>100</v>
      </c>
      <c r="X34" s="1810"/>
      <c r="Y34" s="3322"/>
      <c r="Z34" s="1811" t="str">
        <f t="shared" si="15"/>
        <v>建筑结构</v>
      </c>
      <c r="AA34" s="1808">
        <f t="shared" si="3"/>
        <v>1</v>
      </c>
      <c r="AB34" s="1808">
        <f t="shared" si="4"/>
        <v>1</v>
      </c>
      <c r="AC34" s="1808">
        <f t="shared" si="5"/>
        <v>1</v>
      </c>
    </row>
    <row r="35" spans="1:29" ht="15">
      <c r="A35" s="467"/>
      <c r="B35" s="419" t="s">
        <v>2663</v>
      </c>
      <c r="C35" s="2613"/>
      <c r="D35" s="432">
        <v>100</v>
      </c>
      <c r="E35" s="2613"/>
      <c r="F35" s="458">
        <f>SUMIF(107:107,E35,108:108)-SUMIF(107:107,C35,108:108)+100</f>
        <v>100</v>
      </c>
      <c r="G35" s="2613"/>
      <c r="H35" s="432">
        <f>SUMIF(107:107,G35,108:108)-SUMIF(107:107,C35,108:108)+100</f>
        <v>100</v>
      </c>
      <c r="I35" s="2613"/>
      <c r="J35" s="432">
        <f>SUMIF(107:107,I35,108:108)-SUMIF(107:107,C35,108:108)+100</f>
        <v>100</v>
      </c>
      <c r="K35" s="607"/>
      <c r="L35" s="1138"/>
      <c r="M35" s="1129"/>
      <c r="N35" s="1129"/>
      <c r="O35" s="1129"/>
      <c r="P35" s="3320"/>
      <c r="Q35" s="1807" t="str">
        <f t="shared" si="11"/>
        <v>公共部分装修</v>
      </c>
      <c r="R35" s="769" t="s">
        <v>17</v>
      </c>
      <c r="S35" s="770">
        <f t="shared" si="12"/>
        <v>100</v>
      </c>
      <c r="T35" s="769" t="s">
        <v>17</v>
      </c>
      <c r="U35" s="770">
        <f t="shared" si="13"/>
        <v>100</v>
      </c>
      <c r="V35" s="769" t="s">
        <v>17</v>
      </c>
      <c r="W35" s="770">
        <f t="shared" si="14"/>
        <v>100</v>
      </c>
      <c r="X35" s="1810"/>
      <c r="Y35" s="3322"/>
      <c r="Z35" s="1811" t="str">
        <f t="shared" si="15"/>
        <v>公共部分装修</v>
      </c>
      <c r="AA35" s="1808">
        <f t="shared" si="3"/>
        <v>1</v>
      </c>
      <c r="AB35" s="1808">
        <f t="shared" si="4"/>
        <v>1</v>
      </c>
      <c r="AC35" s="1808">
        <f t="shared" si="5"/>
        <v>1</v>
      </c>
    </row>
    <row r="36" spans="1:29" ht="15">
      <c r="A36" s="467"/>
      <c r="B36" s="419" t="s">
        <v>2664</v>
      </c>
      <c r="C36" s="469"/>
      <c r="D36" s="432">
        <v>100</v>
      </c>
      <c r="E36" s="469"/>
      <c r="F36" s="458" t="e">
        <f>LOOKUP(E36,110:110,111:111)-LOOKUP(C36,110:110,111:111)+100</f>
        <v>#N/A</v>
      </c>
      <c r="G36" s="469"/>
      <c r="H36" s="458" t="e">
        <f>LOOKUP(G36,110:110,111:111)-LOOKUP(C36,110:110,111:111)+100</f>
        <v>#N/A</v>
      </c>
      <c r="I36" s="469"/>
      <c r="J36" s="432" t="e">
        <f>LOOKUP(I36,110:110,111:111)-LOOKUP(C36,110:110,111:111)+100</f>
        <v>#N/A</v>
      </c>
      <c r="K36" s="607"/>
      <c r="L36" s="1138"/>
      <c r="M36" s="1129"/>
      <c r="N36" s="1129"/>
      <c r="O36" s="1129"/>
      <c r="P36" s="3320"/>
      <c r="Q36" s="1807" t="str">
        <f t="shared" si="11"/>
        <v>成新度</v>
      </c>
      <c r="R36" s="769" t="s">
        <v>17</v>
      </c>
      <c r="S36" s="770" t="e">
        <f t="shared" si="12"/>
        <v>#N/A</v>
      </c>
      <c r="T36" s="769" t="s">
        <v>17</v>
      </c>
      <c r="U36" s="770" t="e">
        <f t="shared" si="13"/>
        <v>#N/A</v>
      </c>
      <c r="V36" s="769" t="s">
        <v>17</v>
      </c>
      <c r="W36" s="770" t="e">
        <f t="shared" si="14"/>
        <v>#N/A</v>
      </c>
      <c r="X36" s="1810"/>
      <c r="Y36" s="3322"/>
      <c r="Z36" s="1811" t="str">
        <f t="shared" si="15"/>
        <v>成新度</v>
      </c>
      <c r="AA36" s="1808" t="e">
        <f t="shared" si="3"/>
        <v>#N/A</v>
      </c>
      <c r="AB36" s="1808" t="e">
        <f t="shared" si="4"/>
        <v>#N/A</v>
      </c>
      <c r="AC36" s="1808" t="e">
        <f t="shared" si="5"/>
        <v>#N/A</v>
      </c>
    </row>
    <row r="37" spans="1:29" s="116" customFormat="1" ht="15">
      <c r="A37" s="468"/>
      <c r="B37" s="419" t="s">
        <v>2665</v>
      </c>
      <c r="C37" s="2613"/>
      <c r="D37" s="133">
        <v>100</v>
      </c>
      <c r="E37" s="2613"/>
      <c r="F37" s="458">
        <f>SUMIF(112:112,E37,113:113)-SUMIF(112:112,C37,113:113)+100</f>
        <v>100</v>
      </c>
      <c r="G37" s="2613"/>
      <c r="H37" s="432">
        <f>SUMIF(112:112,G37,113:113)-SUMIF(112:112,C37,113:113)+100</f>
        <v>100</v>
      </c>
      <c r="I37" s="2613"/>
      <c r="J37" s="432">
        <f>SUMIF(112:112,I37,113:113)-SUMIF(112:112,C37,113:113)+100</f>
        <v>100</v>
      </c>
      <c r="K37" s="607"/>
      <c r="L37" s="1130"/>
      <c r="M37" s="1131"/>
      <c r="N37" s="1131"/>
      <c r="O37" s="1131"/>
      <c r="P37" s="3320"/>
      <c r="Q37" s="1792" t="str">
        <f t="shared" si="11"/>
        <v>市政基础设施</v>
      </c>
      <c r="R37" s="765" t="s">
        <v>17</v>
      </c>
      <c r="S37" s="766">
        <f t="shared" si="12"/>
        <v>100</v>
      </c>
      <c r="T37" s="765" t="s">
        <v>17</v>
      </c>
      <c r="U37" s="766">
        <f t="shared" si="13"/>
        <v>100</v>
      </c>
      <c r="V37" s="765" t="s">
        <v>17</v>
      </c>
      <c r="W37" s="766">
        <f t="shared" si="14"/>
        <v>100</v>
      </c>
      <c r="X37" s="767"/>
      <c r="Y37" s="3322"/>
      <c r="Z37" s="55" t="str">
        <f t="shared" si="15"/>
        <v>市政基础设施</v>
      </c>
      <c r="AA37" s="768">
        <f t="shared" si="3"/>
        <v>1</v>
      </c>
      <c r="AB37" s="768">
        <f t="shared" si="4"/>
        <v>1</v>
      </c>
      <c r="AC37" s="768">
        <f t="shared" si="5"/>
        <v>1</v>
      </c>
    </row>
    <row r="38" spans="1:29" ht="15">
      <c r="A38" s="467"/>
      <c r="B38" s="419" t="s">
        <v>2666</v>
      </c>
      <c r="C38" s="2613"/>
      <c r="D38" s="432">
        <v>100</v>
      </c>
      <c r="E38" s="2613"/>
      <c r="F38" s="458">
        <f>SUMIF(114:114,E38,115:115)-SUMIF(114:114,C38,115:115)+100</f>
        <v>100</v>
      </c>
      <c r="G38" s="2613"/>
      <c r="H38" s="432">
        <f>SUMIF(114:114,G38,115:115)-SUMIF(114:114,C38,115:115)+100</f>
        <v>100</v>
      </c>
      <c r="I38" s="2613"/>
      <c r="J38" s="432">
        <f>SUMIF(114:114,I38,115:115)-SUMIF(114:114,C38,115:115)+100</f>
        <v>100</v>
      </c>
      <c r="K38" s="607"/>
      <c r="L38" s="1138"/>
      <c r="M38" s="1129"/>
      <c r="N38" s="1129"/>
      <c r="O38" s="1129"/>
      <c r="P38" s="3320" t="s">
        <v>2567</v>
      </c>
      <c r="Q38" s="1807" t="str">
        <f t="shared" si="11"/>
        <v>业态</v>
      </c>
      <c r="R38" s="769" t="s">
        <v>17</v>
      </c>
      <c r="S38" s="770">
        <f t="shared" si="12"/>
        <v>100</v>
      </c>
      <c r="T38" s="769" t="s">
        <v>17</v>
      </c>
      <c r="U38" s="770">
        <f t="shared" si="13"/>
        <v>100</v>
      </c>
      <c r="V38" s="769" t="s">
        <v>17</v>
      </c>
      <c r="W38" s="770">
        <f t="shared" si="14"/>
        <v>100</v>
      </c>
      <c r="X38" s="1810"/>
      <c r="Y38" s="3322" t="s">
        <v>2567</v>
      </c>
      <c r="Z38" s="1811" t="str">
        <f t="shared" si="15"/>
        <v>业态</v>
      </c>
      <c r="AA38" s="1808">
        <f t="shared" si="3"/>
        <v>1</v>
      </c>
      <c r="AB38" s="1808">
        <f t="shared" si="4"/>
        <v>1</v>
      </c>
      <c r="AC38" s="1808">
        <f t="shared" si="5"/>
        <v>1</v>
      </c>
    </row>
    <row r="39" spans="1:29" ht="15">
      <c r="A39" s="467"/>
      <c r="B39" s="419" t="s">
        <v>2667</v>
      </c>
      <c r="C39" s="2613"/>
      <c r="D39" s="432">
        <v>100</v>
      </c>
      <c r="E39" s="2613"/>
      <c r="F39" s="458">
        <f>SUMIF(116:116,E39,117:117)-SUMIF(116:116,C39,117:117)+100</f>
        <v>100</v>
      </c>
      <c r="G39" s="2613"/>
      <c r="H39" s="432">
        <f>SUMIF(116:116,G39,117:117)-SUMIF(116:116,C39,117:117)+100</f>
        <v>100</v>
      </c>
      <c r="I39" s="2613"/>
      <c r="J39" s="432">
        <f>SUMIF(116:116,I39,117:117)-SUMIF(116:116,C39,117:117)+100</f>
        <v>100</v>
      </c>
      <c r="K39" s="607"/>
      <c r="L39" s="1138"/>
      <c r="M39" s="1129"/>
      <c r="N39" s="1129"/>
      <c r="O39" s="1129"/>
      <c r="P39" s="3320"/>
      <c r="Q39" s="1807" t="str">
        <f t="shared" si="11"/>
        <v>层高</v>
      </c>
      <c r="R39" s="769" t="s">
        <v>17</v>
      </c>
      <c r="S39" s="770">
        <f t="shared" si="12"/>
        <v>100</v>
      </c>
      <c r="T39" s="769" t="s">
        <v>17</v>
      </c>
      <c r="U39" s="770">
        <f t="shared" si="13"/>
        <v>100</v>
      </c>
      <c r="V39" s="769" t="s">
        <v>17</v>
      </c>
      <c r="W39" s="770">
        <f t="shared" si="14"/>
        <v>100</v>
      </c>
      <c r="X39" s="1810"/>
      <c r="Y39" s="3322"/>
      <c r="Z39" s="1811" t="str">
        <f t="shared" si="15"/>
        <v>层高</v>
      </c>
      <c r="AA39" s="1808">
        <f t="shared" si="3"/>
        <v>1</v>
      </c>
      <c r="AB39" s="1808">
        <f t="shared" si="4"/>
        <v>1</v>
      </c>
      <c r="AC39" s="1808">
        <f t="shared" si="5"/>
        <v>1</v>
      </c>
    </row>
    <row r="40" spans="1:29" ht="15">
      <c r="A40" s="467"/>
      <c r="B40" s="419" t="s">
        <v>2668</v>
      </c>
      <c r="C40" s="612"/>
      <c r="D40" s="432">
        <v>100</v>
      </c>
      <c r="E40" s="613"/>
      <c r="F40" s="458">
        <f>SUMIF(118:118,E40,119:119)-SUMIF(118:118,C40,119:119)+100</f>
        <v>100</v>
      </c>
      <c r="G40" s="613"/>
      <c r="H40" s="432">
        <f>SUMIF(118:118,G40,119:119)-SUMIF(118:118,C40,119:119)+100</f>
        <v>100</v>
      </c>
      <c r="I40" s="613"/>
      <c r="J40" s="432">
        <f>SUMIF(118:118,I40,119:119)-SUMIF(118:118,C40,119:119)+100</f>
        <v>100</v>
      </c>
      <c r="K40" s="608"/>
      <c r="L40" s="1138"/>
      <c r="M40" s="1129"/>
      <c r="N40" s="1129"/>
      <c r="O40" s="1129"/>
      <c r="P40" s="3320"/>
      <c r="Q40" s="1807" t="str">
        <f t="shared" si="11"/>
        <v>单套建筑面积</v>
      </c>
      <c r="R40" s="769" t="s">
        <v>17</v>
      </c>
      <c r="S40" s="770">
        <f t="shared" si="12"/>
        <v>100</v>
      </c>
      <c r="T40" s="769" t="s">
        <v>17</v>
      </c>
      <c r="U40" s="770">
        <f t="shared" si="13"/>
        <v>100</v>
      </c>
      <c r="V40" s="769" t="s">
        <v>17</v>
      </c>
      <c r="W40" s="770">
        <f t="shared" si="14"/>
        <v>100</v>
      </c>
      <c r="X40" s="1810"/>
      <c r="Y40" s="3322"/>
      <c r="Z40" s="1811" t="str">
        <f t="shared" si="15"/>
        <v>单套建筑面积</v>
      </c>
      <c r="AA40" s="1808">
        <f t="shared" si="3"/>
        <v>1</v>
      </c>
      <c r="AB40" s="1808">
        <f t="shared" si="4"/>
        <v>1</v>
      </c>
      <c r="AC40" s="1808">
        <f t="shared" si="5"/>
        <v>1</v>
      </c>
    </row>
    <row r="41" spans="1:29" s="466" customFormat="1" ht="15">
      <c r="A41" s="463"/>
      <c r="B41" s="1809" t="s">
        <v>2669</v>
      </c>
      <c r="C41" s="611"/>
      <c r="D41" s="432">
        <v>100</v>
      </c>
      <c r="E41" s="611"/>
      <c r="F41" s="458">
        <f>SUMIF(120:120,E41,121:121)-SUMIF(120:120,C41,121:121)+100</f>
        <v>100</v>
      </c>
      <c r="G41" s="611"/>
      <c r="H41" s="432">
        <f>SUMIF(120:120,G41,121:121)-SUMIF(120:120,C41,121:121)+100</f>
        <v>100</v>
      </c>
      <c r="I41" s="611"/>
      <c r="J41" s="432">
        <f>SUMIF(120:120,I41,121:121)-SUMIF(120:120,C41,121:121)+100</f>
        <v>100</v>
      </c>
      <c r="K41" s="607"/>
      <c r="L41" s="1136"/>
      <c r="M41" s="1139"/>
      <c r="N41" s="1139"/>
      <c r="O41" s="1139"/>
      <c r="P41" s="3320"/>
      <c r="Q41" s="771" t="str">
        <f t="shared" si="11"/>
        <v>进深比</v>
      </c>
      <c r="R41" s="772" t="s">
        <v>17</v>
      </c>
      <c r="S41" s="773">
        <f t="shared" si="12"/>
        <v>100</v>
      </c>
      <c r="T41" s="772" t="s">
        <v>17</v>
      </c>
      <c r="U41" s="773">
        <f t="shared" si="13"/>
        <v>100</v>
      </c>
      <c r="V41" s="772" t="s">
        <v>17</v>
      </c>
      <c r="W41" s="773">
        <f t="shared" si="14"/>
        <v>100</v>
      </c>
      <c r="X41" s="774"/>
      <c r="Y41" s="3322"/>
      <c r="Z41" s="775" t="str">
        <f t="shared" si="15"/>
        <v>进深比</v>
      </c>
      <c r="AA41" s="1808">
        <f t="shared" si="3"/>
        <v>1</v>
      </c>
      <c r="AB41" s="1808">
        <f t="shared" si="4"/>
        <v>1</v>
      </c>
      <c r="AC41" s="1808">
        <f t="shared" si="5"/>
        <v>1</v>
      </c>
    </row>
    <row r="42" spans="1:29" ht="15">
      <c r="A42" s="467"/>
      <c r="B42" s="419" t="s">
        <v>2670</v>
      </c>
      <c r="C42" s="2613"/>
      <c r="D42" s="432">
        <v>100</v>
      </c>
      <c r="E42" s="2613"/>
      <c r="F42" s="458">
        <f>SUMIF(122:122,E42,123:123)-SUMIF(122:122,C42,123:123)+100</f>
        <v>100</v>
      </c>
      <c r="G42" s="2613"/>
      <c r="H42" s="432">
        <f>SUMIF(122:122,G42,123:123)-SUMIF(122:122,C42,123:123)+100</f>
        <v>100</v>
      </c>
      <c r="I42" s="2613"/>
      <c r="J42" s="432">
        <f>SUMIF(122:122,I42,123:123)-SUMIF(122:122,C42,123:123)+100</f>
        <v>100</v>
      </c>
      <c r="K42" s="607"/>
      <c r="L42" s="1138"/>
      <c r="M42" s="1129"/>
      <c r="N42" s="1129"/>
      <c r="O42" s="1129"/>
      <c r="P42" s="3320"/>
      <c r="Q42" s="1807" t="str">
        <f t="shared" si="11"/>
        <v>内部装修</v>
      </c>
      <c r="R42" s="769" t="s">
        <v>17</v>
      </c>
      <c r="S42" s="770">
        <f t="shared" si="12"/>
        <v>100</v>
      </c>
      <c r="T42" s="769" t="s">
        <v>17</v>
      </c>
      <c r="U42" s="770">
        <f t="shared" si="13"/>
        <v>100</v>
      </c>
      <c r="V42" s="769" t="s">
        <v>17</v>
      </c>
      <c r="W42" s="770">
        <f t="shared" si="14"/>
        <v>100</v>
      </c>
      <c r="X42" s="1810"/>
      <c r="Y42" s="3322"/>
      <c r="Z42" s="1811" t="str">
        <f t="shared" si="15"/>
        <v>内部装修</v>
      </c>
      <c r="AA42" s="1808">
        <f t="shared" si="3"/>
        <v>1</v>
      </c>
      <c r="AB42" s="1808">
        <f t="shared" si="4"/>
        <v>1</v>
      </c>
      <c r="AC42" s="1808">
        <f t="shared" si="5"/>
        <v>1</v>
      </c>
    </row>
    <row r="43" spans="1:29" ht="15">
      <c r="A43" s="467"/>
      <c r="B43" s="419" t="s">
        <v>2578</v>
      </c>
      <c r="C43" s="2613"/>
      <c r="D43" s="432">
        <v>100</v>
      </c>
      <c r="E43" s="2613"/>
      <c r="F43" s="458">
        <f>SUMIF(124:124,E43,125:125)-SUMIF(124:124,C43,125:125)+100</f>
        <v>100</v>
      </c>
      <c r="G43" s="2613"/>
      <c r="H43" s="432">
        <f>SUMIF(124:124,G43,125:125)-SUMIF(124:124,C43,125:125)+100</f>
        <v>100</v>
      </c>
      <c r="I43" s="2613"/>
      <c r="J43" s="432">
        <f>SUMIF(124:124,I43,125:125)-SUMIF(124:124,C43,125:125)+100</f>
        <v>100</v>
      </c>
      <c r="K43" s="607"/>
      <c r="L43" s="1138"/>
      <c r="M43" s="1129"/>
      <c r="N43" s="1129"/>
      <c r="O43" s="1129"/>
      <c r="P43" s="3320"/>
      <c r="Q43" s="1807" t="str">
        <f t="shared" si="11"/>
        <v>内部装修维护情况</v>
      </c>
      <c r="R43" s="769" t="s">
        <v>17</v>
      </c>
      <c r="S43" s="770">
        <f t="shared" si="12"/>
        <v>100</v>
      </c>
      <c r="T43" s="769" t="s">
        <v>17</v>
      </c>
      <c r="U43" s="770">
        <f t="shared" si="13"/>
        <v>100</v>
      </c>
      <c r="V43" s="769" t="s">
        <v>17</v>
      </c>
      <c r="W43" s="770">
        <f t="shared" si="14"/>
        <v>100</v>
      </c>
      <c r="X43" s="1810"/>
      <c r="Y43" s="3322"/>
      <c r="Z43" s="1811" t="str">
        <f t="shared" si="15"/>
        <v>内部装修维护情况</v>
      </c>
      <c r="AA43" s="1808">
        <f t="shared" si="3"/>
        <v>1</v>
      </c>
      <c r="AB43" s="1808">
        <f t="shared" si="4"/>
        <v>1</v>
      </c>
      <c r="AC43" s="1808">
        <f t="shared" si="5"/>
        <v>1</v>
      </c>
    </row>
    <row r="44" spans="1:29" s="116" customFormat="1" ht="15">
      <c r="A44" s="468"/>
      <c r="B44" s="1384">
        <v>111</v>
      </c>
      <c r="C44" s="464"/>
      <c r="D44" s="133">
        <v>100</v>
      </c>
      <c r="E44" s="431"/>
      <c r="F44" s="422">
        <f>SUMIF(126:126,E44,127:127)-SUMIF(126:126,C44,127:127)+100</f>
        <v>100</v>
      </c>
      <c r="G44" s="431"/>
      <c r="H44" s="133">
        <f>SUMIF(126:126,G44,127:127)-SUMIF(126:126,C44,127:127)+100</f>
        <v>100</v>
      </c>
      <c r="I44" s="431"/>
      <c r="J44" s="133">
        <f>SUMIF(126:126,I44,127:127)-SUMIF(126:126,C44,127:127)+100</f>
        <v>100</v>
      </c>
      <c r="K44" s="608"/>
      <c r="L44" s="1130"/>
      <c r="M44" s="1131"/>
      <c r="N44" s="1131"/>
      <c r="O44" s="1131"/>
      <c r="P44" s="3320"/>
      <c r="Q44" s="1792">
        <f t="shared" si="11"/>
        <v>111</v>
      </c>
      <c r="R44" s="765" t="s">
        <v>17</v>
      </c>
      <c r="S44" s="766">
        <f t="shared" si="12"/>
        <v>100</v>
      </c>
      <c r="T44" s="765" t="s">
        <v>17</v>
      </c>
      <c r="U44" s="766">
        <f t="shared" si="13"/>
        <v>100</v>
      </c>
      <c r="V44" s="765" t="s">
        <v>17</v>
      </c>
      <c r="W44" s="766">
        <f t="shared" si="14"/>
        <v>100</v>
      </c>
      <c r="X44" s="767"/>
      <c r="Y44" s="3322"/>
      <c r="Z44" s="55">
        <f t="shared" si="15"/>
        <v>111</v>
      </c>
      <c r="AA44" s="768">
        <f t="shared" si="3"/>
        <v>1</v>
      </c>
      <c r="AB44" s="768">
        <f t="shared" si="4"/>
        <v>1</v>
      </c>
      <c r="AC44" s="768">
        <f t="shared" si="5"/>
        <v>1</v>
      </c>
    </row>
    <row r="45" spans="1:29" ht="15">
      <c r="A45" s="467"/>
      <c r="B45" s="1384">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08"/>
      <c r="L45" s="1138"/>
      <c r="M45" s="1129"/>
      <c r="N45" s="1129"/>
      <c r="O45" s="1129"/>
      <c r="P45" s="3320"/>
      <c r="Q45" s="1807">
        <f t="shared" si="11"/>
        <v>111</v>
      </c>
      <c r="R45" s="769" t="s">
        <v>17</v>
      </c>
      <c r="S45" s="770">
        <f t="shared" si="12"/>
        <v>100</v>
      </c>
      <c r="T45" s="769" t="s">
        <v>17</v>
      </c>
      <c r="U45" s="770">
        <f t="shared" si="13"/>
        <v>100</v>
      </c>
      <c r="V45" s="769" t="s">
        <v>17</v>
      </c>
      <c r="W45" s="770">
        <f t="shared" si="14"/>
        <v>100</v>
      </c>
      <c r="X45" s="1810"/>
      <c r="Y45" s="3322"/>
      <c r="Z45" s="1811">
        <f t="shared" si="15"/>
        <v>111</v>
      </c>
      <c r="AA45" s="1808">
        <f t="shared" si="3"/>
        <v>1</v>
      </c>
      <c r="AB45" s="1808">
        <f t="shared" si="4"/>
        <v>1</v>
      </c>
      <c r="AC45" s="1808">
        <f t="shared" si="5"/>
        <v>1</v>
      </c>
    </row>
    <row r="46" spans="1:29" ht="15.75" thickBot="1">
      <c r="A46" s="473"/>
      <c r="B46" s="2602">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08"/>
      <c r="L46" s="1138"/>
      <c r="M46" s="1129"/>
      <c r="N46" s="1129"/>
      <c r="O46" s="1129"/>
      <c r="P46" s="3321"/>
      <c r="Q46" s="1807">
        <f t="shared" si="11"/>
        <v>111</v>
      </c>
      <c r="R46" s="769" t="s">
        <v>17</v>
      </c>
      <c r="S46" s="770">
        <f t="shared" si="12"/>
        <v>100</v>
      </c>
      <c r="T46" s="769" t="s">
        <v>17</v>
      </c>
      <c r="U46" s="770">
        <f t="shared" si="13"/>
        <v>100</v>
      </c>
      <c r="V46" s="769" t="s">
        <v>17</v>
      </c>
      <c r="W46" s="770">
        <f t="shared" si="14"/>
        <v>100</v>
      </c>
      <c r="X46" s="1810"/>
      <c r="Y46" s="3323"/>
      <c r="Z46" s="1811">
        <f t="shared" si="15"/>
        <v>111</v>
      </c>
      <c r="AA46" s="1808">
        <f t="shared" si="3"/>
        <v>1</v>
      </c>
      <c r="AB46" s="1808">
        <f t="shared" si="4"/>
        <v>1</v>
      </c>
      <c r="AC46" s="1808">
        <f t="shared" si="5"/>
        <v>1</v>
      </c>
    </row>
    <row r="47" spans="1:29" ht="15">
      <c r="A47" s="474" t="s">
        <v>2579</v>
      </c>
      <c r="B47" s="475"/>
      <c r="C47" s="1404" t="s">
        <v>1</v>
      </c>
      <c r="D47" s="1405"/>
      <c r="E47" s="1406"/>
      <c r="F47" s="1407"/>
      <c r="G47" s="1408"/>
      <c r="H47" s="1409"/>
      <c r="I47" s="1406"/>
      <c r="J47" s="1409"/>
      <c r="K47" s="778"/>
      <c r="L47" s="1141"/>
      <c r="M47" s="1142"/>
      <c r="N47" s="1129"/>
      <c r="O47" s="1142"/>
      <c r="P47" s="3315" t="str">
        <f>A47</f>
        <v>成交单价（元/平方米）</v>
      </c>
      <c r="Q47" s="3315"/>
      <c r="R47" s="3346">
        <f>E47</f>
        <v>0</v>
      </c>
      <c r="S47" s="3346"/>
      <c r="T47" s="3346">
        <f>G47</f>
        <v>0</v>
      </c>
      <c r="U47" s="3346"/>
      <c r="V47" s="3346">
        <f>I47</f>
        <v>0</v>
      </c>
      <c r="W47" s="3346"/>
      <c r="X47" s="754"/>
      <c r="Y47" s="776"/>
      <c r="Z47" s="754"/>
      <c r="AA47" s="754"/>
      <c r="AB47" s="754"/>
      <c r="AC47" s="754"/>
    </row>
    <row r="48" spans="1:29" ht="15.75" thickBot="1">
      <c r="A48" s="481" t="s">
        <v>2671</v>
      </c>
      <c r="B48" s="482"/>
      <c r="C48" s="1410" t="e">
        <f>R49</f>
        <v>#DIV/0!</v>
      </c>
      <c r="D48" s="1411"/>
      <c r="E48" s="1412" t="e">
        <f>R48</f>
        <v>#DIV/0!</v>
      </c>
      <c r="F48" s="1412"/>
      <c r="G48" s="1410" t="e">
        <f>T48</f>
        <v>#DIV/0!</v>
      </c>
      <c r="H48" s="1411"/>
      <c r="I48" s="1412" t="e">
        <f>V48</f>
        <v>#DIV/0!</v>
      </c>
      <c r="J48" s="1411"/>
      <c r="K48" s="779"/>
      <c r="L48" s="1141"/>
      <c r="M48" s="1142"/>
      <c r="N48" s="1129"/>
      <c r="O48" s="1142"/>
      <c r="P48" s="3315" t="str">
        <f>A48</f>
        <v>比较价值（元/平方米）</v>
      </c>
      <c r="Q48" s="3315"/>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754"/>
      <c r="Y48" s="754"/>
      <c r="Z48" s="754"/>
      <c r="AA48" s="754"/>
      <c r="AB48" s="754"/>
      <c r="AC48" s="754"/>
    </row>
    <row r="49" spans="1:29" ht="15.75" thickBot="1">
      <c r="A49" s="487" t="s">
        <v>2672</v>
      </c>
      <c r="B49" s="488"/>
      <c r="C49" s="1414" t="e">
        <f>R49</f>
        <v>#DIV/0!</v>
      </c>
      <c r="D49" s="1414"/>
      <c r="E49" s="1414"/>
      <c r="F49" s="1414"/>
      <c r="G49" s="1414"/>
      <c r="H49" s="1414"/>
      <c r="I49" s="1414"/>
      <c r="J49" s="1414"/>
      <c r="K49" s="780"/>
      <c r="L49" s="1141"/>
      <c r="M49" s="1142"/>
      <c r="N49" s="1129"/>
      <c r="O49" s="1142"/>
      <c r="P49" s="3312" t="str">
        <f>A49</f>
        <v>估价对象XX用房的比较价值（楼面单价，元/平方米）</v>
      </c>
      <c r="Q49" s="3313"/>
      <c r="R49" s="3314" t="e">
        <f>IF(F1="售价",ROUND(AVERAGE(R48:V48),0),ROUND(AVERAGE(R48:V48),1))</f>
        <v>#DIV/0!</v>
      </c>
      <c r="S49" s="3314"/>
      <c r="T49" s="3314"/>
      <c r="U49" s="3314"/>
      <c r="V49" s="3314"/>
      <c r="W49" s="3314"/>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c r="P50" s="670"/>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0"/>
      <c r="Q51" s="754"/>
      <c r="R51" s="754"/>
      <c r="S51" s="754"/>
      <c r="T51" s="754"/>
      <c r="U51" s="754"/>
      <c r="V51" s="754"/>
      <c r="W51" s="754"/>
      <c r="X51" s="754"/>
      <c r="Y51" s="754"/>
      <c r="Z51" s="754"/>
      <c r="AA51" s="754"/>
      <c r="AB51" s="754"/>
      <c r="AC51" s="754"/>
    </row>
    <row r="52" spans="1:29" ht="13.5" customHeight="1">
      <c r="A52" s="1142"/>
      <c r="B52" s="1142"/>
      <c r="C52" s="492" t="s">
        <v>2673</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3"/>
      <c r="L52" s="1104"/>
      <c r="M52" s="1142"/>
      <c r="N52" s="1142"/>
      <c r="O52" s="1142"/>
      <c r="P52" s="670"/>
      <c r="Q52" s="754"/>
      <c r="R52" s="754"/>
      <c r="S52" s="754"/>
      <c r="T52" s="754"/>
      <c r="U52" s="754"/>
      <c r="V52" s="754"/>
      <c r="W52" s="754"/>
      <c r="X52" s="754"/>
      <c r="Y52" s="754"/>
      <c r="Z52" s="754"/>
      <c r="AA52" s="754"/>
      <c r="AB52" s="754"/>
      <c r="AC52" s="754"/>
    </row>
    <row r="53" spans="1:29" ht="13.5" customHeight="1">
      <c r="A53" s="1142"/>
      <c r="B53" s="1142"/>
      <c r="C53" s="492" t="s">
        <v>2674</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3"/>
      <c r="L53" s="1104"/>
      <c r="M53" s="1142"/>
      <c r="N53" s="1142"/>
      <c r="O53" s="1142"/>
      <c r="P53" s="670"/>
      <c r="Q53" s="754"/>
      <c r="R53" s="754"/>
      <c r="S53" s="754"/>
      <c r="T53" s="754"/>
      <c r="U53" s="754"/>
      <c r="V53" s="754"/>
      <c r="W53" s="754"/>
      <c r="X53" s="754"/>
      <c r="Y53" s="754"/>
      <c r="Z53" s="754"/>
      <c r="AA53" s="754"/>
      <c r="AB53" s="754"/>
      <c r="AC53" s="754"/>
    </row>
    <row r="54" spans="1:29" s="497" customFormat="1" ht="13.5" customHeight="1">
      <c r="A54" s="1143"/>
      <c r="B54" s="1143"/>
      <c r="C54" s="492" t="s">
        <v>2675</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6"/>
      <c r="L54" s="1147"/>
      <c r="M54" s="1143"/>
      <c r="N54" s="1143"/>
      <c r="O54" s="1143"/>
      <c r="P54" s="2666"/>
      <c r="Q54" s="755"/>
      <c r="R54" s="755"/>
      <c r="S54" s="755"/>
      <c r="T54" s="755"/>
      <c r="U54" s="755"/>
      <c r="V54" s="755"/>
      <c r="W54" s="755"/>
      <c r="X54" s="755"/>
      <c r="Y54" s="755"/>
      <c r="Z54" s="755"/>
      <c r="AA54" s="755"/>
      <c r="AB54" s="755"/>
      <c r="AC54" s="755"/>
    </row>
    <row r="55" spans="1:29" s="497" customFormat="1">
      <c r="A55" s="1143"/>
      <c r="B55" s="1144"/>
      <c r="C55" s="1148"/>
      <c r="D55" s="1143"/>
      <c r="E55" s="1143"/>
      <c r="F55" s="1143"/>
      <c r="G55" s="1143"/>
      <c r="H55" s="1143"/>
      <c r="I55" s="1143"/>
      <c r="J55" s="1143"/>
      <c r="K55" s="1146"/>
      <c r="L55" s="1147"/>
      <c r="M55" s="1143"/>
      <c r="N55" s="1143"/>
      <c r="O55" s="1143"/>
      <c r="P55" s="2666"/>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0"/>
      <c r="Q56" s="754"/>
      <c r="R56" s="754"/>
      <c r="S56" s="754"/>
      <c r="T56" s="754"/>
      <c r="U56" s="754"/>
      <c r="V56" s="754"/>
      <c r="W56" s="754"/>
      <c r="X56" s="754"/>
      <c r="Y56" s="754"/>
      <c r="Z56" s="754"/>
      <c r="AA56" s="754"/>
      <c r="AB56" s="754"/>
      <c r="AC56" s="754"/>
    </row>
    <row r="57" spans="1:29" ht="21.75" thickBot="1">
      <c r="A57" s="758" t="s">
        <v>2676</v>
      </c>
      <c r="B57" s="754"/>
      <c r="C57" s="759"/>
      <c r="D57" s="759"/>
      <c r="E57" s="759"/>
      <c r="F57" s="760"/>
      <c r="G57" s="760"/>
      <c r="H57" s="759"/>
      <c r="I57" s="759"/>
      <c r="J57" s="759"/>
      <c r="K57" s="761"/>
      <c r="L57" s="1159"/>
      <c r="M57" s="1157"/>
      <c r="N57" s="1157"/>
      <c r="O57" s="1157"/>
      <c r="P57" s="2667"/>
      <c r="Q57" s="2668"/>
      <c r="R57" s="754"/>
      <c r="S57" s="754"/>
      <c r="T57" s="754"/>
      <c r="U57" s="754"/>
      <c r="V57" s="754"/>
      <c r="W57" s="754"/>
      <c r="X57" s="754"/>
      <c r="Y57" s="754"/>
      <c r="Z57" s="754"/>
      <c r="AA57" s="754"/>
      <c r="AB57" s="754"/>
      <c r="AC57" s="754"/>
    </row>
    <row r="58" spans="1:29" s="503" customFormat="1" ht="15">
      <c r="A58" s="500" t="s">
        <v>2550</v>
      </c>
      <c r="B58" s="501"/>
      <c r="C58" s="1571" t="str">
        <f>YEAR(C7)&amp;"-"&amp;MONTH(C7)</f>
        <v>2019-6</v>
      </c>
      <c r="D58" s="1572">
        <f>EDATE(C58,-1)</f>
        <v>43586</v>
      </c>
      <c r="E58" s="1572">
        <f t="shared" ref="E58:N58" si="16">EDATE(D58,-1)</f>
        <v>43556</v>
      </c>
      <c r="F58" s="1572">
        <f t="shared" si="16"/>
        <v>43525</v>
      </c>
      <c r="G58" s="1572">
        <f t="shared" si="16"/>
        <v>43497</v>
      </c>
      <c r="H58" s="1572">
        <f t="shared" si="16"/>
        <v>43466</v>
      </c>
      <c r="I58" s="1572">
        <f t="shared" si="16"/>
        <v>43435</v>
      </c>
      <c r="J58" s="1572">
        <f t="shared" si="16"/>
        <v>43405</v>
      </c>
      <c r="K58" s="1572">
        <f t="shared" si="16"/>
        <v>43374</v>
      </c>
      <c r="L58" s="1572">
        <f t="shared" si="16"/>
        <v>43344</v>
      </c>
      <c r="M58" s="1572">
        <f t="shared" si="16"/>
        <v>43313</v>
      </c>
      <c r="N58" s="1572">
        <f t="shared" si="16"/>
        <v>43282</v>
      </c>
      <c r="O58" s="1572">
        <f>EDATE(N58,-1)</f>
        <v>43252</v>
      </c>
      <c r="P58" s="1567"/>
    </row>
    <row r="59" spans="1:29" s="116" customFormat="1" ht="15">
      <c r="A59" s="504"/>
      <c r="B59" s="505"/>
      <c r="C59" s="1570">
        <v>100</v>
      </c>
      <c r="D59" s="507"/>
      <c r="E59" s="507"/>
      <c r="F59" s="507"/>
      <c r="G59" s="507"/>
      <c r="H59" s="507"/>
      <c r="I59" s="507"/>
      <c r="J59" s="507"/>
      <c r="K59" s="507"/>
      <c r="L59" s="507"/>
      <c r="M59" s="508"/>
      <c r="N59" s="507"/>
      <c r="O59" s="508"/>
      <c r="P59" s="2628"/>
    </row>
    <row r="60" spans="1:29" s="116" customFormat="1" ht="15.75" thickBot="1">
      <c r="A60" s="510" t="s">
        <v>2587</v>
      </c>
      <c r="B60" s="511"/>
      <c r="C60" s="512"/>
      <c r="D60" s="513"/>
      <c r="E60" s="513"/>
      <c r="F60" s="513"/>
      <c r="G60" s="513"/>
      <c r="H60" s="513"/>
      <c r="I60" s="513"/>
      <c r="J60" s="513"/>
      <c r="K60" s="513"/>
      <c r="L60" s="513"/>
      <c r="M60" s="514"/>
      <c r="N60" s="513"/>
      <c r="O60" s="514"/>
      <c r="P60" s="2628"/>
      <c r="Q60" s="499"/>
    </row>
    <row r="61" spans="1:29" s="116" customFormat="1" ht="15">
      <c r="A61" s="516" t="s">
        <v>2552</v>
      </c>
      <c r="B61" s="505"/>
      <c r="C61" s="517" t="s">
        <v>2654</v>
      </c>
      <c r="D61" s="518"/>
      <c r="E61" s="518"/>
      <c r="F61" s="518"/>
      <c r="G61" s="518"/>
      <c r="H61" s="518"/>
      <c r="I61" s="518"/>
      <c r="J61" s="518"/>
      <c r="K61" s="518"/>
      <c r="L61" s="519"/>
      <c r="M61" s="520"/>
      <c r="N61" s="1149"/>
      <c r="O61" s="1149"/>
      <c r="P61" s="2629"/>
      <c r="Q61" s="499"/>
    </row>
    <row r="62" spans="1:29" s="116" customFormat="1" ht="15.75" thickBot="1">
      <c r="A62" s="516"/>
      <c r="B62" s="505"/>
      <c r="C62" s="506">
        <v>100</v>
      </c>
      <c r="D62" s="507"/>
      <c r="E62" s="507"/>
      <c r="F62" s="507"/>
      <c r="G62" s="507"/>
      <c r="H62" s="507"/>
      <c r="I62" s="507"/>
      <c r="J62" s="507"/>
      <c r="K62" s="507"/>
      <c r="L62" s="507"/>
      <c r="M62" s="509"/>
      <c r="N62" s="1149"/>
      <c r="O62" s="1149"/>
      <c r="P62" s="2628"/>
      <c r="Q62" s="499"/>
    </row>
    <row r="63" spans="1:29">
      <c r="A63" s="522" t="s">
        <v>2590</v>
      </c>
      <c r="B63" s="523" t="s">
        <v>2556</v>
      </c>
      <c r="C63" s="524">
        <f>C9</f>
        <v>0</v>
      </c>
      <c r="D63" s="525"/>
      <c r="E63" s="525"/>
      <c r="F63" s="525"/>
      <c r="G63" s="525"/>
      <c r="H63" s="525"/>
      <c r="I63" s="525"/>
      <c r="J63" s="525"/>
      <c r="K63" s="526"/>
      <c r="L63" s="527"/>
      <c r="M63" s="528"/>
      <c r="N63" s="1150"/>
      <c r="O63" s="1150"/>
      <c r="P63" s="2630"/>
      <c r="Q63" s="499"/>
    </row>
    <row r="64" spans="1:29" ht="15.75" thickBot="1">
      <c r="A64" s="529"/>
      <c r="B64" s="530"/>
      <c r="C64" s="531">
        <v>100</v>
      </c>
      <c r="D64" s="531"/>
      <c r="E64" s="531"/>
      <c r="F64" s="531"/>
      <c r="G64" s="531"/>
      <c r="H64" s="531"/>
      <c r="I64" s="531"/>
      <c r="J64" s="531"/>
      <c r="K64" s="531"/>
      <c r="L64" s="531"/>
      <c r="M64" s="532"/>
      <c r="N64" s="1151"/>
      <c r="O64" s="1151"/>
      <c r="P64" s="2630"/>
      <c r="Q64" s="499"/>
    </row>
    <row r="65" spans="1:17" ht="27.75" thickTop="1">
      <c r="A65" s="529"/>
      <c r="B65" s="533" t="s">
        <v>2559</v>
      </c>
      <c r="C65" s="534" t="s">
        <v>2591</v>
      </c>
      <c r="D65" s="534" t="s">
        <v>2592</v>
      </c>
      <c r="E65" s="534" t="s">
        <v>2593</v>
      </c>
      <c r="F65" s="534" t="s">
        <v>2594</v>
      </c>
      <c r="G65" s="534" t="s">
        <v>2595</v>
      </c>
      <c r="H65" s="534" t="s">
        <v>2596</v>
      </c>
      <c r="I65" s="534" t="s">
        <v>2597</v>
      </c>
      <c r="J65" s="534"/>
      <c r="K65" s="535"/>
      <c r="L65" s="536"/>
      <c r="M65" s="537"/>
      <c r="N65" s="1150"/>
      <c r="O65" s="1150"/>
      <c r="P65" s="2630"/>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51"/>
      <c r="O66" s="1151"/>
      <c r="P66" s="2630"/>
      <c r="Q66" s="499"/>
    </row>
    <row r="67" spans="1:17" ht="15.75" thickTop="1">
      <c r="A67" s="529"/>
      <c r="B67" s="541" t="s">
        <v>2560</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5" t="str">
        <f>M68&amp;"（含）"&amp;"-"&amp;P68</f>
        <v>（含）-</v>
      </c>
      <c r="N67" s="1151"/>
      <c r="O67" s="1151"/>
      <c r="P67" s="2630"/>
      <c r="Q67" s="499"/>
    </row>
    <row r="68" spans="1:17" ht="15">
      <c r="A68" s="529"/>
      <c r="B68" s="543"/>
      <c r="C68" s="544"/>
      <c r="D68" s="544"/>
      <c r="E68" s="544"/>
      <c r="F68" s="544"/>
      <c r="G68" s="544"/>
      <c r="H68" s="544"/>
      <c r="I68" s="544"/>
      <c r="J68" s="544"/>
      <c r="K68" s="545"/>
      <c r="L68" s="546"/>
      <c r="M68" s="547"/>
      <c r="N68" s="1150"/>
      <c r="O68" s="1150"/>
      <c r="P68" s="2630"/>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51"/>
      <c r="O69" s="1151"/>
      <c r="P69" s="2630"/>
      <c r="Q69" s="499"/>
    </row>
    <row r="70" spans="1:17" s="466" customFormat="1" ht="15.75" thickTop="1">
      <c r="A70" s="548"/>
      <c r="B70" s="533">
        <f>B12</f>
        <v>111</v>
      </c>
      <c r="C70" s="549"/>
      <c r="D70" s="549"/>
      <c r="E70" s="549"/>
      <c r="F70" s="549"/>
      <c r="G70" s="549"/>
      <c r="H70" s="550"/>
      <c r="I70" s="550"/>
      <c r="J70" s="550"/>
      <c r="K70" s="550"/>
      <c r="L70" s="551"/>
      <c r="M70" s="552"/>
      <c r="N70" s="1152"/>
      <c r="O70" s="1152"/>
      <c r="P70" s="2631"/>
      <c r="Q70" s="554"/>
    </row>
    <row r="71" spans="1:17" s="466" customFormat="1" ht="15.75" thickBot="1">
      <c r="A71" s="548"/>
      <c r="B71" s="538"/>
      <c r="C71" s="555"/>
      <c r="D71" s="531"/>
      <c r="E71" s="531"/>
      <c r="F71" s="531"/>
      <c r="G71" s="531"/>
      <c r="H71" s="531"/>
      <c r="I71" s="531"/>
      <c r="J71" s="531"/>
      <c r="K71" s="531"/>
      <c r="L71" s="531"/>
      <c r="M71" s="532"/>
      <c r="N71" s="1151"/>
      <c r="O71" s="1151"/>
      <c r="P71" s="2631"/>
      <c r="Q71" s="554"/>
    </row>
    <row r="72" spans="1:17" s="466" customFormat="1" ht="15.75" thickTop="1">
      <c r="A72" s="548"/>
      <c r="B72" s="533">
        <f>B13</f>
        <v>111</v>
      </c>
      <c r="C72" s="549"/>
      <c r="D72" s="549"/>
      <c r="E72" s="549"/>
      <c r="F72" s="549"/>
      <c r="G72" s="549"/>
      <c r="H72" s="550"/>
      <c r="I72" s="550"/>
      <c r="J72" s="550"/>
      <c r="K72" s="550"/>
      <c r="L72" s="551"/>
      <c r="M72" s="552"/>
      <c r="N72" s="1152"/>
      <c r="O72" s="1152"/>
      <c r="P72" s="2632"/>
      <c r="Q72" s="556"/>
    </row>
    <row r="73" spans="1:17" s="466" customFormat="1" ht="15.75" thickBot="1">
      <c r="A73" s="548"/>
      <c r="B73" s="538"/>
      <c r="C73" s="555"/>
      <c r="D73" s="531"/>
      <c r="E73" s="531"/>
      <c r="F73" s="531"/>
      <c r="G73" s="555"/>
      <c r="H73" s="557"/>
      <c r="I73" s="557"/>
      <c r="J73" s="557"/>
      <c r="K73" s="557"/>
      <c r="L73" s="557"/>
      <c r="M73" s="558"/>
      <c r="N73" s="1152"/>
      <c r="O73" s="1152"/>
      <c r="P73" s="2631"/>
      <c r="Q73" s="554"/>
    </row>
    <row r="74" spans="1:17" s="466" customFormat="1" ht="15.75" thickTop="1">
      <c r="A74" s="548"/>
      <c r="B74" s="541">
        <f>B14</f>
        <v>111</v>
      </c>
      <c r="C74" s="549"/>
      <c r="D74" s="549"/>
      <c r="E74" s="549"/>
      <c r="F74" s="549"/>
      <c r="G74" s="518"/>
      <c r="H74" s="559"/>
      <c r="I74" s="559"/>
      <c r="J74" s="559"/>
      <c r="K74" s="559"/>
      <c r="L74" s="560"/>
      <c r="M74" s="561"/>
      <c r="N74" s="1152"/>
      <c r="O74" s="1152"/>
      <c r="P74" s="2633"/>
      <c r="Q74" s="554"/>
    </row>
    <row r="75" spans="1:17" s="466" customFormat="1" ht="15.75" thickBot="1">
      <c r="A75" s="563"/>
      <c r="B75" s="564"/>
      <c r="C75" s="565"/>
      <c r="D75" s="565"/>
      <c r="E75" s="565"/>
      <c r="F75" s="565"/>
      <c r="G75" s="565"/>
      <c r="H75" s="566"/>
      <c r="I75" s="566"/>
      <c r="J75" s="566"/>
      <c r="K75" s="566"/>
      <c r="L75" s="566"/>
      <c r="M75" s="567"/>
      <c r="N75" s="1152"/>
      <c r="O75" s="1152"/>
      <c r="P75" s="2631"/>
      <c r="Q75" s="554"/>
    </row>
    <row r="76" spans="1:17">
      <c r="A76" s="522" t="s">
        <v>2561</v>
      </c>
      <c r="B76" s="523" t="s">
        <v>2598</v>
      </c>
      <c r="C76" s="568" t="s">
        <v>2599</v>
      </c>
      <c r="D76" s="568" t="s">
        <v>2600</v>
      </c>
      <c r="E76" s="568" t="s">
        <v>2601</v>
      </c>
      <c r="F76" s="568" t="s">
        <v>2602</v>
      </c>
      <c r="G76" s="568" t="s">
        <v>2603</v>
      </c>
      <c r="H76" s="524"/>
      <c r="I76" s="524"/>
      <c r="J76" s="524"/>
      <c r="K76" s="569"/>
      <c r="L76" s="570"/>
      <c r="M76" s="571"/>
      <c r="N76" s="1150"/>
      <c r="O76" s="1150"/>
      <c r="P76" s="2634"/>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51"/>
      <c r="O77" s="1151"/>
      <c r="P77" s="2630"/>
      <c r="Q77" s="499"/>
    </row>
    <row r="78" spans="1:17" ht="15.75" thickTop="1">
      <c r="A78" s="529"/>
      <c r="B78" s="533" t="s">
        <v>2604</v>
      </c>
      <c r="C78" s="573" t="s">
        <v>2599</v>
      </c>
      <c r="D78" s="573" t="s">
        <v>2600</v>
      </c>
      <c r="E78" s="573" t="s">
        <v>2601</v>
      </c>
      <c r="F78" s="573" t="s">
        <v>2602</v>
      </c>
      <c r="G78" s="573" t="s">
        <v>2603</v>
      </c>
      <c r="H78" s="534"/>
      <c r="I78" s="534"/>
      <c r="J78" s="534"/>
      <c r="K78" s="535"/>
      <c r="L78" s="536"/>
      <c r="M78" s="537"/>
      <c r="N78" s="1150"/>
      <c r="O78" s="1150"/>
      <c r="P78" s="2630"/>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51"/>
      <c r="O79" s="1151"/>
      <c r="P79" s="2630"/>
      <c r="Q79" s="499"/>
    </row>
    <row r="80" spans="1:17" ht="15.75" thickTop="1">
      <c r="A80" s="529"/>
      <c r="B80" s="533" t="s">
        <v>2605</v>
      </c>
      <c r="C80" s="573" t="s">
        <v>2599</v>
      </c>
      <c r="D80" s="573" t="s">
        <v>2600</v>
      </c>
      <c r="E80" s="573" t="s">
        <v>2601</v>
      </c>
      <c r="F80" s="573" t="s">
        <v>2602</v>
      </c>
      <c r="G80" s="573" t="s">
        <v>2603</v>
      </c>
      <c r="H80" s="534"/>
      <c r="I80" s="534"/>
      <c r="J80" s="534"/>
      <c r="K80" s="535"/>
      <c r="L80" s="536"/>
      <c r="M80" s="537"/>
      <c r="N80" s="1150"/>
      <c r="O80" s="1150"/>
      <c r="P80" s="2630"/>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51"/>
      <c r="O81" s="1151"/>
      <c r="P81" s="2630"/>
      <c r="Q81" s="499"/>
    </row>
    <row r="82" spans="1:17" ht="15.75" thickTop="1">
      <c r="A82" s="529"/>
      <c r="B82" s="541" t="s">
        <v>2657</v>
      </c>
      <c r="C82" s="655" t="s">
        <v>2677</v>
      </c>
      <c r="D82" s="655" t="s">
        <v>2678</v>
      </c>
      <c r="E82" s="655" t="s">
        <v>2679</v>
      </c>
      <c r="F82" s="655" t="s">
        <v>2680</v>
      </c>
      <c r="G82" s="655" t="s">
        <v>2681</v>
      </c>
      <c r="H82" s="534"/>
      <c r="I82" s="534"/>
      <c r="J82" s="534"/>
      <c r="K82" s="534"/>
      <c r="L82" s="534"/>
      <c r="M82" s="1380"/>
      <c r="N82" s="1151"/>
      <c r="O82" s="1151"/>
      <c r="P82" s="2630"/>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7"/>
      <c r="N83" s="1151"/>
      <c r="O83" s="1151"/>
      <c r="P83" s="2630"/>
      <c r="Q83" s="499"/>
    </row>
    <row r="84" spans="1:17" ht="15.75" thickTop="1">
      <c r="A84" s="529"/>
      <c r="B84" s="533" t="s">
        <v>2611</v>
      </c>
      <c r="C84" s="573" t="s">
        <v>2599</v>
      </c>
      <c r="D84" s="573" t="s">
        <v>2600</v>
      </c>
      <c r="E84" s="573" t="s">
        <v>2601</v>
      </c>
      <c r="F84" s="573" t="s">
        <v>2602</v>
      </c>
      <c r="G84" s="573" t="s">
        <v>2603</v>
      </c>
      <c r="H84" s="534"/>
      <c r="I84" s="534"/>
      <c r="J84" s="534"/>
      <c r="K84" s="535"/>
      <c r="L84" s="536"/>
      <c r="M84" s="537"/>
      <c r="N84" s="1150"/>
      <c r="O84" s="1150"/>
      <c r="P84" s="2630"/>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51"/>
      <c r="O85" s="1151"/>
      <c r="P85" s="2630"/>
      <c r="Q85" s="499"/>
    </row>
    <row r="86" spans="1:17" s="116" customFormat="1" ht="15.75" thickTop="1">
      <c r="A86" s="574"/>
      <c r="B86" s="533" t="s">
        <v>2682</v>
      </c>
      <c r="C86" s="549"/>
      <c r="D86" s="549"/>
      <c r="E86" s="549"/>
      <c r="F86" s="549"/>
      <c r="G86" s="549"/>
      <c r="H86" s="549"/>
      <c r="I86" s="549"/>
      <c r="J86" s="549"/>
      <c r="K86" s="549"/>
      <c r="L86" s="575"/>
      <c r="M86" s="576"/>
      <c r="N86" s="1149"/>
      <c r="O86" s="1149"/>
      <c r="P86" s="2630"/>
      <c r="Q86" s="499"/>
    </row>
    <row r="87" spans="1:17" s="116"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51"/>
      <c r="O87" s="1151"/>
      <c r="P87" s="2630"/>
      <c r="Q87" s="499"/>
    </row>
    <row r="88" spans="1:17" s="116" customFormat="1" ht="15.75" thickTop="1">
      <c r="A88" s="574"/>
      <c r="B88" s="533" t="str">
        <f>B26</f>
        <v>平面位置/可视性</v>
      </c>
      <c r="C88" s="549"/>
      <c r="D88" s="549"/>
      <c r="E88" s="549"/>
      <c r="F88" s="2635"/>
      <c r="G88" s="549"/>
      <c r="H88" s="549"/>
      <c r="I88" s="549"/>
      <c r="J88" s="549"/>
      <c r="K88" s="549"/>
      <c r="L88" s="549"/>
      <c r="M88" s="576"/>
      <c r="N88" s="1149"/>
      <c r="O88" s="1149"/>
      <c r="P88" s="2630"/>
      <c r="Q88" s="499"/>
    </row>
    <row r="89" spans="1:17" s="116" customFormat="1" ht="15.75" thickBot="1">
      <c r="A89" s="574"/>
      <c r="B89" s="538"/>
      <c r="C89" s="555"/>
      <c r="D89" s="531"/>
      <c r="E89" s="531"/>
      <c r="F89" s="531"/>
      <c r="G89" s="531"/>
      <c r="H89" s="531"/>
      <c r="I89" s="531"/>
      <c r="J89" s="531"/>
      <c r="K89" s="531"/>
      <c r="L89" s="531"/>
      <c r="M89" s="531"/>
      <c r="N89" s="1151"/>
      <c r="O89" s="1151"/>
      <c r="P89" s="2630"/>
      <c r="Q89" s="499"/>
    </row>
    <row r="90" spans="1:17" s="466" customFormat="1" ht="15.75" thickTop="1">
      <c r="A90" s="548"/>
      <c r="B90" s="533" t="str">
        <f>B27</f>
        <v>人流量</v>
      </c>
      <c r="C90" s="549"/>
      <c r="D90" s="549"/>
      <c r="E90" s="549"/>
      <c r="F90" s="549"/>
      <c r="G90" s="549"/>
      <c r="H90" s="550"/>
      <c r="I90" s="550"/>
      <c r="J90" s="550"/>
      <c r="K90" s="550"/>
      <c r="L90" s="551"/>
      <c r="M90" s="552"/>
      <c r="N90" s="1152"/>
      <c r="O90" s="1152"/>
      <c r="P90" s="2631"/>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52"/>
      <c r="O91" s="1152"/>
      <c r="P91" s="2631"/>
      <c r="Q91" s="554"/>
    </row>
    <row r="92" spans="1:17" ht="15.75" thickTop="1">
      <c r="A92" s="529"/>
      <c r="B92" s="533" t="str">
        <f>B28</f>
        <v>楼层</v>
      </c>
      <c r="C92" s="549"/>
      <c r="D92" s="549"/>
      <c r="E92" s="549"/>
      <c r="F92" s="549"/>
      <c r="G92" s="549"/>
      <c r="H92" s="549"/>
      <c r="I92" s="549"/>
      <c r="J92" s="549"/>
      <c r="K92" s="549"/>
      <c r="L92" s="575"/>
      <c r="M92" s="576"/>
      <c r="N92" s="1150"/>
      <c r="O92" s="1150"/>
      <c r="P92" s="2630"/>
      <c r="Q92" s="499"/>
    </row>
    <row r="93" spans="1:17" ht="15.75" thickBot="1">
      <c r="A93" s="529"/>
      <c r="B93" s="538"/>
      <c r="C93" s="531"/>
      <c r="D93" s="531"/>
      <c r="E93" s="531"/>
      <c r="F93" s="531"/>
      <c r="G93" s="531"/>
      <c r="H93" s="531"/>
      <c r="I93" s="531"/>
      <c r="J93" s="531"/>
      <c r="K93" s="531"/>
      <c r="L93" s="531"/>
      <c r="M93" s="532"/>
      <c r="N93" s="1151"/>
      <c r="O93" s="1151"/>
      <c r="P93" s="2630"/>
      <c r="Q93" s="499"/>
    </row>
    <row r="94" spans="1:17" ht="15.75" thickTop="1">
      <c r="A94" s="529"/>
      <c r="B94" s="533">
        <f>B29</f>
        <v>111</v>
      </c>
      <c r="C94" s="549"/>
      <c r="D94" s="549"/>
      <c r="E94" s="549"/>
      <c r="F94" s="549"/>
      <c r="G94" s="578"/>
      <c r="H94" s="578"/>
      <c r="I94" s="578"/>
      <c r="J94" s="578"/>
      <c r="K94" s="579"/>
      <c r="L94" s="580"/>
      <c r="M94" s="581"/>
      <c r="N94" s="1150"/>
      <c r="O94" s="1150"/>
      <c r="P94" s="2630"/>
      <c r="Q94" s="499"/>
    </row>
    <row r="95" spans="1:17" ht="15.75" thickBot="1">
      <c r="A95" s="529"/>
      <c r="B95" s="538"/>
      <c r="C95" s="555"/>
      <c r="D95" s="531"/>
      <c r="E95" s="531"/>
      <c r="F95" s="531"/>
      <c r="G95" s="531"/>
      <c r="H95" s="531"/>
      <c r="I95" s="531"/>
      <c r="J95" s="531"/>
      <c r="K95" s="531"/>
      <c r="L95" s="531"/>
      <c r="M95" s="532"/>
      <c r="N95" s="1151"/>
      <c r="O95" s="1151"/>
      <c r="P95" s="2630"/>
      <c r="Q95" s="499"/>
    </row>
    <row r="96" spans="1:17" ht="15.75" thickTop="1">
      <c r="A96" s="529"/>
      <c r="B96" s="533">
        <f>B30</f>
        <v>111</v>
      </c>
      <c r="C96" s="549"/>
      <c r="D96" s="549"/>
      <c r="E96" s="549"/>
      <c r="F96" s="549"/>
      <c r="G96" s="578"/>
      <c r="H96" s="578"/>
      <c r="I96" s="578"/>
      <c r="J96" s="578"/>
      <c r="K96" s="579"/>
      <c r="L96" s="580"/>
      <c r="M96" s="581"/>
      <c r="N96" s="1150"/>
      <c r="O96" s="1150"/>
      <c r="P96" s="2630"/>
      <c r="Q96" s="499"/>
    </row>
    <row r="97" spans="1:17" ht="15.75" thickBot="1">
      <c r="A97" s="529"/>
      <c r="B97" s="538"/>
      <c r="C97" s="555"/>
      <c r="D97" s="531"/>
      <c r="E97" s="531"/>
      <c r="F97" s="531"/>
      <c r="G97" s="531"/>
      <c r="H97" s="531"/>
      <c r="I97" s="531"/>
      <c r="J97" s="531"/>
      <c r="K97" s="531"/>
      <c r="L97" s="531"/>
      <c r="M97" s="532"/>
      <c r="N97" s="1151"/>
      <c r="O97" s="1151"/>
      <c r="P97" s="2630"/>
      <c r="Q97" s="499"/>
    </row>
    <row r="98" spans="1:17" ht="15.75" thickTop="1">
      <c r="A98" s="529"/>
      <c r="B98" s="541">
        <f>B31</f>
        <v>111</v>
      </c>
      <c r="C98" s="549"/>
      <c r="D98" s="549"/>
      <c r="E98" s="549"/>
      <c r="F98" s="549"/>
      <c r="G98" s="582"/>
      <c r="H98" s="582"/>
      <c r="I98" s="582"/>
      <c r="J98" s="582"/>
      <c r="K98" s="583"/>
      <c r="L98" s="584"/>
      <c r="M98" s="585"/>
      <c r="N98" s="1150"/>
      <c r="O98" s="1150"/>
      <c r="P98" s="2630"/>
      <c r="Q98" s="499"/>
    </row>
    <row r="99" spans="1:17" ht="15.75" thickBot="1">
      <c r="A99" s="2636"/>
      <c r="B99" s="564"/>
      <c r="C99" s="565"/>
      <c r="D99" s="565"/>
      <c r="E99" s="565"/>
      <c r="F99" s="565"/>
      <c r="G99" s="586"/>
      <c r="H99" s="586"/>
      <c r="I99" s="586"/>
      <c r="J99" s="586"/>
      <c r="K99" s="586"/>
      <c r="L99" s="586"/>
      <c r="M99" s="587"/>
      <c r="N99" s="1151"/>
      <c r="O99" s="1151"/>
      <c r="P99" s="2630"/>
      <c r="Q99" s="499"/>
    </row>
    <row r="100" spans="1:17">
      <c r="A100" s="522" t="s">
        <v>2565</v>
      </c>
      <c r="B100" s="523" t="s">
        <v>2683</v>
      </c>
      <c r="C100" s="525"/>
      <c r="D100" s="525"/>
      <c r="E100" s="525"/>
      <c r="F100" s="525"/>
      <c r="G100" s="525"/>
      <c r="H100" s="525"/>
      <c r="I100" s="525"/>
      <c r="J100" s="525"/>
      <c r="K100" s="526"/>
      <c r="L100" s="527"/>
      <c r="M100" s="528"/>
      <c r="N100" s="1150"/>
      <c r="O100" s="1150"/>
      <c r="P100" s="2630"/>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51"/>
      <c r="O101" s="1151"/>
      <c r="P101" s="2630"/>
      <c r="Q101" s="499"/>
    </row>
    <row r="102" spans="1:17" ht="15.75" thickTop="1">
      <c r="A102" s="529"/>
      <c r="B102" s="533" t="s">
        <v>2615</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9"/>
      <c r="O102" s="1149"/>
      <c r="P102" s="2630"/>
      <c r="Q102" s="499"/>
    </row>
    <row r="103" spans="1:17" s="466" customFormat="1">
      <c r="A103" s="588"/>
      <c r="B103" s="589"/>
      <c r="C103" s="590"/>
      <c r="D103" s="590"/>
      <c r="E103" s="590"/>
      <c r="F103" s="590"/>
      <c r="G103" s="590"/>
      <c r="H103" s="590"/>
      <c r="I103" s="590"/>
      <c r="J103" s="591"/>
      <c r="K103" s="591"/>
      <c r="L103" s="592"/>
      <c r="M103" s="593"/>
      <c r="N103" s="1152"/>
      <c r="O103" s="1152"/>
      <c r="P103" s="2631"/>
      <c r="Q103" s="554"/>
    </row>
    <row r="104" spans="1:17" s="466" customFormat="1" ht="15.75" thickBot="1">
      <c r="A104" s="548"/>
      <c r="B104" s="538"/>
      <c r="C104" s="555"/>
      <c r="D104" s="531"/>
      <c r="E104" s="531"/>
      <c r="F104" s="531"/>
      <c r="G104" s="531"/>
      <c r="H104" s="531"/>
      <c r="I104" s="531"/>
      <c r="J104" s="531"/>
      <c r="K104" s="531"/>
      <c r="L104" s="531"/>
      <c r="M104" s="532"/>
      <c r="N104" s="1151"/>
      <c r="O104" s="1151"/>
      <c r="P104" s="2631"/>
      <c r="Q104" s="554"/>
    </row>
    <row r="105" spans="1:17" ht="15" thickTop="1">
      <c r="A105" s="594"/>
      <c r="B105" s="533" t="s">
        <v>2616</v>
      </c>
      <c r="C105" s="549"/>
      <c r="D105" s="549"/>
      <c r="E105" s="578"/>
      <c r="F105" s="578"/>
      <c r="G105" s="578"/>
      <c r="H105" s="578"/>
      <c r="I105" s="578"/>
      <c r="J105" s="578"/>
      <c r="K105" s="579"/>
      <c r="L105" s="580"/>
      <c r="M105" s="581"/>
      <c r="N105" s="1150"/>
      <c r="O105" s="1150"/>
      <c r="P105" s="2630"/>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51"/>
      <c r="O106" s="1151"/>
      <c r="P106" s="2630"/>
      <c r="Q106" s="499"/>
    </row>
    <row r="107" spans="1:17" ht="15" thickTop="1">
      <c r="A107" s="594"/>
      <c r="B107" s="533" t="s">
        <v>2618</v>
      </c>
      <c r="C107" s="549"/>
      <c r="D107" s="549"/>
      <c r="E107" s="549"/>
      <c r="F107" s="578"/>
      <c r="G107" s="578"/>
      <c r="H107" s="578"/>
      <c r="I107" s="578"/>
      <c r="J107" s="578"/>
      <c r="K107" s="579"/>
      <c r="L107" s="580"/>
      <c r="M107" s="581"/>
      <c r="N107" s="1150"/>
      <c r="O107" s="1150"/>
      <c r="P107" s="2630"/>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51"/>
      <c r="O108" s="1151"/>
      <c r="P108" s="2630"/>
      <c r="Q108" s="499"/>
    </row>
    <row r="109" spans="1:17" ht="15" thickTop="1">
      <c r="A109" s="594"/>
      <c r="B109" s="533" t="s">
        <v>1999</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50"/>
      <c r="O109" s="1150"/>
      <c r="P109" s="2630"/>
      <c r="Q109" s="499"/>
    </row>
    <row r="110" spans="1:17">
      <c r="A110" s="594"/>
      <c r="B110" s="541"/>
      <c r="C110" s="598">
        <v>0.5</v>
      </c>
      <c r="D110" s="598">
        <v>0.6</v>
      </c>
      <c r="E110" s="598">
        <v>0.7</v>
      </c>
      <c r="F110" s="598">
        <v>0.8</v>
      </c>
      <c r="G110" s="598">
        <v>0.9</v>
      </c>
      <c r="H110" s="598">
        <v>1.0001</v>
      </c>
      <c r="I110" s="618"/>
      <c r="J110" s="618"/>
      <c r="K110" s="619"/>
      <c r="L110" s="620"/>
      <c r="M110" s="621"/>
      <c r="N110" s="1150"/>
      <c r="O110" s="1150"/>
      <c r="P110" s="2630"/>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51"/>
      <c r="O111" s="1151"/>
      <c r="P111" s="2630"/>
      <c r="Q111" s="499"/>
    </row>
    <row r="112" spans="1:17" s="466" customFormat="1" ht="15" thickTop="1">
      <c r="A112" s="588"/>
      <c r="B112" s="533" t="s">
        <v>2620</v>
      </c>
      <c r="C112" s="549"/>
      <c r="D112" s="549"/>
      <c r="E112" s="549"/>
      <c r="F112" s="549"/>
      <c r="G112" s="549"/>
      <c r="H112" s="578"/>
      <c r="I112" s="578"/>
      <c r="J112" s="578"/>
      <c r="K112" s="579"/>
      <c r="L112" s="580"/>
      <c r="M112" s="581"/>
      <c r="N112" s="1152"/>
      <c r="O112" s="1152"/>
      <c r="P112" s="2631"/>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52"/>
      <c r="O113" s="1152"/>
      <c r="P113" s="2631"/>
      <c r="Q113" s="554"/>
    </row>
    <row r="114" spans="1:17" ht="15" thickTop="1">
      <c r="A114" s="594"/>
      <c r="B114" s="533" t="s">
        <v>2684</v>
      </c>
      <c r="C114" s="549"/>
      <c r="D114" s="549"/>
      <c r="E114" s="578"/>
      <c r="F114" s="578"/>
      <c r="G114" s="578"/>
      <c r="H114" s="578"/>
      <c r="I114" s="578"/>
      <c r="J114" s="578"/>
      <c r="K114" s="579"/>
      <c r="L114" s="580"/>
      <c r="M114" s="581"/>
      <c r="N114" s="1150"/>
      <c r="O114" s="1150"/>
      <c r="P114" s="2630"/>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2630"/>
      <c r="Q115" s="499"/>
    </row>
    <row r="116" spans="1:17" ht="15" thickTop="1">
      <c r="A116" s="594"/>
      <c r="B116" s="533" t="s">
        <v>2685</v>
      </c>
      <c r="C116" s="549"/>
      <c r="D116" s="549"/>
      <c r="E116" s="549"/>
      <c r="F116" s="549"/>
      <c r="G116" s="549"/>
      <c r="H116" s="578"/>
      <c r="I116" s="578"/>
      <c r="J116" s="578"/>
      <c r="K116" s="579"/>
      <c r="L116" s="580"/>
      <c r="M116" s="581"/>
      <c r="N116" s="1150"/>
      <c r="O116" s="1150"/>
      <c r="P116" s="2630"/>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51"/>
      <c r="O117" s="1151"/>
      <c r="P117" s="2630"/>
      <c r="Q117" s="499"/>
    </row>
    <row r="118" spans="1:17" ht="15" thickTop="1">
      <c r="A118" s="594"/>
      <c r="B118" s="533" t="s">
        <v>2686</v>
      </c>
      <c r="C118" s="622"/>
      <c r="D118" s="622"/>
      <c r="E118" s="622"/>
      <c r="F118" s="622"/>
      <c r="G118" s="622"/>
      <c r="H118" s="550"/>
      <c r="I118" s="550"/>
      <c r="J118" s="550"/>
      <c r="K118" s="550"/>
      <c r="L118" s="551"/>
      <c r="M118" s="552"/>
      <c r="N118" s="1150"/>
      <c r="O118" s="1150"/>
      <c r="P118" s="2630"/>
      <c r="Q118" s="499"/>
    </row>
    <row r="119" spans="1:17" ht="15.75" thickBot="1">
      <c r="A119" s="529"/>
      <c r="B119" s="538"/>
      <c r="C119" s="555"/>
      <c r="D119" s="531"/>
      <c r="E119" s="531"/>
      <c r="F119" s="531"/>
      <c r="G119" s="531"/>
      <c r="H119" s="531"/>
      <c r="I119" s="531"/>
      <c r="J119" s="531"/>
      <c r="K119" s="531"/>
      <c r="L119" s="531"/>
      <c r="M119" s="532"/>
      <c r="N119" s="1151"/>
      <c r="O119" s="1151"/>
      <c r="P119" s="2630"/>
      <c r="Q119" s="499"/>
    </row>
    <row r="120" spans="1:17" s="466" customFormat="1" ht="15" thickTop="1">
      <c r="A120" s="588"/>
      <c r="B120" s="533" t="s">
        <v>2687</v>
      </c>
      <c r="C120" s="578"/>
      <c r="D120" s="578"/>
      <c r="E120" s="578"/>
      <c r="F120" s="578"/>
      <c r="G120" s="550"/>
      <c r="H120" s="550"/>
      <c r="I120" s="550"/>
      <c r="J120" s="550"/>
      <c r="K120" s="550"/>
      <c r="L120" s="551"/>
      <c r="M120" s="552"/>
      <c r="N120" s="1152"/>
      <c r="O120" s="1152"/>
      <c r="P120" s="2631"/>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52"/>
      <c r="O121" s="1152"/>
      <c r="P121" s="2631"/>
      <c r="Q121" s="554"/>
    </row>
    <row r="122" spans="1:17" ht="15" thickTop="1">
      <c r="A122" s="594"/>
      <c r="B122" s="533" t="s">
        <v>2622</v>
      </c>
      <c r="C122" s="549"/>
      <c r="D122" s="549"/>
      <c r="E122" s="549"/>
      <c r="F122" s="578"/>
      <c r="G122" s="578"/>
      <c r="H122" s="578"/>
      <c r="I122" s="578"/>
      <c r="J122" s="578"/>
      <c r="K122" s="579"/>
      <c r="L122" s="580"/>
      <c r="M122" s="581"/>
      <c r="N122" s="1150"/>
      <c r="O122" s="1150"/>
      <c r="P122" s="2630"/>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51"/>
      <c r="O123" s="1151"/>
      <c r="P123" s="2630"/>
      <c r="Q123" s="499"/>
    </row>
    <row r="124" spans="1:17" ht="15" thickTop="1">
      <c r="A124" s="594"/>
      <c r="B124" s="533" t="s">
        <v>2623</v>
      </c>
      <c r="C124" s="573" t="s">
        <v>2599</v>
      </c>
      <c r="D124" s="573" t="s">
        <v>2600</v>
      </c>
      <c r="E124" s="573" t="s">
        <v>2601</v>
      </c>
      <c r="F124" s="573" t="s">
        <v>2602</v>
      </c>
      <c r="G124" s="573" t="s">
        <v>2603</v>
      </c>
      <c r="H124" s="534"/>
      <c r="I124" s="534"/>
      <c r="J124" s="534"/>
      <c r="K124" s="535"/>
      <c r="L124" s="536"/>
      <c r="M124" s="537"/>
      <c r="N124" s="1150"/>
      <c r="O124" s="1150"/>
      <c r="P124" s="2631"/>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51"/>
      <c r="O125" s="1151"/>
      <c r="P125" s="2630"/>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31"/>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31"/>
      <c r="Q127" s="554"/>
    </row>
    <row r="128" spans="1:17" ht="15" thickTop="1">
      <c r="A128" s="594"/>
      <c r="B128" s="533">
        <f>B45</f>
        <v>111</v>
      </c>
      <c r="C128" s="549"/>
      <c r="D128" s="549"/>
      <c r="E128" s="549"/>
      <c r="F128" s="549"/>
      <c r="G128" s="578"/>
      <c r="H128" s="578"/>
      <c r="I128" s="578"/>
      <c r="J128" s="578"/>
      <c r="K128" s="579"/>
      <c r="L128" s="580"/>
      <c r="M128" s="581"/>
      <c r="N128" s="1150"/>
      <c r="O128" s="1150"/>
      <c r="P128" s="2630"/>
      <c r="Q128" s="499"/>
    </row>
    <row r="129" spans="1:17" ht="15.75" thickBot="1">
      <c r="A129" s="529"/>
      <c r="B129" s="538"/>
      <c r="C129" s="555"/>
      <c r="D129" s="531"/>
      <c r="E129" s="531"/>
      <c r="F129" s="531"/>
      <c r="G129" s="531"/>
      <c r="H129" s="531"/>
      <c r="I129" s="531"/>
      <c r="J129" s="531"/>
      <c r="K129" s="531"/>
      <c r="L129" s="531"/>
      <c r="M129" s="532"/>
      <c r="N129" s="1151"/>
      <c r="O129" s="1151"/>
      <c r="P129" s="2630"/>
      <c r="Q129" s="499"/>
    </row>
    <row r="130" spans="1:17" ht="15" thickTop="1">
      <c r="A130" s="594"/>
      <c r="B130" s="541">
        <f>B46</f>
        <v>111</v>
      </c>
      <c r="C130" s="549"/>
      <c r="D130" s="549"/>
      <c r="E130" s="549"/>
      <c r="F130" s="549"/>
      <c r="G130" s="582"/>
      <c r="H130" s="582"/>
      <c r="I130" s="582"/>
      <c r="J130" s="582"/>
      <c r="K130" s="518"/>
      <c r="L130" s="519"/>
      <c r="M130" s="585"/>
      <c r="N130" s="1150"/>
      <c r="O130" s="1150"/>
      <c r="P130" s="2630"/>
      <c r="Q130" s="499"/>
    </row>
    <row r="131" spans="1:17" ht="15.75" thickBot="1">
      <c r="A131" s="2636"/>
      <c r="B131" s="564"/>
      <c r="C131" s="565"/>
      <c r="D131" s="565"/>
      <c r="E131" s="565"/>
      <c r="F131" s="565"/>
      <c r="G131" s="586"/>
      <c r="H131" s="586"/>
      <c r="I131" s="586"/>
      <c r="J131" s="586"/>
      <c r="K131" s="586"/>
      <c r="L131" s="586"/>
      <c r="M131" s="587"/>
      <c r="N131" s="1151"/>
      <c r="O131" s="1151"/>
      <c r="P131" s="2630"/>
      <c r="Q131"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11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2531</v>
      </c>
      <c r="B1" s="2669" t="s">
        <v>2688</v>
      </c>
      <c r="C1" s="1617" t="s">
        <v>2533</v>
      </c>
      <c r="D1" s="1618"/>
      <c r="E1" s="1627"/>
      <c r="F1" s="2584"/>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2330</v>
      </c>
      <c r="B2" s="1415" t="e">
        <f ca="1">IF(C2="——",ROUND(C50*D3/10000,0),ROUND(C50*D3/10000,0)-D2)</f>
        <v>#DIV/0!</v>
      </c>
      <c r="C2" s="2586"/>
      <c r="D2" s="1363" t="e">
        <f ca="1">SUMIF(INDIRECT("'"&amp;F2&amp;"'"&amp;"!A:A"),"承租人权益价值",INDIRECT("'"&amp;F2&amp;"'"&amp;"!c:c"))</f>
        <v>#REF!</v>
      </c>
      <c r="E2" s="2587" t="s">
        <v>2331</v>
      </c>
      <c r="F2" s="2588"/>
      <c r="G2" s="1123"/>
      <c r="H2" s="1123"/>
      <c r="I2" s="1123"/>
      <c r="J2" s="1123"/>
      <c r="K2" s="1123"/>
      <c r="L2" s="1126"/>
      <c r="M2" s="1127"/>
      <c r="N2" s="1127"/>
      <c r="O2" s="1127"/>
      <c r="P2" s="763"/>
      <c r="Q2" s="763"/>
      <c r="R2" s="763"/>
      <c r="S2" s="763"/>
      <c r="T2" s="763"/>
      <c r="U2" s="763"/>
      <c r="V2" s="763"/>
      <c r="W2" s="763"/>
      <c r="X2" s="763"/>
      <c r="Y2" s="763"/>
      <c r="Z2" s="763"/>
      <c r="AA2" s="763"/>
      <c r="AB2" s="763"/>
      <c r="AC2" s="764"/>
    </row>
    <row r="3" spans="1:29" s="395" customFormat="1" ht="28.5" customHeight="1" thickBot="1">
      <c r="A3" s="244" t="s">
        <v>2332</v>
      </c>
      <c r="B3" s="604" t="e">
        <f ca="1">IF(C2="——",C50,ROUND(B2*10000/D3,0))</f>
        <v>#DIV/0!</v>
      </c>
      <c r="C3" s="397" t="s">
        <v>2646</v>
      </c>
      <c r="D3" s="396">
        <f>IF(D1="",'数据-汇总表'!E3,SUMIF('数据-汇总表'!$C19:$C33,D1,'数据-汇总表'!$E19:$E33))</f>
        <v>1</v>
      </c>
      <c r="E3" s="2663"/>
      <c r="F3" s="1124"/>
      <c r="G3" s="1123"/>
      <c r="H3" s="1123"/>
      <c r="I3" s="1123"/>
      <c r="J3" s="1123"/>
      <c r="K3" s="1125"/>
      <c r="L3" s="1126"/>
      <c r="M3" s="1127"/>
      <c r="N3" s="1127"/>
      <c r="O3" s="1127"/>
      <c r="P3" s="763"/>
      <c r="Q3" s="763"/>
      <c r="R3" s="763"/>
      <c r="S3" s="763"/>
      <c r="T3" s="763"/>
      <c r="U3" s="763"/>
      <c r="V3" s="763"/>
      <c r="W3" s="763"/>
      <c r="X3" s="763"/>
      <c r="Y3" s="763"/>
      <c r="Z3" s="763"/>
      <c r="AA3" s="763"/>
      <c r="AB3" s="763"/>
      <c r="AC3" s="764"/>
    </row>
    <row r="4" spans="1:29" ht="15">
      <c r="A4" s="398" t="s">
        <v>2647</v>
      </c>
      <c r="B4" s="399"/>
      <c r="C4" s="3330" t="s">
        <v>2648</v>
      </c>
      <c r="D4" s="3331"/>
      <c r="E4" s="3332" t="s">
        <v>2649</v>
      </c>
      <c r="F4" s="3333"/>
      <c r="G4" s="3330" t="s">
        <v>2650</v>
      </c>
      <c r="H4" s="3331"/>
      <c r="I4" s="3330" t="s">
        <v>2651</v>
      </c>
      <c r="J4" s="3331"/>
      <c r="K4" s="605" t="s">
        <v>2652</v>
      </c>
      <c r="L4" s="1128"/>
      <c r="M4" s="1129"/>
      <c r="N4" s="1129"/>
      <c r="O4" s="1129"/>
      <c r="P4" s="3395" t="s">
        <v>2653</v>
      </c>
      <c r="Q4" s="3396"/>
      <c r="R4" s="3399" t="s">
        <v>2649</v>
      </c>
      <c r="S4" s="3400"/>
      <c r="T4" s="3399" t="s">
        <v>2650</v>
      </c>
      <c r="U4" s="3400"/>
      <c r="V4" s="3401" t="s">
        <v>2651</v>
      </c>
      <c r="W4" s="3401"/>
      <c r="X4" s="2670"/>
      <c r="Y4" s="3399" t="s">
        <v>2653</v>
      </c>
      <c r="Z4" s="3400"/>
      <c r="AA4" s="3403" t="s">
        <v>2649</v>
      </c>
      <c r="AB4" s="3403" t="s">
        <v>2650</v>
      </c>
      <c r="AC4" s="3392" t="s">
        <v>2651</v>
      </c>
    </row>
    <row r="5" spans="1:29" ht="15">
      <c r="A5" s="401"/>
      <c r="B5" s="402"/>
      <c r="C5" s="3386" t="s">
        <v>2544</v>
      </c>
      <c r="D5" s="3355"/>
      <c r="E5" s="3388" t="s">
        <v>2545</v>
      </c>
      <c r="F5" s="3350"/>
      <c r="G5" s="3386" t="s">
        <v>2546</v>
      </c>
      <c r="H5" s="3355"/>
      <c r="I5" s="3386" t="s">
        <v>2547</v>
      </c>
      <c r="J5" s="3355"/>
      <c r="K5" s="605"/>
      <c r="L5" s="1128"/>
      <c r="M5" s="1129"/>
      <c r="N5" s="1129"/>
      <c r="O5" s="1129"/>
      <c r="P5" s="3397"/>
      <c r="Q5" s="3337"/>
      <c r="R5" s="3342"/>
      <c r="S5" s="3343"/>
      <c r="T5" s="3342"/>
      <c r="U5" s="3343"/>
      <c r="V5" s="3346"/>
      <c r="W5" s="3346"/>
      <c r="X5" s="1810"/>
      <c r="Y5" s="3342"/>
      <c r="Z5" s="3343"/>
      <c r="AA5" s="3328"/>
      <c r="AB5" s="3328"/>
      <c r="AC5" s="3393"/>
    </row>
    <row r="6" spans="1:29" ht="15.75" thickBot="1">
      <c r="A6" s="403"/>
      <c r="B6" s="404"/>
      <c r="C6" s="3385" t="s">
        <v>2548</v>
      </c>
      <c r="D6" s="3357"/>
      <c r="E6" s="3387" t="s">
        <v>2548</v>
      </c>
      <c r="F6" s="3348"/>
      <c r="G6" s="3385" t="s">
        <v>2548</v>
      </c>
      <c r="H6" s="3357"/>
      <c r="I6" s="3385" t="s">
        <v>2548</v>
      </c>
      <c r="J6" s="3357"/>
      <c r="K6" s="605" t="s">
        <v>2549</v>
      </c>
      <c r="L6" s="1128"/>
      <c r="M6" s="1129"/>
      <c r="N6" s="1129"/>
      <c r="O6" s="1129"/>
      <c r="P6" s="3398"/>
      <c r="Q6" s="3339"/>
      <c r="R6" s="3342"/>
      <c r="S6" s="3343"/>
      <c r="T6" s="3344"/>
      <c r="U6" s="3345"/>
      <c r="V6" s="3346"/>
      <c r="W6" s="3346"/>
      <c r="X6" s="1810"/>
      <c r="Y6" s="3344"/>
      <c r="Z6" s="3345"/>
      <c r="AA6" s="3329"/>
      <c r="AB6" s="3329"/>
      <c r="AC6" s="3394"/>
    </row>
    <row r="7" spans="1:29" s="116" customFormat="1" ht="15.75" thickBot="1">
      <c r="A7" s="405" t="s">
        <v>2550</v>
      </c>
      <c r="B7" s="406"/>
      <c r="C7" s="407">
        <f>'数据-取费表'!B2</f>
        <v>43621</v>
      </c>
      <c r="D7" s="408">
        <v>100</v>
      </c>
      <c r="E7" s="409"/>
      <c r="F7" s="410">
        <f>SUMIF(59:59,YEAR(E7)&amp;"-"&amp;MONTH(E7),60:60)</f>
        <v>0</v>
      </c>
      <c r="G7" s="409"/>
      <c r="H7" s="408">
        <f>SUMIF(59:59,YEAR(G7)&amp;"-"&amp;MONTH(G7),60:60)</f>
        <v>0</v>
      </c>
      <c r="I7" s="409"/>
      <c r="J7" s="408">
        <f>SUMIF(59:59,YEAR(I7)&amp;"-"&amp;MONTH(I7),60:60)</f>
        <v>0</v>
      </c>
      <c r="K7" s="606"/>
      <c r="L7" s="1130"/>
      <c r="M7" s="1131"/>
      <c r="N7" s="1131"/>
      <c r="O7" s="1131"/>
      <c r="P7" s="3402" t="s">
        <v>2551</v>
      </c>
      <c r="Q7" s="3353"/>
      <c r="R7" s="765" t="s">
        <v>17</v>
      </c>
      <c r="S7" s="766">
        <f t="shared" ref="S7:S15" si="0">F7</f>
        <v>0</v>
      </c>
      <c r="T7" s="765" t="s">
        <v>17</v>
      </c>
      <c r="U7" s="766">
        <f t="shared" ref="U7:U15" si="1">H7</f>
        <v>0</v>
      </c>
      <c r="V7" s="765" t="s">
        <v>17</v>
      </c>
      <c r="W7" s="766">
        <f t="shared" ref="W7:W15" si="2">J7</f>
        <v>0</v>
      </c>
      <c r="X7" s="767"/>
      <c r="Y7" s="3351" t="s">
        <v>2551</v>
      </c>
      <c r="Z7" s="3352"/>
      <c r="AA7" s="768" t="e">
        <f>D7/F7</f>
        <v>#DIV/0!</v>
      </c>
      <c r="AB7" s="768" t="e">
        <f>D7/H7</f>
        <v>#DIV/0!</v>
      </c>
      <c r="AC7" s="2671" t="e">
        <f>D7/J7</f>
        <v>#DIV/0!</v>
      </c>
    </row>
    <row r="8" spans="1:29" s="116" customFormat="1" ht="15.75" thickBot="1">
      <c r="A8" s="405" t="s">
        <v>2552</v>
      </c>
      <c r="B8" s="406"/>
      <c r="C8" s="411" t="s">
        <v>2654</v>
      </c>
      <c r="D8" s="408">
        <v>100</v>
      </c>
      <c r="E8" s="411"/>
      <c r="F8" s="410">
        <f>SUMIF(62:62,E8,63:63)-SUMIF(62:62,C8,63:63)+100</f>
        <v>0</v>
      </c>
      <c r="G8" s="411"/>
      <c r="H8" s="408">
        <f>SUMIF(62:62,G8,63:63)-SUMIF(62:62,C8,63:63)+100</f>
        <v>0</v>
      </c>
      <c r="I8" s="411"/>
      <c r="J8" s="408">
        <f>SUMIF(62:62,I8,63:63)-SUMIF(62:62,C8,63:63)+100</f>
        <v>0</v>
      </c>
      <c r="K8" s="606"/>
      <c r="L8" s="1130"/>
      <c r="M8" s="1131"/>
      <c r="N8" s="1131"/>
      <c r="O8" s="1131"/>
      <c r="P8" s="3402" t="s">
        <v>2554</v>
      </c>
      <c r="Q8" s="3352"/>
      <c r="R8" s="765" t="s">
        <v>17</v>
      </c>
      <c r="S8" s="766">
        <f t="shared" si="0"/>
        <v>0</v>
      </c>
      <c r="T8" s="765" t="s">
        <v>17</v>
      </c>
      <c r="U8" s="766">
        <f t="shared" si="1"/>
        <v>0</v>
      </c>
      <c r="V8" s="765" t="s">
        <v>17</v>
      </c>
      <c r="W8" s="766">
        <f t="shared" si="2"/>
        <v>0</v>
      </c>
      <c r="X8" s="767"/>
      <c r="Y8" s="3351" t="s">
        <v>2554</v>
      </c>
      <c r="Z8" s="3352"/>
      <c r="AA8" s="768" t="e">
        <f t="shared" ref="AA8:AA47" si="3">D8/F8</f>
        <v>#DIV/0!</v>
      </c>
      <c r="AB8" s="768" t="e">
        <f t="shared" ref="AB8:AB47" si="4">D8/H8</f>
        <v>#DIV/0!</v>
      </c>
      <c r="AC8" s="2671" t="e">
        <f t="shared" ref="AC8:AC47" si="5">D8/J8</f>
        <v>#DIV/0!</v>
      </c>
    </row>
    <row r="9" spans="1:29" s="116" customFormat="1">
      <c r="A9" s="412" t="s">
        <v>2555</v>
      </c>
      <c r="B9" s="71" t="s">
        <v>2556</v>
      </c>
      <c r="C9" s="413"/>
      <c r="D9" s="132">
        <v>100</v>
      </c>
      <c r="E9" s="416"/>
      <c r="F9" s="132">
        <f>SUMIF(64:64,E9,65:65)-SUMIF(64:64,C9,65:65)+100</f>
        <v>100</v>
      </c>
      <c r="G9" s="414"/>
      <c r="H9" s="132">
        <f>SUMIF(64:64,G9,65:65)-SUMIF(64:64,C9,65:65)+100</f>
        <v>100</v>
      </c>
      <c r="I9" s="414"/>
      <c r="J9" s="132">
        <f>SUMIF(64:64,I9,65:65)-SUMIF(64:64,C9,65:65)+100</f>
        <v>100</v>
      </c>
      <c r="K9" s="606"/>
      <c r="L9" s="1130"/>
      <c r="M9" s="1131"/>
      <c r="N9" s="1131"/>
      <c r="O9" s="1131"/>
      <c r="P9" s="3326" t="s">
        <v>2557</v>
      </c>
      <c r="Q9" s="1792" t="str">
        <f t="shared" ref="Q9:Q15" si="6">B9</f>
        <v>用途</v>
      </c>
      <c r="R9" s="765" t="s">
        <v>17</v>
      </c>
      <c r="S9" s="766">
        <f t="shared" si="0"/>
        <v>100</v>
      </c>
      <c r="T9" s="765" t="s">
        <v>17</v>
      </c>
      <c r="U9" s="766">
        <f t="shared" si="1"/>
        <v>100</v>
      </c>
      <c r="V9" s="765" t="s">
        <v>17</v>
      </c>
      <c r="W9" s="766">
        <f t="shared" si="2"/>
        <v>100</v>
      </c>
      <c r="X9" s="767"/>
      <c r="Y9" s="3167" t="s">
        <v>2558</v>
      </c>
      <c r="Z9" s="55" t="str">
        <f t="shared" ref="Z9:Z15" si="7">Q9</f>
        <v>用途</v>
      </c>
      <c r="AA9" s="768">
        <f t="shared" si="3"/>
        <v>1</v>
      </c>
      <c r="AB9" s="768">
        <f t="shared" si="4"/>
        <v>1</v>
      </c>
      <c r="AC9" s="2671">
        <f t="shared" si="5"/>
        <v>1</v>
      </c>
    </row>
    <row r="10" spans="1:29" s="424" customFormat="1" ht="27">
      <c r="A10" s="418"/>
      <c r="B10" s="419" t="s">
        <v>2559</v>
      </c>
      <c r="C10" s="420"/>
      <c r="D10" s="133">
        <v>100</v>
      </c>
      <c r="E10" s="420"/>
      <c r="F10" s="133">
        <f>SUMIF(66:66,E10,67:67)-SUMIF(66:66,C10,67:67)+100</f>
        <v>100</v>
      </c>
      <c r="G10" s="421"/>
      <c r="H10" s="133">
        <f>SUMIF(66:66,G10,67:67)-SUMIF(66:66,C10,67:67)+100</f>
        <v>100</v>
      </c>
      <c r="I10" s="420"/>
      <c r="J10" s="133">
        <f>SUMIF(66:66,I10,67:67)-SUMIF(66:66,C10,67:67)+100</f>
        <v>100</v>
      </c>
      <c r="K10" s="607"/>
      <c r="L10" s="1133"/>
      <c r="M10" s="1134"/>
      <c r="N10" s="1134"/>
      <c r="O10" s="1134"/>
      <c r="P10" s="3326"/>
      <c r="Q10" s="1792" t="str">
        <f t="shared" si="6"/>
        <v>土地使用年限（年）</v>
      </c>
      <c r="R10" s="765" t="s">
        <v>17</v>
      </c>
      <c r="S10" s="766">
        <f t="shared" si="0"/>
        <v>100</v>
      </c>
      <c r="T10" s="765" t="s">
        <v>17</v>
      </c>
      <c r="U10" s="766">
        <f t="shared" si="1"/>
        <v>100</v>
      </c>
      <c r="V10" s="765" t="s">
        <v>17</v>
      </c>
      <c r="W10" s="766">
        <f t="shared" si="2"/>
        <v>100</v>
      </c>
      <c r="X10" s="767"/>
      <c r="Y10" s="3167"/>
      <c r="Z10" s="55" t="str">
        <f t="shared" si="7"/>
        <v>土地使用年限（年）</v>
      </c>
      <c r="AA10" s="768">
        <f t="shared" si="3"/>
        <v>1</v>
      </c>
      <c r="AB10" s="768">
        <f t="shared" si="4"/>
        <v>1</v>
      </c>
      <c r="AC10" s="2671">
        <f t="shared" si="5"/>
        <v>1</v>
      </c>
    </row>
    <row r="11" spans="1:29" ht="15">
      <c r="A11" s="425"/>
      <c r="B11" s="419" t="s">
        <v>2560</v>
      </c>
      <c r="C11" s="426"/>
      <c r="D11" s="133">
        <v>100</v>
      </c>
      <c r="E11" s="426"/>
      <c r="F11" s="133" t="e">
        <f>LOOKUP(E11,69:69,70:70)-LOOKUP(C11,69:69,70:70)+100</f>
        <v>#N/A</v>
      </c>
      <c r="G11" s="427"/>
      <c r="H11" s="133" t="e">
        <f>LOOKUP(G11,69:69,70:70)-LOOKUP(C11,69:69,70:70)+100</f>
        <v>#N/A</v>
      </c>
      <c r="I11" s="426"/>
      <c r="J11" s="133" t="e">
        <f>LOOKUP(I11,69:69,70:70)-LOOKUP(C11,69:69,70:70)+100</f>
        <v>#N/A</v>
      </c>
      <c r="K11" s="607"/>
      <c r="L11" s="1136"/>
      <c r="M11" s="1129"/>
      <c r="N11" s="1129"/>
      <c r="O11" s="1129"/>
      <c r="P11" s="3326"/>
      <c r="Q11" s="1792" t="str">
        <f t="shared" si="6"/>
        <v>容积率</v>
      </c>
      <c r="R11" s="765" t="s">
        <v>17</v>
      </c>
      <c r="S11" s="766" t="e">
        <f t="shared" si="0"/>
        <v>#N/A</v>
      </c>
      <c r="T11" s="765" t="s">
        <v>17</v>
      </c>
      <c r="U11" s="766" t="e">
        <f t="shared" si="1"/>
        <v>#N/A</v>
      </c>
      <c r="V11" s="765" t="s">
        <v>17</v>
      </c>
      <c r="W11" s="766" t="e">
        <f t="shared" si="2"/>
        <v>#N/A</v>
      </c>
      <c r="X11" s="767"/>
      <c r="Y11" s="3167"/>
      <c r="Z11" s="55" t="str">
        <f t="shared" si="7"/>
        <v>容积率</v>
      </c>
      <c r="AA11" s="768" t="e">
        <f t="shared" si="3"/>
        <v>#N/A</v>
      </c>
      <c r="AB11" s="768" t="e">
        <f t="shared" si="4"/>
        <v>#N/A</v>
      </c>
      <c r="AC11" s="2671" t="e">
        <f t="shared" si="5"/>
        <v>#N/A</v>
      </c>
    </row>
    <row r="12" spans="1:29" s="116" customFormat="1" ht="15">
      <c r="A12" s="428"/>
      <c r="B12" s="2600">
        <v>111</v>
      </c>
      <c r="C12" s="429"/>
      <c r="D12" s="430">
        <v>100</v>
      </c>
      <c r="E12" s="429"/>
      <c r="F12" s="133">
        <f>SUMIF(71:71,E12,72:72)-SUMIF(71:71,C12,72:72)+100</f>
        <v>100</v>
      </c>
      <c r="G12" s="2672"/>
      <c r="H12" s="133">
        <f>SUMIF(71:71,G12,72:72)-SUMIF(71:71,C12,72:72)+100</f>
        <v>100</v>
      </c>
      <c r="I12" s="429"/>
      <c r="J12" s="133">
        <f>SUMIF(71:71,I12,72:72)-SUMIF(71:71,C12,72:72)+100</f>
        <v>100</v>
      </c>
      <c r="K12" s="608"/>
      <c r="L12" s="1130"/>
      <c r="M12" s="1131"/>
      <c r="N12" s="1131"/>
      <c r="O12" s="1131"/>
      <c r="P12" s="3326"/>
      <c r="Q12" s="1792">
        <f t="shared" si="6"/>
        <v>111</v>
      </c>
      <c r="R12" s="765" t="s">
        <v>17</v>
      </c>
      <c r="S12" s="766">
        <f t="shared" si="0"/>
        <v>100</v>
      </c>
      <c r="T12" s="765" t="s">
        <v>17</v>
      </c>
      <c r="U12" s="766">
        <f t="shared" si="1"/>
        <v>100</v>
      </c>
      <c r="V12" s="765" t="s">
        <v>17</v>
      </c>
      <c r="W12" s="766">
        <f t="shared" si="2"/>
        <v>100</v>
      </c>
      <c r="X12" s="767"/>
      <c r="Y12" s="3167"/>
      <c r="Z12" s="55">
        <f t="shared" si="7"/>
        <v>111</v>
      </c>
      <c r="AA12" s="768">
        <f>D12/F12</f>
        <v>1</v>
      </c>
      <c r="AB12" s="768">
        <f>D12/H12</f>
        <v>1</v>
      </c>
      <c r="AC12" s="2671">
        <f>D12/J12</f>
        <v>1</v>
      </c>
    </row>
    <row r="13" spans="1:29" ht="15">
      <c r="A13" s="425"/>
      <c r="B13" s="2600">
        <v>111</v>
      </c>
      <c r="C13" s="431"/>
      <c r="D13" s="432">
        <v>100</v>
      </c>
      <c r="E13" s="429"/>
      <c r="F13" s="133">
        <f>SUMIF(73:73,E13,74:74)-SUMIF(73:73,C13,74:74)+100</f>
        <v>100</v>
      </c>
      <c r="G13" s="2672"/>
      <c r="H13" s="432">
        <f>SUMIF(73:73,G13,74:74)-SUMIF(73:73,C13,74:74)+100</f>
        <v>100</v>
      </c>
      <c r="I13" s="429"/>
      <c r="J13" s="432">
        <f>SUMIF(73:73,I13,74:74)-SUMIF(73:73,C13,74:74)+100</f>
        <v>100</v>
      </c>
      <c r="K13" s="608"/>
      <c r="L13" s="1138"/>
      <c r="M13" s="1129"/>
      <c r="N13" s="1129"/>
      <c r="O13" s="1129"/>
      <c r="P13" s="3326"/>
      <c r="Q13" s="1792">
        <f t="shared" si="6"/>
        <v>111</v>
      </c>
      <c r="R13" s="765" t="s">
        <v>17</v>
      </c>
      <c r="S13" s="766">
        <f t="shared" si="0"/>
        <v>100</v>
      </c>
      <c r="T13" s="765" t="s">
        <v>17</v>
      </c>
      <c r="U13" s="766">
        <f t="shared" si="1"/>
        <v>100</v>
      </c>
      <c r="V13" s="765" t="s">
        <v>17</v>
      </c>
      <c r="W13" s="766">
        <f t="shared" si="2"/>
        <v>100</v>
      </c>
      <c r="X13" s="767"/>
      <c r="Y13" s="3167"/>
      <c r="Z13" s="55">
        <f t="shared" si="7"/>
        <v>111</v>
      </c>
      <c r="AA13" s="768">
        <f t="shared" si="3"/>
        <v>1</v>
      </c>
      <c r="AB13" s="768">
        <f t="shared" si="4"/>
        <v>1</v>
      </c>
      <c r="AC13" s="2671">
        <f t="shared" si="5"/>
        <v>1</v>
      </c>
    </row>
    <row r="14" spans="1:29" ht="15.75" thickBot="1">
      <c r="A14" s="433"/>
      <c r="B14" s="2602">
        <v>111</v>
      </c>
      <c r="C14" s="434"/>
      <c r="D14" s="435">
        <v>100</v>
      </c>
      <c r="E14" s="623"/>
      <c r="F14" s="435">
        <f>SUMIF(75:75,E14,76:76)-SUMIF(75:75,C14,76:76)+100</f>
        <v>100</v>
      </c>
      <c r="G14" s="2672"/>
      <c r="H14" s="435">
        <f>SUMIF(75:75,G14,76:76)-SUMIF(75:75,C14,76:76)+100</f>
        <v>100</v>
      </c>
      <c r="I14" s="429"/>
      <c r="J14" s="435">
        <f>SUMIF(75:75,I14,76:76)-SUMIF(75:75,C14,76:76)+100</f>
        <v>100</v>
      </c>
      <c r="K14" s="608"/>
      <c r="L14" s="1138"/>
      <c r="M14" s="1129"/>
      <c r="N14" s="1129"/>
      <c r="O14" s="1129"/>
      <c r="P14" s="3326"/>
      <c r="Q14" s="1792">
        <f t="shared" si="6"/>
        <v>111</v>
      </c>
      <c r="R14" s="765" t="s">
        <v>17</v>
      </c>
      <c r="S14" s="766">
        <f t="shared" si="0"/>
        <v>100</v>
      </c>
      <c r="T14" s="765" t="s">
        <v>17</v>
      </c>
      <c r="U14" s="766">
        <f t="shared" si="1"/>
        <v>100</v>
      </c>
      <c r="V14" s="765" t="s">
        <v>17</v>
      </c>
      <c r="W14" s="766">
        <f t="shared" si="2"/>
        <v>100</v>
      </c>
      <c r="X14" s="767"/>
      <c r="Y14" s="3167"/>
      <c r="Z14" s="55">
        <f t="shared" si="7"/>
        <v>111</v>
      </c>
      <c r="AA14" s="768">
        <f t="shared" si="3"/>
        <v>1</v>
      </c>
      <c r="AB14" s="768">
        <f t="shared" si="4"/>
        <v>1</v>
      </c>
      <c r="AC14" s="2671">
        <f t="shared" si="5"/>
        <v>1</v>
      </c>
    </row>
    <row r="15" spans="1:29" ht="71.25">
      <c r="A15" s="437" t="s">
        <v>2561</v>
      </c>
      <c r="B15" s="624" t="s">
        <v>2689</v>
      </c>
      <c r="C15" s="2673"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09"/>
      <c r="L15" s="1138"/>
      <c r="M15" s="1129"/>
      <c r="N15" s="1129"/>
      <c r="O15" s="1129"/>
      <c r="P15" s="3324" t="s">
        <v>2562</v>
      </c>
      <c r="Q15" s="1807" t="str">
        <f t="shared" si="6"/>
        <v>办公集聚程度</v>
      </c>
      <c r="R15" s="769" t="s">
        <v>17</v>
      </c>
      <c r="S15" s="770">
        <f t="shared" si="0"/>
        <v>100</v>
      </c>
      <c r="T15" s="769" t="s">
        <v>17</v>
      </c>
      <c r="U15" s="770">
        <f t="shared" si="1"/>
        <v>100</v>
      </c>
      <c r="V15" s="769" t="s">
        <v>17</v>
      </c>
      <c r="W15" s="770">
        <f t="shared" si="2"/>
        <v>100</v>
      </c>
      <c r="X15" s="1810"/>
      <c r="Y15" s="3317" t="s">
        <v>2562</v>
      </c>
      <c r="Z15" s="1811" t="str">
        <f t="shared" si="7"/>
        <v>办公集聚程度</v>
      </c>
      <c r="AA15" s="1808">
        <f t="shared" si="3"/>
        <v>1</v>
      </c>
      <c r="AB15" s="1808">
        <f t="shared" si="4"/>
        <v>1</v>
      </c>
      <c r="AC15" s="2674">
        <f t="shared" si="5"/>
        <v>1</v>
      </c>
    </row>
    <row r="16" spans="1:29" ht="15">
      <c r="A16" s="425"/>
      <c r="B16" s="625"/>
      <c r="C16" s="2611"/>
      <c r="D16" s="445"/>
      <c r="E16" s="444"/>
      <c r="F16" s="445"/>
      <c r="G16" s="2611"/>
      <c r="H16" s="447"/>
      <c r="I16" s="444"/>
      <c r="J16" s="445"/>
      <c r="K16" s="610"/>
      <c r="L16" s="1138"/>
      <c r="M16" s="1129"/>
      <c r="N16" s="1129"/>
      <c r="O16" s="1129"/>
      <c r="P16" s="3325"/>
      <c r="Q16" s="1807"/>
      <c r="R16" s="769"/>
      <c r="S16" s="770"/>
      <c r="T16" s="769"/>
      <c r="U16" s="770"/>
      <c r="V16" s="769"/>
      <c r="W16" s="770"/>
      <c r="X16" s="1810"/>
      <c r="Y16" s="3318"/>
      <c r="Z16" s="1811"/>
      <c r="AA16" s="1808">
        <v>1</v>
      </c>
      <c r="AB16" s="1808">
        <v>1</v>
      </c>
      <c r="AC16" s="2674">
        <v>1</v>
      </c>
    </row>
    <row r="17" spans="1:29" ht="185.25">
      <c r="A17" s="425"/>
      <c r="B17" s="626" t="s">
        <v>2100</v>
      </c>
      <c r="C17" s="267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7">
        <v>100</v>
      </c>
      <c r="E17" s="451"/>
      <c r="F17" s="447">
        <f>SUMIF(79:79,E18,80:80)-SUMIF(79:79,C18,80:80)+100</f>
        <v>100</v>
      </c>
      <c r="G17" s="449"/>
      <c r="H17" s="452">
        <f>SUMIF(79:79,G18,80:80)-SUMIF(79:79,C18,80:80)+100</f>
        <v>100</v>
      </c>
      <c r="I17" s="449"/>
      <c r="J17" s="452">
        <f>SUMIF(79:79,I18,80:80)-SUMIF(79:79,C18,80:80)+100</f>
        <v>100</v>
      </c>
      <c r="K17" s="609"/>
      <c r="L17" s="1138"/>
      <c r="M17" s="1129"/>
      <c r="N17" s="1129"/>
      <c r="O17" s="1129"/>
      <c r="P17" s="3325"/>
      <c r="Q17" s="1807" t="str">
        <f>B17</f>
        <v>交通便捷度</v>
      </c>
      <c r="R17" s="769" t="s">
        <v>17</v>
      </c>
      <c r="S17" s="770">
        <f>F17</f>
        <v>100</v>
      </c>
      <c r="T17" s="769" t="s">
        <v>17</v>
      </c>
      <c r="U17" s="770">
        <f>H17</f>
        <v>100</v>
      </c>
      <c r="V17" s="769" t="s">
        <v>17</v>
      </c>
      <c r="W17" s="770">
        <f>J17</f>
        <v>100</v>
      </c>
      <c r="X17" s="1810"/>
      <c r="Y17" s="3318"/>
      <c r="Z17" s="1811" t="str">
        <f>Q17</f>
        <v>交通便捷度</v>
      </c>
      <c r="AA17" s="1808">
        <f t="shared" si="3"/>
        <v>1</v>
      </c>
      <c r="AB17" s="1808">
        <f t="shared" si="4"/>
        <v>1</v>
      </c>
      <c r="AC17" s="2674">
        <f t="shared" si="5"/>
        <v>1</v>
      </c>
    </row>
    <row r="18" spans="1:29" ht="15">
      <c r="A18" s="425"/>
      <c r="B18" s="627"/>
      <c r="C18" s="2676"/>
      <c r="D18" s="447"/>
      <c r="E18" s="2609"/>
      <c r="F18" s="447"/>
      <c r="G18" s="2610"/>
      <c r="H18" s="445"/>
      <c r="I18" s="2610"/>
      <c r="J18" s="445"/>
      <c r="K18" s="610"/>
      <c r="L18" s="1138"/>
      <c r="M18" s="1129"/>
      <c r="N18" s="1129"/>
      <c r="O18" s="1129"/>
      <c r="P18" s="3325"/>
      <c r="Q18" s="1807"/>
      <c r="R18" s="769"/>
      <c r="S18" s="770"/>
      <c r="T18" s="769"/>
      <c r="U18" s="770"/>
      <c r="V18" s="769"/>
      <c r="W18" s="770"/>
      <c r="X18" s="1810"/>
      <c r="Y18" s="3318"/>
      <c r="Z18" s="1811"/>
      <c r="AA18" s="1808">
        <v>1</v>
      </c>
      <c r="AB18" s="1808">
        <v>1</v>
      </c>
      <c r="AC18" s="2674">
        <v>1</v>
      </c>
    </row>
    <row r="19" spans="1:29" ht="128.25">
      <c r="A19" s="425"/>
      <c r="B19" s="626" t="s">
        <v>2690</v>
      </c>
      <c r="C19" s="2675" t="str">
        <f>估价对象房地状况!C7</f>
        <v>估价对象周边有教育机构（育鹰小学、西二旗小学）、医疗设施（清河社区卫生服务站）、金融机构（农商银行、建设银行）等，公共配套设施状况一般。</v>
      </c>
      <c r="D19" s="452">
        <v>100</v>
      </c>
      <c r="E19" s="456"/>
      <c r="F19" s="452">
        <f>SUMIF(81:81,E20,82:82)-SUMIF(81:81,C20,82:82)+100</f>
        <v>100</v>
      </c>
      <c r="G19" s="454"/>
      <c r="H19" s="447">
        <f>SUMIF(81:81,G20,82:82)-SUMIF(81:81,C20,82:82)+100</f>
        <v>100</v>
      </c>
      <c r="I19" s="454"/>
      <c r="J19" s="447">
        <f>SUMIF(81:81,I20,82:82)-SUMIF(81:81,C20,82:82)+100</f>
        <v>100</v>
      </c>
      <c r="K19" s="609"/>
      <c r="L19" s="1138"/>
      <c r="M19" s="1129"/>
      <c r="N19" s="1129"/>
      <c r="O19" s="1129"/>
      <c r="P19" s="3325"/>
      <c r="Q19" s="1807" t="str">
        <f>B19</f>
        <v>公共配套设施</v>
      </c>
      <c r="R19" s="769" t="s">
        <v>17</v>
      </c>
      <c r="S19" s="770">
        <f>F19</f>
        <v>100</v>
      </c>
      <c r="T19" s="769" t="s">
        <v>17</v>
      </c>
      <c r="U19" s="770">
        <f>H19</f>
        <v>100</v>
      </c>
      <c r="V19" s="769" t="s">
        <v>17</v>
      </c>
      <c r="W19" s="770">
        <f>J19</f>
        <v>100</v>
      </c>
      <c r="X19" s="1810"/>
      <c r="Y19" s="3318"/>
      <c r="Z19" s="1811" t="str">
        <f>Q19</f>
        <v>公共配套设施</v>
      </c>
      <c r="AA19" s="1808">
        <f t="shared" si="3"/>
        <v>1</v>
      </c>
      <c r="AB19" s="1808">
        <f t="shared" si="4"/>
        <v>1</v>
      </c>
      <c r="AC19" s="2674">
        <f t="shared" si="5"/>
        <v>1</v>
      </c>
    </row>
    <row r="20" spans="1:29" ht="15">
      <c r="A20" s="425"/>
      <c r="B20" s="627"/>
      <c r="C20" s="2611"/>
      <c r="D20" s="445"/>
      <c r="E20" s="2604"/>
      <c r="F20" s="445"/>
      <c r="G20" s="2605"/>
      <c r="H20" s="445"/>
      <c r="I20" s="2605"/>
      <c r="J20" s="445"/>
      <c r="K20" s="610"/>
      <c r="L20" s="1138"/>
      <c r="M20" s="1129"/>
      <c r="N20" s="1129"/>
      <c r="O20" s="1129"/>
      <c r="P20" s="3325"/>
      <c r="Q20" s="1807"/>
      <c r="R20" s="769"/>
      <c r="S20" s="770"/>
      <c r="T20" s="769"/>
      <c r="U20" s="770"/>
      <c r="V20" s="769"/>
      <c r="W20" s="770"/>
      <c r="X20" s="1810"/>
      <c r="Y20" s="3318"/>
      <c r="Z20" s="1811"/>
      <c r="AA20" s="1808">
        <v>1</v>
      </c>
      <c r="AB20" s="1808">
        <v>1</v>
      </c>
      <c r="AC20" s="2674">
        <v>1</v>
      </c>
    </row>
    <row r="21" spans="1:29" ht="42.75">
      <c r="A21" s="425"/>
      <c r="B21" s="628" t="s">
        <v>2691</v>
      </c>
      <c r="C21" s="2675" t="str">
        <f>估价对象房地状况!C8</f>
        <v>估价对象所在区域基础设施水平为五通一平</v>
      </c>
      <c r="D21" s="447">
        <v>100</v>
      </c>
      <c r="E21" s="456"/>
      <c r="F21" s="452">
        <f>SUMIF(83:83,E22,84:84)-SUMIF(83:83,C22,84:84)+100</f>
        <v>100</v>
      </c>
      <c r="G21" s="454"/>
      <c r="H21" s="447">
        <f>SUMIF(83:83,G22,84:84)-SUMIF(83:83,C22,84:84)+100</f>
        <v>100</v>
      </c>
      <c r="I21" s="454"/>
      <c r="J21" s="447">
        <f>SUMIF(83:83,I22,84:84)-SUMIF(83:83,C22,84:84)+100</f>
        <v>100</v>
      </c>
      <c r="K21" s="609"/>
      <c r="L21" s="1138"/>
      <c r="M21" s="1129"/>
      <c r="N21" s="1129"/>
      <c r="O21" s="1129"/>
      <c r="P21" s="3325"/>
      <c r="Q21" s="1807" t="str">
        <f>B21</f>
        <v>基础设施水平</v>
      </c>
      <c r="R21" s="769" t="s">
        <v>17</v>
      </c>
      <c r="S21" s="770">
        <f>F21</f>
        <v>100</v>
      </c>
      <c r="T21" s="769" t="s">
        <v>17</v>
      </c>
      <c r="U21" s="770">
        <f>H21</f>
        <v>100</v>
      </c>
      <c r="V21" s="769" t="s">
        <v>17</v>
      </c>
      <c r="W21" s="770">
        <f>J21</f>
        <v>100</v>
      </c>
      <c r="X21" s="1810"/>
      <c r="Y21" s="3318"/>
      <c r="Z21" s="1811" t="str">
        <f>Q21</f>
        <v>基础设施水平</v>
      </c>
      <c r="AA21" s="1808">
        <f t="shared" ref="AA21" si="8">D21/F21</f>
        <v>1</v>
      </c>
      <c r="AB21" s="1808">
        <f t="shared" ref="AB21" si="9">D21/H21</f>
        <v>1</v>
      </c>
      <c r="AC21" s="2674">
        <f t="shared" ref="AC21" si="10">D21/J21</f>
        <v>1</v>
      </c>
    </row>
    <row r="22" spans="1:29" ht="15">
      <c r="A22" s="425"/>
      <c r="B22" s="628"/>
      <c r="C22" s="2676"/>
      <c r="D22" s="445"/>
      <c r="E22" s="444"/>
      <c r="F22" s="445"/>
      <c r="G22" s="2611"/>
      <c r="H22" s="445"/>
      <c r="I22" s="2611"/>
      <c r="J22" s="445"/>
      <c r="K22" s="1381"/>
      <c r="L22" s="1138"/>
      <c r="M22" s="1129"/>
      <c r="N22" s="1129"/>
      <c r="O22" s="1129"/>
      <c r="P22" s="3325"/>
      <c r="Q22" s="1807"/>
      <c r="R22" s="769"/>
      <c r="S22" s="770"/>
      <c r="T22" s="769"/>
      <c r="U22" s="770"/>
      <c r="V22" s="769"/>
      <c r="W22" s="770"/>
      <c r="X22" s="1810"/>
      <c r="Y22" s="3318"/>
      <c r="Z22" s="1811"/>
      <c r="AA22" s="1808">
        <v>1</v>
      </c>
      <c r="AB22" s="1808">
        <v>1</v>
      </c>
      <c r="AC22" s="2674">
        <v>1</v>
      </c>
    </row>
    <row r="23" spans="1:29" ht="99.75">
      <c r="A23" s="425"/>
      <c r="B23" s="626" t="s">
        <v>2692</v>
      </c>
      <c r="C23" s="2675" t="str">
        <f>估价对象房地状况!C9</f>
        <v>估价对象西北侧隔路有加油站；周边2公里范围内无大型绿化及博物馆、高等教育学校等人文设施；综合评价环境状况较差。</v>
      </c>
      <c r="D23" s="447">
        <v>100</v>
      </c>
      <c r="E23" s="451"/>
      <c r="F23" s="447">
        <f>SUMIF(85:85,E24,86:86)-SUMIF(85:85,C24,86:86)+100</f>
        <v>100</v>
      </c>
      <c r="G23" s="449"/>
      <c r="H23" s="447">
        <f>SUMIF(85:85,G24,86:86)-SUMIF(85:85,C24,86:86)+100</f>
        <v>100</v>
      </c>
      <c r="I23" s="449"/>
      <c r="J23" s="447">
        <f>SUMIF(85:85,I24,86:86)-SUMIF(85:85,C24,86:86)+100</f>
        <v>100</v>
      </c>
      <c r="K23" s="609"/>
      <c r="L23" s="1138"/>
      <c r="M23" s="1129"/>
      <c r="N23" s="1129"/>
      <c r="O23" s="1129"/>
      <c r="P23" s="3325"/>
      <c r="Q23" s="1807" t="str">
        <f>B23</f>
        <v>环境质量</v>
      </c>
      <c r="R23" s="769" t="s">
        <v>17</v>
      </c>
      <c r="S23" s="770">
        <f>F23</f>
        <v>100</v>
      </c>
      <c r="T23" s="769" t="s">
        <v>17</v>
      </c>
      <c r="U23" s="770">
        <f>H23</f>
        <v>100</v>
      </c>
      <c r="V23" s="769" t="s">
        <v>17</v>
      </c>
      <c r="W23" s="770">
        <f>J23</f>
        <v>100</v>
      </c>
      <c r="X23" s="1810"/>
      <c r="Y23" s="3318"/>
      <c r="Z23" s="1811" t="str">
        <f>Q23</f>
        <v>环境质量</v>
      </c>
      <c r="AA23" s="1808">
        <f t="shared" si="3"/>
        <v>1</v>
      </c>
      <c r="AB23" s="1808">
        <f t="shared" si="4"/>
        <v>1</v>
      </c>
      <c r="AC23" s="2674">
        <f t="shared" si="5"/>
        <v>1</v>
      </c>
    </row>
    <row r="24" spans="1:29" ht="15">
      <c r="A24" s="425"/>
      <c r="B24" s="628"/>
      <c r="C24" s="2611"/>
      <c r="D24" s="445"/>
      <c r="E24" s="2604"/>
      <c r="F24" s="445"/>
      <c r="G24" s="2605"/>
      <c r="H24" s="445"/>
      <c r="I24" s="2605"/>
      <c r="J24" s="445"/>
      <c r="K24" s="610"/>
      <c r="L24" s="1138"/>
      <c r="M24" s="1129"/>
      <c r="N24" s="1129"/>
      <c r="O24" s="1129"/>
      <c r="P24" s="3325"/>
      <c r="Q24" s="1807"/>
      <c r="R24" s="769"/>
      <c r="S24" s="770"/>
      <c r="T24" s="769"/>
      <c r="U24" s="770"/>
      <c r="V24" s="769"/>
      <c r="W24" s="770"/>
      <c r="X24" s="1810"/>
      <c r="Y24" s="3318"/>
      <c r="Z24" s="1811"/>
      <c r="AA24" s="1808">
        <v>1</v>
      </c>
      <c r="AB24" s="1808">
        <v>1</v>
      </c>
      <c r="AC24" s="2674">
        <v>1</v>
      </c>
    </row>
    <row r="25" spans="1:29" ht="27">
      <c r="A25" s="401"/>
      <c r="B25" s="626" t="s">
        <v>2693</v>
      </c>
      <c r="C25" s="2615"/>
      <c r="D25" s="432">
        <v>100</v>
      </c>
      <c r="E25" s="431"/>
      <c r="F25" s="432">
        <f>SUMIF(87:87,E26,88:88)-SUMIF(87:87,C26,88:88)+100</f>
        <v>100</v>
      </c>
      <c r="G25" s="2615"/>
      <c r="H25" s="432">
        <f>SUMIF(87:87,G26,88:88)-SUMIF(87:87,C26,88:88)+100</f>
        <v>100</v>
      </c>
      <c r="I25" s="431"/>
      <c r="J25" s="432">
        <f>SUMIF(87:87,I26,88:88)-SUMIF(87:87,C26,88:88)+100</f>
        <v>100</v>
      </c>
      <c r="K25" s="609"/>
      <c r="L25" s="1138"/>
      <c r="M25" s="1129"/>
      <c r="N25" s="1129"/>
      <c r="O25" s="1129"/>
      <c r="P25" s="3325"/>
      <c r="Q25" s="1807" t="str">
        <f>B25</f>
        <v>毗邻道路的类型与等级</v>
      </c>
      <c r="R25" s="769" t="s">
        <v>17</v>
      </c>
      <c r="S25" s="770">
        <f>F25</f>
        <v>100</v>
      </c>
      <c r="T25" s="769" t="s">
        <v>17</v>
      </c>
      <c r="U25" s="770">
        <f>H25</f>
        <v>100</v>
      </c>
      <c r="V25" s="769" t="s">
        <v>17</v>
      </c>
      <c r="W25" s="770">
        <f>J25</f>
        <v>100</v>
      </c>
      <c r="X25" s="1810"/>
      <c r="Y25" s="3318"/>
      <c r="Z25" s="1811" t="str">
        <f>Q25</f>
        <v>毗邻道路的类型与等级</v>
      </c>
      <c r="AA25" s="1808">
        <f t="shared" si="3"/>
        <v>1</v>
      </c>
      <c r="AB25" s="1808">
        <f t="shared" si="4"/>
        <v>1</v>
      </c>
      <c r="AC25" s="2674">
        <f t="shared" si="5"/>
        <v>1</v>
      </c>
    </row>
    <row r="26" spans="1:29" ht="15">
      <c r="A26" s="401"/>
      <c r="B26" s="627"/>
      <c r="C26" s="629"/>
      <c r="D26" s="432"/>
      <c r="E26" s="611"/>
      <c r="F26" s="432"/>
      <c r="G26" s="629"/>
      <c r="H26" s="432"/>
      <c r="I26" s="611"/>
      <c r="J26" s="432"/>
      <c r="K26" s="610"/>
      <c r="L26" s="1138"/>
      <c r="M26" s="1129"/>
      <c r="N26" s="1129"/>
      <c r="O26" s="1129"/>
      <c r="P26" s="3325"/>
      <c r="Q26" s="1807"/>
      <c r="R26" s="769"/>
      <c r="S26" s="770"/>
      <c r="T26" s="769"/>
      <c r="U26" s="770"/>
      <c r="V26" s="769"/>
      <c r="W26" s="770"/>
      <c r="X26" s="1810"/>
      <c r="Y26" s="3318"/>
      <c r="Z26" s="1811"/>
      <c r="AA26" s="1808">
        <v>1</v>
      </c>
      <c r="AB26" s="1808">
        <v>1</v>
      </c>
      <c r="AC26" s="2674">
        <v>1</v>
      </c>
    </row>
    <row r="27" spans="1:29" ht="15">
      <c r="A27" s="425"/>
      <c r="B27" s="627" t="s">
        <v>2661</v>
      </c>
      <c r="C27" s="629"/>
      <c r="D27" s="432">
        <v>100</v>
      </c>
      <c r="E27" s="611"/>
      <c r="F27" s="432">
        <f>SUMIF(89:89,E27,90:90)-SUMIF(89:89,C27,90:90)+100</f>
        <v>100</v>
      </c>
      <c r="G27" s="629"/>
      <c r="H27" s="432">
        <f>SUMIF(89:89,G27,90:90)-SUMIF(89:89,C27,90:90)+100</f>
        <v>100</v>
      </c>
      <c r="I27" s="611"/>
      <c r="J27" s="432">
        <f>SUMIF(89:89,I27,90:90)-SUMIF(89:89,C27,90:90)+100</f>
        <v>100</v>
      </c>
      <c r="K27" s="607"/>
      <c r="L27" s="1138"/>
      <c r="M27" s="1129"/>
      <c r="N27" s="1129"/>
      <c r="O27" s="1129"/>
      <c r="P27" s="3325"/>
      <c r="Q27" s="1807" t="str">
        <f t="shared" ref="Q27:Q47" si="11">B27</f>
        <v>楼层</v>
      </c>
      <c r="R27" s="769" t="s">
        <v>17</v>
      </c>
      <c r="S27" s="770">
        <f>F27</f>
        <v>100</v>
      </c>
      <c r="T27" s="769" t="s">
        <v>17</v>
      </c>
      <c r="U27" s="770">
        <f>H27</f>
        <v>100</v>
      </c>
      <c r="V27" s="769" t="s">
        <v>17</v>
      </c>
      <c r="W27" s="770">
        <f>J27</f>
        <v>100</v>
      </c>
      <c r="X27" s="1810"/>
      <c r="Y27" s="3318"/>
      <c r="Z27" s="1811" t="str">
        <f>Q27</f>
        <v>楼层</v>
      </c>
      <c r="AA27" s="1808">
        <f t="shared" si="3"/>
        <v>1</v>
      </c>
      <c r="AB27" s="1808">
        <f t="shared" si="4"/>
        <v>1</v>
      </c>
      <c r="AC27" s="2674">
        <f t="shared" si="5"/>
        <v>1</v>
      </c>
    </row>
    <row r="28" spans="1:29" s="116" customFormat="1" ht="15">
      <c r="A28" s="428"/>
      <c r="B28" s="626" t="s">
        <v>2694</v>
      </c>
      <c r="C28" s="2677"/>
      <c r="D28" s="459">
        <v>100</v>
      </c>
      <c r="E28" s="2665"/>
      <c r="F28" s="459">
        <f>SUMIF(91:91,E28,92:92)-SUMIF(91:91,C28,92:92)+100</f>
        <v>100</v>
      </c>
      <c r="G28" s="2677"/>
      <c r="H28" s="459">
        <f>SUMIF(91:91,G28,92:92)-SUMIF(91:91,C28,92:92)+100</f>
        <v>100</v>
      </c>
      <c r="I28" s="2665"/>
      <c r="J28" s="459">
        <f>SUMIF(91:91,I28,92:92)-SUMIF(91:91,C28,92:92)+100</f>
        <v>100</v>
      </c>
      <c r="K28" s="607"/>
      <c r="L28" s="1130"/>
      <c r="M28" s="1131"/>
      <c r="N28" s="1131"/>
      <c r="O28" s="1131"/>
      <c r="P28" s="3325"/>
      <c r="Q28" s="1792" t="str">
        <f t="shared" si="11"/>
        <v>朝向</v>
      </c>
      <c r="R28" s="765" t="s">
        <v>17</v>
      </c>
      <c r="S28" s="766">
        <f>F28</f>
        <v>100</v>
      </c>
      <c r="T28" s="765" t="s">
        <v>17</v>
      </c>
      <c r="U28" s="766">
        <f>H28</f>
        <v>100</v>
      </c>
      <c r="V28" s="765" t="s">
        <v>17</v>
      </c>
      <c r="W28" s="766">
        <f>J28</f>
        <v>100</v>
      </c>
      <c r="X28" s="767"/>
      <c r="Y28" s="3318"/>
      <c r="Z28" s="55" t="str">
        <f>Q28</f>
        <v>朝向</v>
      </c>
      <c r="AA28" s="1808">
        <f>D28/F28</f>
        <v>1</v>
      </c>
      <c r="AB28" s="1808">
        <f>D28/H28</f>
        <v>1</v>
      </c>
      <c r="AC28" s="2674">
        <f>D28/J28</f>
        <v>1</v>
      </c>
    </row>
    <row r="29" spans="1:29" ht="15">
      <c r="A29" s="425"/>
      <c r="B29" s="2678">
        <v>111</v>
      </c>
      <c r="C29" s="2615"/>
      <c r="D29" s="432">
        <v>100</v>
      </c>
      <c r="E29" s="429"/>
      <c r="F29" s="432">
        <f>SUMIF(93:93,E29,94:94)-SUMIF(93:93,C29,94:94)+100</f>
        <v>100</v>
      </c>
      <c r="G29" s="2672"/>
      <c r="H29" s="432">
        <f>SUMIF(93:93,G29,94:94)-SUMIF(93:93,C29,94:94)+100</f>
        <v>100</v>
      </c>
      <c r="I29" s="429"/>
      <c r="J29" s="432">
        <f>SUMIF(93:93,I29,94:94)-SUMIF(93:93,C29,94:94)+100</f>
        <v>100</v>
      </c>
      <c r="K29" s="608"/>
      <c r="L29" s="1138"/>
      <c r="M29" s="1129"/>
      <c r="N29" s="1129"/>
      <c r="O29" s="1129"/>
      <c r="P29" s="3325"/>
      <c r="Q29" s="1807">
        <f t="shared" si="11"/>
        <v>111</v>
      </c>
      <c r="R29" s="769" t="s">
        <v>17</v>
      </c>
      <c r="S29" s="770">
        <f t="shared" ref="S29:S47" si="12">F29</f>
        <v>100</v>
      </c>
      <c r="T29" s="769" t="s">
        <v>17</v>
      </c>
      <c r="U29" s="770">
        <f t="shared" ref="U29:U47" si="13">H29</f>
        <v>100</v>
      </c>
      <c r="V29" s="769" t="s">
        <v>17</v>
      </c>
      <c r="W29" s="770">
        <f t="shared" ref="W29:W47" si="14">J29</f>
        <v>100</v>
      </c>
      <c r="X29" s="1810"/>
      <c r="Y29" s="3318"/>
      <c r="Z29" s="1811">
        <f t="shared" ref="Z29:Z47" si="15">Q29</f>
        <v>111</v>
      </c>
      <c r="AA29" s="1808">
        <f t="shared" si="3"/>
        <v>1</v>
      </c>
      <c r="AB29" s="1808">
        <f t="shared" si="4"/>
        <v>1</v>
      </c>
      <c r="AC29" s="2674">
        <f t="shared" si="5"/>
        <v>1</v>
      </c>
    </row>
    <row r="30" spans="1:29" ht="15">
      <c r="A30" s="425"/>
      <c r="B30" s="2678">
        <v>111</v>
      </c>
      <c r="C30" s="2615"/>
      <c r="D30" s="432">
        <v>100</v>
      </c>
      <c r="E30" s="429"/>
      <c r="F30" s="432">
        <f>SUMIF(95:95,E30,96:96)-SUMIF(95:95,C30,96:96)+100</f>
        <v>100</v>
      </c>
      <c r="G30" s="2672"/>
      <c r="H30" s="432">
        <f>SUMIF(95:95,G30,96:96)-SUMIF(95:95,C30,96:96)+100</f>
        <v>100</v>
      </c>
      <c r="I30" s="429"/>
      <c r="J30" s="432">
        <f>SUMIF(95:95,I30,96:96)-SUMIF(95:95,C30,96:96)+100</f>
        <v>100</v>
      </c>
      <c r="K30" s="608"/>
      <c r="L30" s="1138"/>
      <c r="M30" s="1129"/>
      <c r="N30" s="1129"/>
      <c r="O30" s="1129"/>
      <c r="P30" s="3325"/>
      <c r="Q30" s="1807">
        <f t="shared" si="11"/>
        <v>111</v>
      </c>
      <c r="R30" s="769" t="s">
        <v>17</v>
      </c>
      <c r="S30" s="770">
        <f t="shared" si="12"/>
        <v>100</v>
      </c>
      <c r="T30" s="769" t="s">
        <v>17</v>
      </c>
      <c r="U30" s="770">
        <f t="shared" si="13"/>
        <v>100</v>
      </c>
      <c r="V30" s="769" t="s">
        <v>17</v>
      </c>
      <c r="W30" s="770">
        <f t="shared" si="14"/>
        <v>100</v>
      </c>
      <c r="X30" s="1810"/>
      <c r="Y30" s="3318"/>
      <c r="Z30" s="1811">
        <f t="shared" si="15"/>
        <v>111</v>
      </c>
      <c r="AA30" s="1808">
        <f t="shared" si="3"/>
        <v>1</v>
      </c>
      <c r="AB30" s="1808">
        <f t="shared" si="4"/>
        <v>1</v>
      </c>
      <c r="AC30" s="2674">
        <f t="shared" si="5"/>
        <v>1</v>
      </c>
    </row>
    <row r="31" spans="1:29" ht="15">
      <c r="A31" s="425"/>
      <c r="B31" s="2678">
        <v>111</v>
      </c>
      <c r="C31" s="2615"/>
      <c r="D31" s="432">
        <v>100</v>
      </c>
      <c r="E31" s="429"/>
      <c r="F31" s="432">
        <f>SUMIF(97:97,E31,98:98)-SUMIF(97:97,C31,98:98)+100</f>
        <v>100</v>
      </c>
      <c r="G31" s="2672"/>
      <c r="H31" s="432">
        <f>SUMIF(97:97,G31,98:98)-SUMIF(97:97,C31,98:98)+100</f>
        <v>100</v>
      </c>
      <c r="I31" s="429"/>
      <c r="J31" s="432">
        <f>SUMIF(97:97,I31,98:98)-SUMIF(97:97,C31,98:98)+100</f>
        <v>100</v>
      </c>
      <c r="K31" s="608"/>
      <c r="L31" s="1138"/>
      <c r="M31" s="1129"/>
      <c r="N31" s="1129"/>
      <c r="O31" s="1129"/>
      <c r="P31" s="3325"/>
      <c r="Q31" s="1807">
        <f t="shared" si="11"/>
        <v>111</v>
      </c>
      <c r="R31" s="769" t="s">
        <v>17</v>
      </c>
      <c r="S31" s="770">
        <f t="shared" si="12"/>
        <v>100</v>
      </c>
      <c r="T31" s="769" t="s">
        <v>17</v>
      </c>
      <c r="U31" s="770">
        <f t="shared" si="13"/>
        <v>100</v>
      </c>
      <c r="V31" s="769" t="s">
        <v>17</v>
      </c>
      <c r="W31" s="770">
        <f t="shared" si="14"/>
        <v>100</v>
      </c>
      <c r="X31" s="1810"/>
      <c r="Y31" s="3318"/>
      <c r="Z31" s="1811">
        <f t="shared" si="15"/>
        <v>111</v>
      </c>
      <c r="AA31" s="1808">
        <f t="shared" si="3"/>
        <v>1</v>
      </c>
      <c r="AB31" s="1808">
        <f t="shared" si="4"/>
        <v>1</v>
      </c>
      <c r="AC31" s="2674">
        <f t="shared" si="5"/>
        <v>1</v>
      </c>
    </row>
    <row r="32" spans="1:29" ht="15.75" thickBot="1">
      <c r="A32" s="433"/>
      <c r="B32" s="630">
        <v>111</v>
      </c>
      <c r="C32" s="2616"/>
      <c r="D32" s="435">
        <v>100</v>
      </c>
      <c r="E32" s="623"/>
      <c r="F32" s="435">
        <f>SUMIF(99:99,E32,100:100)-SUMIF(99:99,C32,100:100)+100</f>
        <v>100</v>
      </c>
      <c r="G32" s="2672"/>
      <c r="H32" s="435">
        <f>SUMIF(99:99,G32,100:100)-SUMIF(99:99,C32,100:100)+100</f>
        <v>100</v>
      </c>
      <c r="I32" s="429"/>
      <c r="J32" s="435">
        <f>SUMIF(99:99,I32,100:100)-SUMIF(99:99,C32,100:100)+100</f>
        <v>100</v>
      </c>
      <c r="K32" s="608"/>
      <c r="L32" s="1138"/>
      <c r="M32" s="1129"/>
      <c r="N32" s="1129"/>
      <c r="O32" s="1129"/>
      <c r="P32" s="3325"/>
      <c r="Q32" s="1807">
        <f t="shared" si="11"/>
        <v>111</v>
      </c>
      <c r="R32" s="769" t="s">
        <v>17</v>
      </c>
      <c r="S32" s="770">
        <f t="shared" si="12"/>
        <v>100</v>
      </c>
      <c r="T32" s="769" t="s">
        <v>17</v>
      </c>
      <c r="U32" s="770">
        <f t="shared" si="13"/>
        <v>100</v>
      </c>
      <c r="V32" s="769" t="s">
        <v>17</v>
      </c>
      <c r="W32" s="770">
        <f t="shared" si="14"/>
        <v>100</v>
      </c>
      <c r="X32" s="1810"/>
      <c r="Y32" s="3318"/>
      <c r="Z32" s="1811">
        <f t="shared" si="15"/>
        <v>111</v>
      </c>
      <c r="AA32" s="1808">
        <f t="shared" si="3"/>
        <v>1</v>
      </c>
      <c r="AB32" s="1808">
        <f t="shared" si="4"/>
        <v>1</v>
      </c>
      <c r="AC32" s="2674">
        <f t="shared" si="5"/>
        <v>1</v>
      </c>
    </row>
    <row r="33" spans="1:29" ht="15">
      <c r="A33" s="437" t="s">
        <v>2565</v>
      </c>
      <c r="B33" s="71" t="s">
        <v>2695</v>
      </c>
      <c r="C33" s="2679"/>
      <c r="D33" s="462">
        <v>100</v>
      </c>
      <c r="E33" s="2679"/>
      <c r="F33" s="458">
        <f>SUMIF(101:101,E33,102:102)-SUMIF(101:101,C33,102:102)+100</f>
        <v>100</v>
      </c>
      <c r="G33" s="2679"/>
      <c r="H33" s="432">
        <f>SUMIF(101:101,G33,102:102)-SUMIF(101:101,C33,102:102)+100</f>
        <v>100</v>
      </c>
      <c r="I33" s="2679"/>
      <c r="J33" s="462">
        <f>SUMIF(101:101,I33,102:102)-SUMIF(101:101,C33,102:102)+100</f>
        <v>100</v>
      </c>
      <c r="K33" s="607"/>
      <c r="L33" s="1138"/>
      <c r="M33" s="1129"/>
      <c r="N33" s="1129"/>
      <c r="O33" s="1129"/>
      <c r="P33" s="3319" t="s">
        <v>2567</v>
      </c>
      <c r="Q33" s="1807" t="str">
        <f t="shared" si="11"/>
        <v>建筑类型</v>
      </c>
      <c r="R33" s="769" t="s">
        <v>17</v>
      </c>
      <c r="S33" s="770">
        <f t="shared" si="12"/>
        <v>100</v>
      </c>
      <c r="T33" s="769" t="s">
        <v>17</v>
      </c>
      <c r="U33" s="770">
        <f t="shared" si="13"/>
        <v>100</v>
      </c>
      <c r="V33" s="769" t="s">
        <v>17</v>
      </c>
      <c r="W33" s="770">
        <f t="shared" si="14"/>
        <v>100</v>
      </c>
      <c r="X33" s="1810"/>
      <c r="Y33" s="3322" t="s">
        <v>2567</v>
      </c>
      <c r="Z33" s="1811" t="str">
        <f t="shared" si="15"/>
        <v>建筑类型</v>
      </c>
      <c r="AA33" s="1808">
        <f t="shared" si="3"/>
        <v>1</v>
      </c>
      <c r="AB33" s="1808">
        <f t="shared" si="4"/>
        <v>1</v>
      </c>
      <c r="AC33" s="2674">
        <f t="shared" si="5"/>
        <v>1</v>
      </c>
    </row>
    <row r="34" spans="1:29" s="466" customFormat="1" ht="15">
      <c r="A34" s="463"/>
      <c r="B34" s="419" t="s">
        <v>2568</v>
      </c>
      <c r="C34" s="464"/>
      <c r="D34" s="133">
        <v>100</v>
      </c>
      <c r="E34" s="427"/>
      <c r="F34" s="422" t="e">
        <f>LOOKUP(E34,104:104,105:105)-LOOKUP(C34,104:104,105:105)+100</f>
        <v>#N/A</v>
      </c>
      <c r="G34" s="426"/>
      <c r="H34" s="133" t="e">
        <f>LOOKUP(G34,104:104,105:105)-LOOKUP(C34,104:104,105:105)+100</f>
        <v>#N/A</v>
      </c>
      <c r="I34" s="426"/>
      <c r="J34" s="133" t="e">
        <f>LOOKUP(I34,104:104,105:105)-LOOKUP(C34,104:104,105:105)+100</f>
        <v>#N/A</v>
      </c>
      <c r="K34" s="608"/>
      <c r="L34" s="1136"/>
      <c r="M34" s="1139"/>
      <c r="N34" s="1139"/>
      <c r="O34" s="1139"/>
      <c r="P34" s="3320"/>
      <c r="Q34" s="771" t="str">
        <f t="shared" si="11"/>
        <v>项目建筑规模</v>
      </c>
      <c r="R34" s="772" t="s">
        <v>17</v>
      </c>
      <c r="S34" s="773" t="e">
        <f t="shared" si="12"/>
        <v>#N/A</v>
      </c>
      <c r="T34" s="772" t="s">
        <v>17</v>
      </c>
      <c r="U34" s="773" t="e">
        <f t="shared" si="13"/>
        <v>#N/A</v>
      </c>
      <c r="V34" s="772" t="s">
        <v>17</v>
      </c>
      <c r="W34" s="773" t="e">
        <f t="shared" si="14"/>
        <v>#N/A</v>
      </c>
      <c r="X34" s="774"/>
      <c r="Y34" s="3322"/>
      <c r="Z34" s="775" t="str">
        <f t="shared" si="15"/>
        <v>项目建筑规模</v>
      </c>
      <c r="AA34" s="1808" t="e">
        <f t="shared" si="3"/>
        <v>#N/A</v>
      </c>
      <c r="AB34" s="1808" t="e">
        <f t="shared" si="4"/>
        <v>#N/A</v>
      </c>
      <c r="AC34" s="2674" t="e">
        <f t="shared" si="5"/>
        <v>#N/A</v>
      </c>
    </row>
    <row r="35" spans="1:29" ht="15">
      <c r="A35" s="467"/>
      <c r="B35" s="419" t="s">
        <v>2569</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7"/>
      <c r="L35" s="1138"/>
      <c r="M35" s="1129"/>
      <c r="N35" s="1129"/>
      <c r="O35" s="1129"/>
      <c r="P35" s="3320"/>
      <c r="Q35" s="1807" t="str">
        <f t="shared" si="11"/>
        <v>建筑结构</v>
      </c>
      <c r="R35" s="769" t="s">
        <v>17</v>
      </c>
      <c r="S35" s="770">
        <f t="shared" si="12"/>
        <v>100</v>
      </c>
      <c r="T35" s="769" t="s">
        <v>17</v>
      </c>
      <c r="U35" s="770">
        <f t="shared" si="13"/>
        <v>100</v>
      </c>
      <c r="V35" s="769" t="s">
        <v>17</v>
      </c>
      <c r="W35" s="770">
        <f t="shared" si="14"/>
        <v>100</v>
      </c>
      <c r="X35" s="1810"/>
      <c r="Y35" s="3322"/>
      <c r="Z35" s="1811" t="str">
        <f t="shared" si="15"/>
        <v>建筑结构</v>
      </c>
      <c r="AA35" s="1808">
        <f t="shared" si="3"/>
        <v>1</v>
      </c>
      <c r="AB35" s="1808">
        <f t="shared" si="4"/>
        <v>1</v>
      </c>
      <c r="AC35" s="2674">
        <f t="shared" si="5"/>
        <v>1</v>
      </c>
    </row>
    <row r="36" spans="1:29" ht="15">
      <c r="A36" s="467"/>
      <c r="B36" s="419" t="s">
        <v>2663</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7"/>
      <c r="L36" s="1138"/>
      <c r="M36" s="1129"/>
      <c r="N36" s="1129"/>
      <c r="O36" s="1129"/>
      <c r="P36" s="3320"/>
      <c r="Q36" s="1807" t="str">
        <f t="shared" si="11"/>
        <v>公共部分装修</v>
      </c>
      <c r="R36" s="769" t="s">
        <v>17</v>
      </c>
      <c r="S36" s="770">
        <f t="shared" si="12"/>
        <v>100</v>
      </c>
      <c r="T36" s="769" t="s">
        <v>17</v>
      </c>
      <c r="U36" s="770">
        <f t="shared" si="13"/>
        <v>100</v>
      </c>
      <c r="V36" s="769" t="s">
        <v>17</v>
      </c>
      <c r="W36" s="770">
        <f t="shared" si="14"/>
        <v>100</v>
      </c>
      <c r="X36" s="1810"/>
      <c r="Y36" s="3322"/>
      <c r="Z36" s="1811" t="str">
        <f t="shared" si="15"/>
        <v>公共部分装修</v>
      </c>
      <c r="AA36" s="1808">
        <f t="shared" si="3"/>
        <v>1</v>
      </c>
      <c r="AB36" s="1808">
        <f t="shared" si="4"/>
        <v>1</v>
      </c>
      <c r="AC36" s="2674">
        <f t="shared" si="5"/>
        <v>1</v>
      </c>
    </row>
    <row r="37" spans="1:29" ht="15">
      <c r="A37" s="467"/>
      <c r="B37" s="419" t="s">
        <v>2664</v>
      </c>
      <c r="C37" s="469"/>
      <c r="D37" s="432">
        <v>100</v>
      </c>
      <c r="E37" s="469"/>
      <c r="F37" s="458" t="e">
        <f>LOOKUP(E37,111:111,112:112)-LOOKUP(C37,111:111,112:112)+100</f>
        <v>#N/A</v>
      </c>
      <c r="G37" s="469"/>
      <c r="H37" s="458" t="e">
        <f>LOOKUP(G37,111:111,112:112)-LOOKUP(C37,111:111,112:112)+100</f>
        <v>#N/A</v>
      </c>
      <c r="I37" s="469"/>
      <c r="J37" s="432" t="e">
        <f>LOOKUP(I37,111:111,112:112)-LOOKUP(C37,111:111,112:112)+100</f>
        <v>#N/A</v>
      </c>
      <c r="K37" s="607"/>
      <c r="L37" s="1138"/>
      <c r="M37" s="1129"/>
      <c r="N37" s="1129"/>
      <c r="O37" s="1129"/>
      <c r="P37" s="3320"/>
      <c r="Q37" s="1807" t="str">
        <f t="shared" si="11"/>
        <v>成新度</v>
      </c>
      <c r="R37" s="769" t="s">
        <v>17</v>
      </c>
      <c r="S37" s="770" t="e">
        <f t="shared" si="12"/>
        <v>#N/A</v>
      </c>
      <c r="T37" s="769" t="s">
        <v>17</v>
      </c>
      <c r="U37" s="770" t="e">
        <f t="shared" si="13"/>
        <v>#N/A</v>
      </c>
      <c r="V37" s="769" t="s">
        <v>17</v>
      </c>
      <c r="W37" s="770" t="e">
        <f t="shared" si="14"/>
        <v>#N/A</v>
      </c>
      <c r="X37" s="1810"/>
      <c r="Y37" s="3322"/>
      <c r="Z37" s="1811" t="str">
        <f t="shared" si="15"/>
        <v>成新度</v>
      </c>
      <c r="AA37" s="1808" t="e">
        <f t="shared" si="3"/>
        <v>#N/A</v>
      </c>
      <c r="AB37" s="1808" t="e">
        <f t="shared" si="4"/>
        <v>#N/A</v>
      </c>
      <c r="AC37" s="2674" t="e">
        <f t="shared" si="5"/>
        <v>#N/A</v>
      </c>
    </row>
    <row r="38" spans="1:29" s="116" customFormat="1" ht="15">
      <c r="A38" s="468"/>
      <c r="B38" s="419" t="s">
        <v>2696</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7"/>
      <c r="L38" s="1130"/>
      <c r="M38" s="1131"/>
      <c r="N38" s="1131"/>
      <c r="O38" s="1131"/>
      <c r="P38" s="3320"/>
      <c r="Q38" s="1792" t="str">
        <f t="shared" si="11"/>
        <v>写字楼等级</v>
      </c>
      <c r="R38" s="765" t="s">
        <v>17</v>
      </c>
      <c r="S38" s="766">
        <f t="shared" si="12"/>
        <v>100</v>
      </c>
      <c r="T38" s="765" t="s">
        <v>17</v>
      </c>
      <c r="U38" s="766">
        <f t="shared" si="13"/>
        <v>100</v>
      </c>
      <c r="V38" s="765" t="s">
        <v>17</v>
      </c>
      <c r="W38" s="766">
        <f t="shared" si="14"/>
        <v>100</v>
      </c>
      <c r="X38" s="767"/>
      <c r="Y38" s="3322"/>
      <c r="Z38" s="55" t="str">
        <f t="shared" si="15"/>
        <v>写字楼等级</v>
      </c>
      <c r="AA38" s="768">
        <f t="shared" si="3"/>
        <v>1</v>
      </c>
      <c r="AB38" s="768">
        <f t="shared" si="4"/>
        <v>1</v>
      </c>
      <c r="AC38" s="2671">
        <f t="shared" si="5"/>
        <v>1</v>
      </c>
    </row>
    <row r="39" spans="1:29" ht="15">
      <c r="A39" s="467"/>
      <c r="B39" s="419" t="s">
        <v>2697</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7"/>
      <c r="L39" s="1138"/>
      <c r="M39" s="1129"/>
      <c r="N39" s="1129"/>
      <c r="O39" s="1129"/>
      <c r="P39" s="3320" t="s">
        <v>2567</v>
      </c>
      <c r="Q39" s="1807" t="str">
        <f t="shared" si="11"/>
        <v>物业管理</v>
      </c>
      <c r="R39" s="769" t="s">
        <v>17</v>
      </c>
      <c r="S39" s="770">
        <f t="shared" si="12"/>
        <v>100</v>
      </c>
      <c r="T39" s="769" t="s">
        <v>17</v>
      </c>
      <c r="U39" s="770">
        <f t="shared" si="13"/>
        <v>100</v>
      </c>
      <c r="V39" s="769" t="s">
        <v>17</v>
      </c>
      <c r="W39" s="770">
        <f t="shared" si="14"/>
        <v>100</v>
      </c>
      <c r="X39" s="1810"/>
      <c r="Y39" s="3322" t="s">
        <v>2567</v>
      </c>
      <c r="Z39" s="1811" t="str">
        <f t="shared" si="15"/>
        <v>物业管理</v>
      </c>
      <c r="AA39" s="1808">
        <f t="shared" si="3"/>
        <v>1</v>
      </c>
      <c r="AB39" s="1808">
        <f t="shared" si="4"/>
        <v>1</v>
      </c>
      <c r="AC39" s="2674">
        <f t="shared" si="5"/>
        <v>1</v>
      </c>
    </row>
    <row r="40" spans="1:29" ht="15">
      <c r="A40" s="467"/>
      <c r="B40" s="419" t="s">
        <v>2665</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7"/>
      <c r="L40" s="1138"/>
      <c r="M40" s="1129"/>
      <c r="N40" s="1129"/>
      <c r="O40" s="1129"/>
      <c r="P40" s="3320"/>
      <c r="Q40" s="1807" t="str">
        <f t="shared" si="11"/>
        <v>市政基础设施</v>
      </c>
      <c r="R40" s="769" t="s">
        <v>17</v>
      </c>
      <c r="S40" s="770">
        <f t="shared" si="12"/>
        <v>100</v>
      </c>
      <c r="T40" s="769" t="s">
        <v>17</v>
      </c>
      <c r="U40" s="770">
        <f t="shared" si="13"/>
        <v>100</v>
      </c>
      <c r="V40" s="769" t="s">
        <v>17</v>
      </c>
      <c r="W40" s="770">
        <f t="shared" si="14"/>
        <v>100</v>
      </c>
      <c r="X40" s="1810"/>
      <c r="Y40" s="3322"/>
      <c r="Z40" s="1811" t="str">
        <f t="shared" si="15"/>
        <v>市政基础设施</v>
      </c>
      <c r="AA40" s="1808">
        <f t="shared" si="3"/>
        <v>1</v>
      </c>
      <c r="AB40" s="1808">
        <f t="shared" si="4"/>
        <v>1</v>
      </c>
      <c r="AC40" s="2674">
        <f t="shared" si="5"/>
        <v>1</v>
      </c>
    </row>
    <row r="41" spans="1:29" ht="15">
      <c r="A41" s="467"/>
      <c r="B41" s="419" t="s">
        <v>2667</v>
      </c>
      <c r="C41" s="611"/>
      <c r="D41" s="432">
        <v>100</v>
      </c>
      <c r="E41" s="611"/>
      <c r="F41" s="458">
        <f>SUMIF(119:119,E41,120:120)-SUMIF(119:119,C41,120:120)+100</f>
        <v>100</v>
      </c>
      <c r="G41" s="611"/>
      <c r="H41" s="432">
        <f>SUMIF(119:119,G41,120:120)-SUMIF(119:119,C41,120:120)+100</f>
        <v>100</v>
      </c>
      <c r="I41" s="611"/>
      <c r="J41" s="432">
        <f>SUMIF(119:119,I41,120:120)-SUMIF(119:119,C41,120:120)+100</f>
        <v>100</v>
      </c>
      <c r="K41" s="607"/>
      <c r="L41" s="1138"/>
      <c r="M41" s="1129"/>
      <c r="N41" s="1129"/>
      <c r="O41" s="1129"/>
      <c r="P41" s="3320"/>
      <c r="Q41" s="1807" t="str">
        <f t="shared" si="11"/>
        <v>层高</v>
      </c>
      <c r="R41" s="769" t="s">
        <v>17</v>
      </c>
      <c r="S41" s="770">
        <f t="shared" si="12"/>
        <v>100</v>
      </c>
      <c r="T41" s="769" t="s">
        <v>17</v>
      </c>
      <c r="U41" s="770">
        <f t="shared" si="13"/>
        <v>100</v>
      </c>
      <c r="V41" s="769" t="s">
        <v>17</v>
      </c>
      <c r="W41" s="770">
        <f t="shared" si="14"/>
        <v>100</v>
      </c>
      <c r="X41" s="1810"/>
      <c r="Y41" s="3322"/>
      <c r="Z41" s="1811" t="str">
        <f t="shared" si="15"/>
        <v>层高</v>
      </c>
      <c r="AA41" s="1808">
        <f t="shared" si="3"/>
        <v>1</v>
      </c>
      <c r="AB41" s="1808">
        <f t="shared" si="4"/>
        <v>1</v>
      </c>
      <c r="AC41" s="2674">
        <f t="shared" si="5"/>
        <v>1</v>
      </c>
    </row>
    <row r="42" spans="1:29" s="466" customFormat="1" ht="15">
      <c r="A42" s="463"/>
      <c r="B42" s="1809" t="s">
        <v>2698</v>
      </c>
      <c r="C42" s="431"/>
      <c r="D42" s="432">
        <v>100</v>
      </c>
      <c r="E42" s="431"/>
      <c r="F42" s="458">
        <f>SUMIF(121:121,E42,122:122)-SUMIF(121:121,C42,122:122)+100</f>
        <v>100</v>
      </c>
      <c r="G42" s="431"/>
      <c r="H42" s="432">
        <f>SUMIF(121:121,G42,122:122)-SUMIF(121:121,C42,122:122)+100</f>
        <v>100</v>
      </c>
      <c r="I42" s="431"/>
      <c r="J42" s="432">
        <f>SUMIF(121:121,I42,122:122)-SUMIF(121:121,C42,122:122)+100</f>
        <v>100</v>
      </c>
      <c r="K42" s="608"/>
      <c r="L42" s="1136"/>
      <c r="M42" s="1139"/>
      <c r="N42" s="1139"/>
      <c r="O42" s="1139"/>
      <c r="P42" s="3320"/>
      <c r="Q42" s="771" t="str">
        <f t="shared" si="11"/>
        <v>单套建筑面积</v>
      </c>
      <c r="R42" s="772" t="s">
        <v>17</v>
      </c>
      <c r="S42" s="773">
        <f t="shared" si="12"/>
        <v>100</v>
      </c>
      <c r="T42" s="772" t="s">
        <v>17</v>
      </c>
      <c r="U42" s="773">
        <f t="shared" si="13"/>
        <v>100</v>
      </c>
      <c r="V42" s="772" t="s">
        <v>17</v>
      </c>
      <c r="W42" s="773">
        <f t="shared" si="14"/>
        <v>100</v>
      </c>
      <c r="X42" s="774"/>
      <c r="Y42" s="3322"/>
      <c r="Z42" s="775" t="str">
        <f t="shared" si="15"/>
        <v>单套建筑面积</v>
      </c>
      <c r="AA42" s="1808">
        <f t="shared" si="3"/>
        <v>1</v>
      </c>
      <c r="AB42" s="1808">
        <f t="shared" si="4"/>
        <v>1</v>
      </c>
      <c r="AC42" s="2674">
        <f t="shared" si="5"/>
        <v>1</v>
      </c>
    </row>
    <row r="43" spans="1:29" ht="15">
      <c r="A43" s="467"/>
      <c r="B43" s="419" t="s">
        <v>2670</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7"/>
      <c r="L43" s="1138"/>
      <c r="M43" s="1129"/>
      <c r="N43" s="1129"/>
      <c r="O43" s="1129"/>
      <c r="P43" s="3320"/>
      <c r="Q43" s="1807" t="str">
        <f t="shared" si="11"/>
        <v>内部装修</v>
      </c>
      <c r="R43" s="769" t="s">
        <v>17</v>
      </c>
      <c r="S43" s="770">
        <f t="shared" si="12"/>
        <v>100</v>
      </c>
      <c r="T43" s="769" t="s">
        <v>17</v>
      </c>
      <c r="U43" s="770">
        <f t="shared" si="13"/>
        <v>100</v>
      </c>
      <c r="V43" s="769" t="s">
        <v>17</v>
      </c>
      <c r="W43" s="770">
        <f t="shared" si="14"/>
        <v>100</v>
      </c>
      <c r="X43" s="1810"/>
      <c r="Y43" s="3322"/>
      <c r="Z43" s="1811" t="str">
        <f t="shared" si="15"/>
        <v>内部装修</v>
      </c>
      <c r="AA43" s="1808">
        <f t="shared" si="3"/>
        <v>1</v>
      </c>
      <c r="AB43" s="1808">
        <f t="shared" si="4"/>
        <v>1</v>
      </c>
      <c r="AC43" s="2674">
        <f t="shared" si="5"/>
        <v>1</v>
      </c>
    </row>
    <row r="44" spans="1:29" ht="15">
      <c r="A44" s="467"/>
      <c r="B44" s="419" t="s">
        <v>2578</v>
      </c>
      <c r="C44" s="457"/>
      <c r="D44" s="432">
        <v>100</v>
      </c>
      <c r="E44" s="2613"/>
      <c r="F44" s="458">
        <f>SUMIF(125:125,E44,126:126)-SUMIF(125:125,C44,126:126)+100</f>
        <v>100</v>
      </c>
      <c r="G44" s="2613"/>
      <c r="H44" s="432">
        <f>SUMIF(125:125,G44,126:126)-SUMIF(125:125,C44,126:126)+100</f>
        <v>100</v>
      </c>
      <c r="I44" s="2613"/>
      <c r="J44" s="432">
        <f>SUMIF(125:125,I44,126:126)-SUMIF(125:125,C44,126:126)+100</f>
        <v>100</v>
      </c>
      <c r="K44" s="607"/>
      <c r="L44" s="1138"/>
      <c r="M44" s="1129"/>
      <c r="N44" s="1129"/>
      <c r="O44" s="1129"/>
      <c r="P44" s="3320"/>
      <c r="Q44" s="1807" t="str">
        <f t="shared" si="11"/>
        <v>内部装修维护情况</v>
      </c>
      <c r="R44" s="769" t="s">
        <v>17</v>
      </c>
      <c r="S44" s="770">
        <f t="shared" si="12"/>
        <v>100</v>
      </c>
      <c r="T44" s="769" t="s">
        <v>17</v>
      </c>
      <c r="U44" s="770">
        <f t="shared" si="13"/>
        <v>100</v>
      </c>
      <c r="V44" s="769" t="s">
        <v>17</v>
      </c>
      <c r="W44" s="770">
        <f t="shared" si="14"/>
        <v>100</v>
      </c>
      <c r="X44" s="1810"/>
      <c r="Y44" s="3322"/>
      <c r="Z44" s="1811" t="str">
        <f t="shared" si="15"/>
        <v>内部装修维护情况</v>
      </c>
      <c r="AA44" s="1808">
        <f t="shared" si="3"/>
        <v>1</v>
      </c>
      <c r="AB44" s="1808">
        <f t="shared" si="4"/>
        <v>1</v>
      </c>
      <c r="AC44" s="2674">
        <f t="shared" si="5"/>
        <v>1</v>
      </c>
    </row>
    <row r="45" spans="1:29" s="116" customFormat="1" ht="15">
      <c r="A45" s="468"/>
      <c r="B45" s="1384">
        <v>111</v>
      </c>
      <c r="C45" s="464"/>
      <c r="D45" s="133">
        <v>100</v>
      </c>
      <c r="E45" s="429"/>
      <c r="F45" s="422">
        <f>SUMIF(127:127,E45,128:128)-SUMIF(127:127,C45,128:128)+100</f>
        <v>100</v>
      </c>
      <c r="G45" s="429"/>
      <c r="H45" s="133">
        <f>SUMIF(127:127,G45,128:128)-SUMIF(127:127,C45,128:128)+100</f>
        <v>100</v>
      </c>
      <c r="I45" s="429"/>
      <c r="J45" s="133">
        <f>SUMIF(127:127,I45,128:128)-SUMIF(127:127,C45,128:128)+100</f>
        <v>100</v>
      </c>
      <c r="K45" s="608"/>
      <c r="L45" s="1130"/>
      <c r="M45" s="1131"/>
      <c r="N45" s="1131"/>
      <c r="O45" s="1131"/>
      <c r="P45" s="3320"/>
      <c r="Q45" s="1792">
        <f t="shared" si="11"/>
        <v>111</v>
      </c>
      <c r="R45" s="765" t="s">
        <v>17</v>
      </c>
      <c r="S45" s="766">
        <f t="shared" si="12"/>
        <v>100</v>
      </c>
      <c r="T45" s="765" t="s">
        <v>17</v>
      </c>
      <c r="U45" s="766">
        <f t="shared" si="13"/>
        <v>100</v>
      </c>
      <c r="V45" s="765" t="s">
        <v>17</v>
      </c>
      <c r="W45" s="766">
        <f t="shared" si="14"/>
        <v>100</v>
      </c>
      <c r="X45" s="767"/>
      <c r="Y45" s="3322"/>
      <c r="Z45" s="55">
        <f t="shared" si="15"/>
        <v>111</v>
      </c>
      <c r="AA45" s="768">
        <f t="shared" si="3"/>
        <v>1</v>
      </c>
      <c r="AB45" s="768">
        <f t="shared" si="4"/>
        <v>1</v>
      </c>
      <c r="AC45" s="2671">
        <f t="shared" si="5"/>
        <v>1</v>
      </c>
    </row>
    <row r="46" spans="1:29" ht="15">
      <c r="A46" s="467"/>
      <c r="B46" s="1384">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08"/>
      <c r="L46" s="1138"/>
      <c r="M46" s="1129"/>
      <c r="N46" s="1129"/>
      <c r="O46" s="1129"/>
      <c r="P46" s="3320"/>
      <c r="Q46" s="1807">
        <f t="shared" si="11"/>
        <v>111</v>
      </c>
      <c r="R46" s="769" t="s">
        <v>17</v>
      </c>
      <c r="S46" s="770">
        <f t="shared" si="12"/>
        <v>100</v>
      </c>
      <c r="T46" s="769" t="s">
        <v>17</v>
      </c>
      <c r="U46" s="770">
        <f t="shared" si="13"/>
        <v>100</v>
      </c>
      <c r="V46" s="769" t="s">
        <v>17</v>
      </c>
      <c r="W46" s="770">
        <f t="shared" si="14"/>
        <v>100</v>
      </c>
      <c r="X46" s="1810"/>
      <c r="Y46" s="3322"/>
      <c r="Z46" s="1811">
        <f t="shared" si="15"/>
        <v>111</v>
      </c>
      <c r="AA46" s="1808">
        <f t="shared" si="3"/>
        <v>1</v>
      </c>
      <c r="AB46" s="1808">
        <f t="shared" si="4"/>
        <v>1</v>
      </c>
      <c r="AC46" s="2674">
        <f t="shared" si="5"/>
        <v>1</v>
      </c>
    </row>
    <row r="47" spans="1:29" ht="15.75" thickBot="1">
      <c r="A47" s="473"/>
      <c r="B47" s="2602">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08"/>
      <c r="L47" s="1138"/>
      <c r="M47" s="1129"/>
      <c r="N47" s="1129"/>
      <c r="O47" s="1129"/>
      <c r="P47" s="3321"/>
      <c r="Q47" s="1807">
        <f t="shared" si="11"/>
        <v>111</v>
      </c>
      <c r="R47" s="769" t="s">
        <v>17</v>
      </c>
      <c r="S47" s="770">
        <f t="shared" si="12"/>
        <v>100</v>
      </c>
      <c r="T47" s="769" t="s">
        <v>17</v>
      </c>
      <c r="U47" s="770">
        <f t="shared" si="13"/>
        <v>100</v>
      </c>
      <c r="V47" s="769" t="s">
        <v>17</v>
      </c>
      <c r="W47" s="770">
        <f t="shared" si="14"/>
        <v>100</v>
      </c>
      <c r="X47" s="1810"/>
      <c r="Y47" s="3323"/>
      <c r="Z47" s="1811">
        <f t="shared" si="15"/>
        <v>111</v>
      </c>
      <c r="AA47" s="1808">
        <f t="shared" si="3"/>
        <v>1</v>
      </c>
      <c r="AB47" s="1808">
        <f t="shared" si="4"/>
        <v>1</v>
      </c>
      <c r="AC47" s="2674">
        <f t="shared" si="5"/>
        <v>1</v>
      </c>
    </row>
    <row r="48" spans="1:29" ht="15">
      <c r="A48" s="474" t="s">
        <v>2579</v>
      </c>
      <c r="B48" s="475"/>
      <c r="C48" s="1404" t="s">
        <v>1</v>
      </c>
      <c r="D48" s="1405"/>
      <c r="E48" s="1406"/>
      <c r="F48" s="1407"/>
      <c r="G48" s="1408"/>
      <c r="H48" s="1409"/>
      <c r="I48" s="1406"/>
      <c r="J48" s="480"/>
      <c r="K48" s="778"/>
      <c r="L48" s="1141"/>
      <c r="M48" s="1129"/>
      <c r="N48" s="1129"/>
      <c r="O48" s="1129"/>
      <c r="P48" s="3326" t="str">
        <f>A48</f>
        <v>成交单价（元/平方米）</v>
      </c>
      <c r="Q48" s="3315"/>
      <c r="R48" s="3316">
        <f>E48</f>
        <v>0</v>
      </c>
      <c r="S48" s="3316"/>
      <c r="T48" s="3316">
        <f>G48</f>
        <v>0</v>
      </c>
      <c r="U48" s="3316"/>
      <c r="V48" s="3316">
        <f>I48</f>
        <v>0</v>
      </c>
      <c r="W48" s="3316"/>
      <c r="X48" s="443"/>
      <c r="Y48" s="776"/>
      <c r="Z48" s="443"/>
      <c r="AA48" s="443"/>
      <c r="AB48" s="443"/>
      <c r="AC48" s="625"/>
    </row>
    <row r="49" spans="1:29" ht="15.75" thickBot="1">
      <c r="A49" s="481" t="s">
        <v>2671</v>
      </c>
      <c r="B49" s="482"/>
      <c r="C49" s="1410" t="e">
        <f>R50</f>
        <v>#DIV/0!</v>
      </c>
      <c r="D49" s="1411"/>
      <c r="E49" s="1412" t="e">
        <f>R49</f>
        <v>#DIV/0!</v>
      </c>
      <c r="F49" s="1412"/>
      <c r="G49" s="1410" t="e">
        <f>T49</f>
        <v>#DIV/0!</v>
      </c>
      <c r="H49" s="1411"/>
      <c r="I49" s="1412" t="e">
        <f>V49</f>
        <v>#DIV/0!</v>
      </c>
      <c r="J49" s="484"/>
      <c r="K49" s="779"/>
      <c r="L49" s="1141"/>
      <c r="M49" s="1129"/>
      <c r="N49" s="1129"/>
      <c r="O49" s="1129"/>
      <c r="P49" s="3326" t="str">
        <f>A49</f>
        <v>比较价值（元/平方米）</v>
      </c>
      <c r="Q49" s="3315"/>
      <c r="R49" s="3316" t="e">
        <f>IF(F1="售价",ROUND(PRODUCT(R48,AA7:AA47),0),ROUND(PRODUCT(R48,AA7:AA47),1))</f>
        <v>#DIV/0!</v>
      </c>
      <c r="S49" s="3316"/>
      <c r="T49" s="3316" t="e">
        <f>IF(F1="售价",ROUND(PRODUCT(T48,AB7:AB47),0),ROUND(PRODUCT(T48,AB7:AB47),1))</f>
        <v>#DIV/0!</v>
      </c>
      <c r="U49" s="3316"/>
      <c r="V49" s="3316" t="e">
        <f>IF(F1="售价",ROUND(PRODUCT(V48,AC7:AC47),0),ROUND(PRODUCT(V48,AC7:AC47),1))</f>
        <v>#DIV/0!</v>
      </c>
      <c r="W49" s="3316"/>
      <c r="X49" s="443"/>
      <c r="Y49" s="443"/>
      <c r="Z49" s="443"/>
      <c r="AA49" s="443"/>
      <c r="AB49" s="443"/>
      <c r="AC49" s="625"/>
    </row>
    <row r="50" spans="1:29" ht="15.75" thickBot="1">
      <c r="A50" s="487" t="s">
        <v>2672</v>
      </c>
      <c r="B50" s="488"/>
      <c r="C50" s="1414" t="e">
        <f>R50</f>
        <v>#DIV/0!</v>
      </c>
      <c r="D50" s="1414"/>
      <c r="E50" s="1414"/>
      <c r="F50" s="1414"/>
      <c r="G50" s="1414"/>
      <c r="H50" s="1414"/>
      <c r="I50" s="1414"/>
      <c r="J50" s="489"/>
      <c r="K50" s="780"/>
      <c r="L50" s="1141"/>
      <c r="M50" s="1129"/>
      <c r="N50" s="1129"/>
      <c r="O50" s="1129"/>
      <c r="P50" s="3389" t="str">
        <f>A50</f>
        <v>估价对象XX用房的比较价值（楼面单价，元/平方米）</v>
      </c>
      <c r="Q50" s="3390"/>
      <c r="R50" s="3391" t="e">
        <f>IF(F1="售价",ROUND(AVERAGE(R49:V49),0),ROUND(AVERAGE(R49:V49),1))</f>
        <v>#DIV/0!</v>
      </c>
      <c r="S50" s="3391"/>
      <c r="T50" s="3391"/>
      <c r="U50" s="3391"/>
      <c r="V50" s="3391"/>
      <c r="W50" s="3391"/>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2" t="s">
        <v>2673</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103"/>
      <c r="L53" s="1104"/>
      <c r="M53" s="1142"/>
      <c r="N53" s="1142"/>
      <c r="O53" s="1142"/>
    </row>
    <row r="54" spans="1:29" ht="13.5" customHeight="1">
      <c r="A54" s="1142"/>
      <c r="B54" s="1142"/>
      <c r="C54" s="492" t="s">
        <v>2674</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103"/>
      <c r="L54" s="1104"/>
      <c r="M54" s="1142"/>
      <c r="N54" s="1142"/>
      <c r="O54" s="1142"/>
    </row>
    <row r="55" spans="1:29" s="497" customFormat="1" ht="13.5" customHeight="1">
      <c r="A55" s="1143"/>
      <c r="B55" s="1143"/>
      <c r="C55" s="492" t="s">
        <v>2675</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6"/>
      <c r="L55" s="1147"/>
      <c r="M55" s="1143"/>
      <c r="N55" s="1143"/>
      <c r="O55" s="1143"/>
      <c r="P55" s="2680"/>
    </row>
    <row r="56" spans="1:29" s="497"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58" t="s">
        <v>2676</v>
      </c>
      <c r="B58" s="754"/>
      <c r="C58" s="759"/>
      <c r="D58" s="759"/>
      <c r="E58" s="759"/>
      <c r="F58" s="760"/>
      <c r="G58" s="760"/>
      <c r="H58" s="759"/>
      <c r="I58" s="759"/>
      <c r="J58" s="759"/>
      <c r="K58" s="761"/>
      <c r="L58" s="1159"/>
      <c r="M58" s="1157"/>
      <c r="N58" s="1157"/>
      <c r="O58" s="1157"/>
      <c r="P58" s="2681"/>
      <c r="Q58" s="499"/>
    </row>
    <row r="59" spans="1:29" s="503" customFormat="1" ht="15">
      <c r="A59" s="500" t="s">
        <v>2550</v>
      </c>
      <c r="B59" s="501"/>
      <c r="C59" s="1571" t="str">
        <f>YEAR(C7)&amp;"-"&amp;MONTH(C7)</f>
        <v>2019-6</v>
      </c>
      <c r="D59" s="1572">
        <f>EDATE(C59,-1)</f>
        <v>43586</v>
      </c>
      <c r="E59" s="1572">
        <f>EDATE(D59,-1)</f>
        <v>43556</v>
      </c>
      <c r="F59" s="1572">
        <f t="shared" ref="F59:O59" si="16">EDATE(E59,-1)</f>
        <v>43525</v>
      </c>
      <c r="G59" s="1572">
        <f t="shared" si="16"/>
        <v>43497</v>
      </c>
      <c r="H59" s="1572">
        <f t="shared" si="16"/>
        <v>43466</v>
      </c>
      <c r="I59" s="1572">
        <f t="shared" si="16"/>
        <v>43435</v>
      </c>
      <c r="J59" s="1572">
        <f t="shared" si="16"/>
        <v>43405</v>
      </c>
      <c r="K59" s="1572">
        <f t="shared" si="16"/>
        <v>43374</v>
      </c>
      <c r="L59" s="1572">
        <f t="shared" si="16"/>
        <v>43344</v>
      </c>
      <c r="M59" s="1572">
        <f t="shared" si="16"/>
        <v>43313</v>
      </c>
      <c r="N59" s="1572">
        <f t="shared" si="16"/>
        <v>43282</v>
      </c>
      <c r="O59" s="1572">
        <f t="shared" si="16"/>
        <v>43252</v>
      </c>
      <c r="P59" s="1568"/>
    </row>
    <row r="60" spans="1:29" s="116" customFormat="1" ht="15">
      <c r="A60" s="504"/>
      <c r="B60" s="505"/>
      <c r="C60" s="1570">
        <v>100</v>
      </c>
      <c r="D60" s="507"/>
      <c r="E60" s="507"/>
      <c r="F60" s="507"/>
      <c r="G60" s="507"/>
      <c r="H60" s="507"/>
      <c r="I60" s="507"/>
      <c r="J60" s="507"/>
      <c r="K60" s="507"/>
      <c r="L60" s="507"/>
      <c r="M60" s="508"/>
      <c r="N60" s="507"/>
      <c r="O60" s="508"/>
      <c r="P60" s="2682"/>
    </row>
    <row r="61" spans="1:29" s="116" customFormat="1" ht="15.75" thickBot="1">
      <c r="A61" s="510" t="s">
        <v>2587</v>
      </c>
      <c r="B61" s="511"/>
      <c r="C61" s="512"/>
      <c r="D61" s="513"/>
      <c r="E61" s="513"/>
      <c r="F61" s="513"/>
      <c r="G61" s="513"/>
      <c r="H61" s="513"/>
      <c r="I61" s="513"/>
      <c r="J61" s="513"/>
      <c r="K61" s="513"/>
      <c r="L61" s="513"/>
      <c r="M61" s="514"/>
      <c r="N61" s="513"/>
      <c r="O61" s="514"/>
      <c r="P61" s="2682"/>
      <c r="Q61" s="499"/>
    </row>
    <row r="62" spans="1:29" s="116" customFormat="1" ht="15">
      <c r="A62" s="516" t="s">
        <v>2552</v>
      </c>
      <c r="B62" s="505"/>
      <c r="C62" s="517" t="s">
        <v>2654</v>
      </c>
      <c r="D62" s="518"/>
      <c r="E62" s="518"/>
      <c r="F62" s="518"/>
      <c r="G62" s="518"/>
      <c r="H62" s="518"/>
      <c r="I62" s="518"/>
      <c r="J62" s="518"/>
      <c r="K62" s="518"/>
      <c r="L62" s="519"/>
      <c r="M62" s="520"/>
      <c r="N62" s="1149"/>
      <c r="O62" s="1149"/>
      <c r="P62" s="2683"/>
      <c r="Q62" s="499"/>
    </row>
    <row r="63" spans="1:29" s="116" customFormat="1" ht="15.75" thickBot="1">
      <c r="A63" s="516"/>
      <c r="B63" s="505"/>
      <c r="C63" s="506">
        <v>100</v>
      </c>
      <c r="D63" s="507"/>
      <c r="E63" s="507"/>
      <c r="F63" s="507"/>
      <c r="G63" s="507"/>
      <c r="H63" s="507"/>
      <c r="I63" s="507"/>
      <c r="J63" s="507"/>
      <c r="K63" s="507"/>
      <c r="L63" s="507"/>
      <c r="M63" s="509"/>
      <c r="N63" s="1149"/>
      <c r="O63" s="1149"/>
      <c r="P63" s="2682"/>
      <c r="Q63" s="499"/>
    </row>
    <row r="64" spans="1:29">
      <c r="A64" s="522" t="s">
        <v>2590</v>
      </c>
      <c r="B64" s="523" t="s">
        <v>2556</v>
      </c>
      <c r="C64" s="524">
        <f>C9</f>
        <v>0</v>
      </c>
      <c r="D64" s="525"/>
      <c r="E64" s="525"/>
      <c r="F64" s="525"/>
      <c r="G64" s="525"/>
      <c r="H64" s="525"/>
      <c r="I64" s="525"/>
      <c r="J64" s="525"/>
      <c r="K64" s="526"/>
      <c r="L64" s="527"/>
      <c r="M64" s="528"/>
      <c r="N64" s="1150"/>
      <c r="O64" s="1150"/>
      <c r="P64" s="2684"/>
      <c r="Q64" s="499"/>
    </row>
    <row r="65" spans="1:17" ht="15.75" thickBot="1">
      <c r="A65" s="529"/>
      <c r="B65" s="530"/>
      <c r="C65" s="531">
        <v>100</v>
      </c>
      <c r="D65" s="531"/>
      <c r="E65" s="531"/>
      <c r="F65" s="531"/>
      <c r="G65" s="531"/>
      <c r="H65" s="531"/>
      <c r="I65" s="531"/>
      <c r="J65" s="531"/>
      <c r="K65" s="531"/>
      <c r="L65" s="531"/>
      <c r="M65" s="532"/>
      <c r="N65" s="1151"/>
      <c r="O65" s="1151"/>
      <c r="P65" s="2684"/>
      <c r="Q65" s="499"/>
    </row>
    <row r="66" spans="1:17" ht="27.75" thickTop="1">
      <c r="A66" s="529"/>
      <c r="B66" s="533" t="s">
        <v>2559</v>
      </c>
      <c r="C66" s="534" t="s">
        <v>2591</v>
      </c>
      <c r="D66" s="534" t="s">
        <v>2592</v>
      </c>
      <c r="E66" s="534" t="s">
        <v>2593</v>
      </c>
      <c r="F66" s="534" t="s">
        <v>2594</v>
      </c>
      <c r="G66" s="534" t="s">
        <v>2595</v>
      </c>
      <c r="H66" s="534" t="s">
        <v>2596</v>
      </c>
      <c r="I66" s="534" t="s">
        <v>2597</v>
      </c>
      <c r="J66" s="534"/>
      <c r="K66" s="535"/>
      <c r="L66" s="536"/>
      <c r="M66" s="537"/>
      <c r="N66" s="1150"/>
      <c r="O66" s="1150"/>
      <c r="P66" s="2684"/>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51"/>
      <c r="O67" s="1151"/>
      <c r="P67" s="2684"/>
      <c r="Q67" s="499"/>
    </row>
    <row r="68" spans="1:17" ht="15.75" thickTop="1">
      <c r="A68" s="529"/>
      <c r="B68" s="541" t="s">
        <v>2560</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5" t="str">
        <f>M69&amp;"（含）"&amp;"-"&amp;P69</f>
        <v>（含）-</v>
      </c>
      <c r="N68" s="1151"/>
      <c r="O68" s="1151"/>
      <c r="P68" s="2684"/>
      <c r="Q68" s="499"/>
    </row>
    <row r="69" spans="1:17" ht="15">
      <c r="A69" s="529"/>
      <c r="B69" s="543"/>
      <c r="C69" s="544"/>
      <c r="D69" s="544"/>
      <c r="E69" s="544"/>
      <c r="F69" s="544"/>
      <c r="G69" s="544"/>
      <c r="H69" s="544"/>
      <c r="I69" s="544"/>
      <c r="J69" s="544"/>
      <c r="K69" s="545"/>
      <c r="L69" s="546"/>
      <c r="M69" s="547"/>
      <c r="N69" s="1150"/>
      <c r="O69" s="1150"/>
      <c r="P69" s="2684"/>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51"/>
      <c r="O70" s="1151"/>
      <c r="P70" s="2684"/>
      <c r="Q70" s="499"/>
    </row>
    <row r="71" spans="1:17" s="466" customFormat="1" ht="15.75" thickTop="1">
      <c r="A71" s="548"/>
      <c r="B71" s="533">
        <f>B12</f>
        <v>111</v>
      </c>
      <c r="C71" s="549"/>
      <c r="D71" s="549"/>
      <c r="E71" s="549"/>
      <c r="F71" s="549"/>
      <c r="G71" s="549"/>
      <c r="H71" s="550"/>
      <c r="I71" s="550"/>
      <c r="J71" s="550"/>
      <c r="K71" s="550"/>
      <c r="L71" s="551"/>
      <c r="M71" s="552"/>
      <c r="N71" s="1152"/>
      <c r="O71" s="1152"/>
      <c r="P71" s="2685"/>
      <c r="Q71" s="554"/>
    </row>
    <row r="72" spans="1:17" s="466" customFormat="1" ht="15.75" thickBot="1">
      <c r="A72" s="548"/>
      <c r="B72" s="538"/>
      <c r="C72" s="555"/>
      <c r="D72" s="531"/>
      <c r="E72" s="531"/>
      <c r="F72" s="531"/>
      <c r="G72" s="531"/>
      <c r="H72" s="531"/>
      <c r="I72" s="531"/>
      <c r="J72" s="531"/>
      <c r="K72" s="531"/>
      <c r="L72" s="531"/>
      <c r="M72" s="532"/>
      <c r="N72" s="1151"/>
      <c r="O72" s="1151"/>
      <c r="P72" s="2685"/>
      <c r="Q72" s="554"/>
    </row>
    <row r="73" spans="1:17" s="466" customFormat="1" ht="15.75" thickTop="1">
      <c r="A73" s="548"/>
      <c r="B73" s="533">
        <f>B13</f>
        <v>111</v>
      </c>
      <c r="C73" s="549"/>
      <c r="D73" s="549"/>
      <c r="E73" s="549"/>
      <c r="F73" s="549"/>
      <c r="G73" s="549"/>
      <c r="H73" s="550"/>
      <c r="I73" s="550"/>
      <c r="J73" s="550"/>
      <c r="K73" s="550"/>
      <c r="L73" s="551"/>
      <c r="M73" s="552"/>
      <c r="N73" s="1152"/>
      <c r="O73" s="1152"/>
      <c r="P73" s="2686"/>
      <c r="Q73" s="556"/>
    </row>
    <row r="74" spans="1:17" s="466" customFormat="1" ht="15.75" thickBot="1">
      <c r="A74" s="548"/>
      <c r="B74" s="538"/>
      <c r="C74" s="555"/>
      <c r="D74" s="555"/>
      <c r="E74" s="555"/>
      <c r="F74" s="555"/>
      <c r="G74" s="555"/>
      <c r="H74" s="557"/>
      <c r="I74" s="557"/>
      <c r="J74" s="557"/>
      <c r="K74" s="557"/>
      <c r="L74" s="557"/>
      <c r="M74" s="558"/>
      <c r="N74" s="1152"/>
      <c r="O74" s="1152"/>
      <c r="P74" s="2685"/>
      <c r="Q74" s="554"/>
    </row>
    <row r="75" spans="1:17" s="466" customFormat="1" ht="15.75" thickTop="1">
      <c r="A75" s="548"/>
      <c r="B75" s="541">
        <f>B14</f>
        <v>111</v>
      </c>
      <c r="C75" s="518"/>
      <c r="D75" s="518"/>
      <c r="E75" s="518"/>
      <c r="F75" s="518"/>
      <c r="G75" s="518"/>
      <c r="H75" s="559"/>
      <c r="I75" s="559"/>
      <c r="J75" s="559"/>
      <c r="K75" s="559"/>
      <c r="L75" s="560"/>
      <c r="M75" s="561"/>
      <c r="N75" s="1152"/>
      <c r="O75" s="1152"/>
      <c r="P75" s="2687"/>
      <c r="Q75" s="554"/>
    </row>
    <row r="76" spans="1:17" s="466" customFormat="1" ht="15.75" thickBot="1">
      <c r="A76" s="563"/>
      <c r="B76" s="564"/>
      <c r="C76" s="565"/>
      <c r="D76" s="565"/>
      <c r="E76" s="565"/>
      <c r="F76" s="565"/>
      <c r="G76" s="565"/>
      <c r="H76" s="566"/>
      <c r="I76" s="566"/>
      <c r="J76" s="566"/>
      <c r="K76" s="566"/>
      <c r="L76" s="566"/>
      <c r="M76" s="567"/>
      <c r="N76" s="1152"/>
      <c r="O76" s="1152"/>
      <c r="P76" s="2685"/>
      <c r="Q76" s="554"/>
    </row>
    <row r="77" spans="1:17">
      <c r="A77" s="522" t="s">
        <v>2561</v>
      </c>
      <c r="B77" s="523" t="s">
        <v>2699</v>
      </c>
      <c r="C77" s="568" t="s">
        <v>2599</v>
      </c>
      <c r="D77" s="568" t="s">
        <v>2600</v>
      </c>
      <c r="E77" s="568" t="s">
        <v>2601</v>
      </c>
      <c r="F77" s="568" t="s">
        <v>2602</v>
      </c>
      <c r="G77" s="568" t="s">
        <v>2603</v>
      </c>
      <c r="H77" s="524"/>
      <c r="I77" s="524"/>
      <c r="J77" s="524"/>
      <c r="K77" s="569"/>
      <c r="L77" s="570"/>
      <c r="M77" s="571"/>
      <c r="N77" s="1150"/>
      <c r="O77" s="1150"/>
      <c r="P77" s="2688"/>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51"/>
      <c r="O78" s="1151"/>
      <c r="P78" s="2684"/>
      <c r="Q78" s="499"/>
    </row>
    <row r="79" spans="1:17" ht="15.75" thickTop="1">
      <c r="A79" s="529"/>
      <c r="B79" s="533" t="s">
        <v>2604</v>
      </c>
      <c r="C79" s="573" t="s">
        <v>2599</v>
      </c>
      <c r="D79" s="573" t="s">
        <v>2600</v>
      </c>
      <c r="E79" s="573" t="s">
        <v>2601</v>
      </c>
      <c r="F79" s="573" t="s">
        <v>2602</v>
      </c>
      <c r="G79" s="573" t="s">
        <v>2603</v>
      </c>
      <c r="H79" s="534"/>
      <c r="I79" s="534"/>
      <c r="J79" s="534"/>
      <c r="K79" s="535"/>
      <c r="L79" s="536"/>
      <c r="M79" s="537"/>
      <c r="N79" s="1150"/>
      <c r="O79" s="1150"/>
      <c r="P79" s="2684"/>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51"/>
      <c r="O80" s="1151"/>
      <c r="P80" s="2684"/>
      <c r="Q80" s="499"/>
    </row>
    <row r="81" spans="1:17" ht="15.75" thickTop="1">
      <c r="A81" s="529"/>
      <c r="B81" s="533" t="s">
        <v>2605</v>
      </c>
      <c r="C81" s="573" t="s">
        <v>2599</v>
      </c>
      <c r="D81" s="573" t="s">
        <v>2600</v>
      </c>
      <c r="E81" s="573" t="s">
        <v>2601</v>
      </c>
      <c r="F81" s="573" t="s">
        <v>2602</v>
      </c>
      <c r="G81" s="573" t="s">
        <v>2603</v>
      </c>
      <c r="H81" s="534"/>
      <c r="I81" s="534"/>
      <c r="J81" s="534"/>
      <c r="K81" s="535"/>
      <c r="L81" s="536"/>
      <c r="M81" s="537"/>
      <c r="N81" s="1150"/>
      <c r="O81" s="1150"/>
      <c r="P81" s="2684"/>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51"/>
      <c r="O82" s="1151"/>
      <c r="P82" s="2684"/>
      <c r="Q82" s="499"/>
    </row>
    <row r="83" spans="1:17" ht="15.75" thickTop="1">
      <c r="A83" s="529"/>
      <c r="B83" s="541" t="s">
        <v>2691</v>
      </c>
      <c r="C83" s="655" t="s">
        <v>2677</v>
      </c>
      <c r="D83" s="655" t="s">
        <v>2678</v>
      </c>
      <c r="E83" s="655" t="s">
        <v>2679</v>
      </c>
      <c r="F83" s="655" t="s">
        <v>2680</v>
      </c>
      <c r="G83" s="655" t="s">
        <v>2681</v>
      </c>
      <c r="H83" s="534"/>
      <c r="I83" s="534"/>
      <c r="J83" s="534"/>
      <c r="K83" s="534"/>
      <c r="L83" s="534"/>
      <c r="M83" s="1380"/>
      <c r="N83" s="1151"/>
      <c r="O83" s="1151"/>
      <c r="P83" s="2684"/>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7"/>
      <c r="N84" s="1151"/>
      <c r="O84" s="1151"/>
      <c r="P84" s="2684"/>
      <c r="Q84" s="499"/>
    </row>
    <row r="85" spans="1:17" ht="15.75" thickTop="1">
      <c r="A85" s="529"/>
      <c r="B85" s="533" t="s">
        <v>2700</v>
      </c>
      <c r="C85" s="573" t="s">
        <v>2599</v>
      </c>
      <c r="D85" s="573" t="s">
        <v>2600</v>
      </c>
      <c r="E85" s="573" t="s">
        <v>2601</v>
      </c>
      <c r="F85" s="573" t="s">
        <v>2602</v>
      </c>
      <c r="G85" s="573" t="s">
        <v>2603</v>
      </c>
      <c r="H85" s="534"/>
      <c r="I85" s="534"/>
      <c r="J85" s="534"/>
      <c r="K85" s="535"/>
      <c r="L85" s="536"/>
      <c r="M85" s="537"/>
      <c r="N85" s="1150"/>
      <c r="O85" s="1150"/>
      <c r="P85" s="2684"/>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51"/>
      <c r="O86" s="1151"/>
      <c r="P86" s="2684"/>
      <c r="Q86" s="499"/>
    </row>
    <row r="87" spans="1:17" s="116" customFormat="1" ht="27.75" thickTop="1">
      <c r="A87" s="574"/>
      <c r="B87" s="533" t="s">
        <v>2701</v>
      </c>
      <c r="C87" s="549"/>
      <c r="D87" s="549"/>
      <c r="E87" s="549"/>
      <c r="F87" s="549"/>
      <c r="G87" s="549"/>
      <c r="H87" s="549"/>
      <c r="I87" s="549"/>
      <c r="J87" s="549"/>
      <c r="K87" s="549"/>
      <c r="L87" s="575"/>
      <c r="M87" s="576"/>
      <c r="N87" s="1149"/>
      <c r="O87" s="1149"/>
      <c r="P87" s="2684"/>
      <c r="Q87" s="499"/>
    </row>
    <row r="88" spans="1:17" s="116"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51"/>
      <c r="O88" s="1151"/>
      <c r="P88" s="2684"/>
      <c r="Q88" s="499"/>
    </row>
    <row r="89" spans="1:17" s="116" customFormat="1" ht="15.75" thickTop="1">
      <c r="A89" s="574"/>
      <c r="B89" s="533" t="str">
        <f>B27</f>
        <v>楼层</v>
      </c>
      <c r="C89" s="549"/>
      <c r="D89" s="549"/>
      <c r="E89" s="549"/>
      <c r="F89" s="2635"/>
      <c r="G89" s="549"/>
      <c r="H89" s="549"/>
      <c r="I89" s="549"/>
      <c r="J89" s="549"/>
      <c r="K89" s="549"/>
      <c r="L89" s="549"/>
      <c r="M89" s="576"/>
      <c r="N89" s="1149"/>
      <c r="O89" s="1149"/>
      <c r="P89" s="2684"/>
      <c r="Q89" s="499"/>
    </row>
    <row r="90" spans="1:17" s="116"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51"/>
      <c r="O90" s="1151"/>
      <c r="P90" s="2684"/>
      <c r="Q90" s="499"/>
    </row>
    <row r="91" spans="1:17" s="466" customFormat="1" ht="15.75" thickTop="1">
      <c r="A91" s="548"/>
      <c r="B91" s="533" t="str">
        <f>B28</f>
        <v>朝向</v>
      </c>
      <c r="C91" s="549"/>
      <c r="D91" s="549"/>
      <c r="E91" s="549"/>
      <c r="F91" s="549"/>
      <c r="G91" s="549"/>
      <c r="H91" s="550"/>
      <c r="I91" s="550"/>
      <c r="J91" s="550"/>
      <c r="K91" s="550"/>
      <c r="L91" s="551"/>
      <c r="M91" s="552"/>
      <c r="N91" s="1152"/>
      <c r="O91" s="1152"/>
      <c r="P91" s="2685"/>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52"/>
      <c r="O92" s="1152"/>
      <c r="P92" s="2685"/>
      <c r="Q92" s="554"/>
    </row>
    <row r="93" spans="1:17" ht="15.75" thickTop="1">
      <c r="A93" s="529"/>
      <c r="B93" s="533">
        <f>B29</f>
        <v>111</v>
      </c>
      <c r="C93" s="549"/>
      <c r="D93" s="549"/>
      <c r="E93" s="549"/>
      <c r="F93" s="549"/>
      <c r="G93" s="549"/>
      <c r="H93" s="549"/>
      <c r="I93" s="549"/>
      <c r="J93" s="549"/>
      <c r="K93" s="549"/>
      <c r="L93" s="575"/>
      <c r="M93" s="576"/>
      <c r="N93" s="1150"/>
      <c r="O93" s="1150"/>
      <c r="P93" s="2684"/>
      <c r="Q93" s="499"/>
    </row>
    <row r="94" spans="1:17" ht="15.75" thickBot="1">
      <c r="A94" s="529"/>
      <c r="B94" s="538"/>
      <c r="C94" s="555"/>
      <c r="D94" s="531"/>
      <c r="E94" s="531"/>
      <c r="F94" s="531"/>
      <c r="G94" s="531"/>
      <c r="H94" s="531"/>
      <c r="I94" s="531"/>
      <c r="J94" s="531"/>
      <c r="K94" s="531"/>
      <c r="L94" s="531"/>
      <c r="M94" s="532"/>
      <c r="N94" s="1151"/>
      <c r="O94" s="1151"/>
      <c r="P94" s="2684"/>
      <c r="Q94" s="499"/>
    </row>
    <row r="95" spans="1:17" ht="15.75" thickTop="1">
      <c r="A95" s="529"/>
      <c r="B95" s="533">
        <f>B30</f>
        <v>111</v>
      </c>
      <c r="C95" s="549"/>
      <c r="D95" s="549"/>
      <c r="E95" s="549"/>
      <c r="F95" s="549"/>
      <c r="G95" s="578"/>
      <c r="H95" s="578"/>
      <c r="I95" s="578"/>
      <c r="J95" s="578"/>
      <c r="K95" s="579"/>
      <c r="L95" s="580"/>
      <c r="M95" s="581"/>
      <c r="N95" s="1150"/>
      <c r="O95" s="1150"/>
      <c r="P95" s="2684"/>
      <c r="Q95" s="499"/>
    </row>
    <row r="96" spans="1:17" ht="15.75" thickBot="1">
      <c r="A96" s="529"/>
      <c r="B96" s="538"/>
      <c r="C96" s="555"/>
      <c r="D96" s="555"/>
      <c r="E96" s="555"/>
      <c r="F96" s="555"/>
      <c r="G96" s="531"/>
      <c r="H96" s="531"/>
      <c r="I96" s="531"/>
      <c r="J96" s="531"/>
      <c r="K96" s="531"/>
      <c r="L96" s="531"/>
      <c r="M96" s="532"/>
      <c r="N96" s="1151"/>
      <c r="O96" s="1151"/>
      <c r="P96" s="2684"/>
      <c r="Q96" s="499"/>
    </row>
    <row r="97" spans="1:17" ht="15.75" thickTop="1">
      <c r="A97" s="529"/>
      <c r="B97" s="533">
        <f>B31</f>
        <v>111</v>
      </c>
      <c r="C97" s="549"/>
      <c r="D97" s="549"/>
      <c r="E97" s="549"/>
      <c r="F97" s="549"/>
      <c r="G97" s="578"/>
      <c r="H97" s="578"/>
      <c r="I97" s="578"/>
      <c r="J97" s="578"/>
      <c r="K97" s="579"/>
      <c r="L97" s="580"/>
      <c r="M97" s="581"/>
      <c r="N97" s="1150"/>
      <c r="O97" s="1150"/>
      <c r="P97" s="2684"/>
      <c r="Q97" s="499"/>
    </row>
    <row r="98" spans="1:17" ht="15.75" thickBot="1">
      <c r="A98" s="529"/>
      <c r="B98" s="538"/>
      <c r="C98" s="555"/>
      <c r="D98" s="531"/>
      <c r="E98" s="531"/>
      <c r="F98" s="531"/>
      <c r="G98" s="531"/>
      <c r="H98" s="531"/>
      <c r="I98" s="531"/>
      <c r="J98" s="531"/>
      <c r="K98" s="531"/>
      <c r="L98" s="531"/>
      <c r="M98" s="532"/>
      <c r="N98" s="1151"/>
      <c r="O98" s="1151"/>
      <c r="P98" s="2684"/>
      <c r="Q98" s="499"/>
    </row>
    <row r="99" spans="1:17" ht="15.75" thickTop="1">
      <c r="A99" s="529"/>
      <c r="B99" s="541">
        <f>B32</f>
        <v>111</v>
      </c>
      <c r="C99" s="518"/>
      <c r="D99" s="518"/>
      <c r="E99" s="518"/>
      <c r="F99" s="518"/>
      <c r="G99" s="582"/>
      <c r="H99" s="582"/>
      <c r="I99" s="582"/>
      <c r="J99" s="582"/>
      <c r="K99" s="583"/>
      <c r="L99" s="584"/>
      <c r="M99" s="585"/>
      <c r="N99" s="1150"/>
      <c r="O99" s="1150"/>
      <c r="P99" s="2684"/>
      <c r="Q99" s="499"/>
    </row>
    <row r="100" spans="1:17" ht="15.75" thickBot="1">
      <c r="A100" s="2636"/>
      <c r="B100" s="564"/>
      <c r="C100" s="565"/>
      <c r="D100" s="565"/>
      <c r="E100" s="565"/>
      <c r="F100" s="565"/>
      <c r="G100" s="586"/>
      <c r="H100" s="586"/>
      <c r="I100" s="586"/>
      <c r="J100" s="586"/>
      <c r="K100" s="586"/>
      <c r="L100" s="586"/>
      <c r="M100" s="587"/>
      <c r="N100" s="1151"/>
      <c r="O100" s="1151"/>
      <c r="P100" s="2684"/>
      <c r="Q100" s="499"/>
    </row>
    <row r="101" spans="1:17">
      <c r="A101" s="522" t="s">
        <v>2565</v>
      </c>
      <c r="B101" s="523" t="s">
        <v>2614</v>
      </c>
      <c r="C101" s="525"/>
      <c r="D101" s="525"/>
      <c r="E101" s="525"/>
      <c r="F101" s="525"/>
      <c r="G101" s="525"/>
      <c r="H101" s="525"/>
      <c r="I101" s="525"/>
      <c r="J101" s="525"/>
      <c r="K101" s="526"/>
      <c r="L101" s="527"/>
      <c r="M101" s="528"/>
      <c r="N101" s="1150"/>
      <c r="O101" s="1150"/>
      <c r="P101" s="2684"/>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51"/>
      <c r="O102" s="1151"/>
      <c r="P102" s="2684"/>
      <c r="Q102" s="499"/>
    </row>
    <row r="103" spans="1:17" ht="15.75" thickTop="1">
      <c r="A103" s="529"/>
      <c r="B103" s="533" t="s">
        <v>2615</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9"/>
      <c r="O103" s="1149"/>
      <c r="P103" s="2684"/>
      <c r="Q103" s="499"/>
    </row>
    <row r="104" spans="1:17" s="466" customFormat="1">
      <c r="A104" s="588"/>
      <c r="B104" s="589"/>
      <c r="C104" s="590"/>
      <c r="D104" s="590"/>
      <c r="E104" s="590"/>
      <c r="F104" s="590"/>
      <c r="G104" s="590"/>
      <c r="H104" s="590"/>
      <c r="I104" s="590"/>
      <c r="J104" s="591"/>
      <c r="K104" s="591"/>
      <c r="L104" s="592"/>
      <c r="M104" s="593"/>
      <c r="N104" s="1152"/>
      <c r="O104" s="1152"/>
      <c r="P104" s="2685"/>
      <c r="Q104" s="554"/>
    </row>
    <row r="105" spans="1:17" s="466" customFormat="1" ht="15.75" thickBot="1">
      <c r="A105" s="548"/>
      <c r="B105" s="538"/>
      <c r="C105" s="555"/>
      <c r="D105" s="531"/>
      <c r="E105" s="531"/>
      <c r="F105" s="531"/>
      <c r="G105" s="531"/>
      <c r="H105" s="531"/>
      <c r="I105" s="531"/>
      <c r="J105" s="531"/>
      <c r="K105" s="531"/>
      <c r="L105" s="531"/>
      <c r="M105" s="532"/>
      <c r="N105" s="1151"/>
      <c r="O105" s="1151"/>
      <c r="P105" s="2685"/>
      <c r="Q105" s="554"/>
    </row>
    <row r="106" spans="1:17" ht="15" thickTop="1">
      <c r="A106" s="594"/>
      <c r="B106" s="533" t="s">
        <v>2616</v>
      </c>
      <c r="C106" s="549"/>
      <c r="D106" s="549"/>
      <c r="E106" s="578"/>
      <c r="F106" s="578"/>
      <c r="G106" s="578"/>
      <c r="H106" s="578"/>
      <c r="I106" s="578"/>
      <c r="J106" s="578"/>
      <c r="K106" s="579"/>
      <c r="L106" s="580"/>
      <c r="M106" s="581"/>
      <c r="N106" s="1150"/>
      <c r="O106" s="1150"/>
      <c r="P106" s="2684"/>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51"/>
      <c r="O107" s="1151"/>
      <c r="P107" s="2684"/>
      <c r="Q107" s="499"/>
    </row>
    <row r="108" spans="1:17" ht="15" thickTop="1">
      <c r="A108" s="594"/>
      <c r="B108" s="533" t="s">
        <v>2618</v>
      </c>
      <c r="C108" s="549"/>
      <c r="D108" s="549"/>
      <c r="E108" s="549"/>
      <c r="F108" s="578"/>
      <c r="G108" s="578"/>
      <c r="H108" s="578"/>
      <c r="I108" s="578"/>
      <c r="J108" s="578"/>
      <c r="K108" s="579"/>
      <c r="L108" s="580"/>
      <c r="M108" s="581"/>
      <c r="N108" s="1150"/>
      <c r="O108" s="1150"/>
      <c r="P108" s="2684"/>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51"/>
      <c r="O109" s="1151"/>
      <c r="P109" s="2684"/>
      <c r="Q109" s="499"/>
    </row>
    <row r="110" spans="1:17" ht="15" thickTop="1">
      <c r="A110" s="594"/>
      <c r="B110" s="533" t="s">
        <v>1999</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50"/>
      <c r="O110" s="1150"/>
      <c r="P110" s="2684"/>
      <c r="Q110" s="499"/>
    </row>
    <row r="111" spans="1:17">
      <c r="A111" s="594"/>
      <c r="B111" s="541"/>
      <c r="C111" s="598">
        <v>0.5</v>
      </c>
      <c r="D111" s="598">
        <v>0.6</v>
      </c>
      <c r="E111" s="598">
        <v>0.7</v>
      </c>
      <c r="F111" s="598">
        <v>0.8</v>
      </c>
      <c r="G111" s="598">
        <v>0.9</v>
      </c>
      <c r="H111" s="598">
        <v>1.0001</v>
      </c>
      <c r="I111" s="618"/>
      <c r="J111" s="618"/>
      <c r="K111" s="619"/>
      <c r="L111" s="620"/>
      <c r="M111" s="621"/>
      <c r="N111" s="1150"/>
      <c r="O111" s="1150"/>
      <c r="P111" s="2684"/>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51"/>
      <c r="O112" s="1151"/>
      <c r="P112" s="2684"/>
      <c r="Q112" s="499"/>
    </row>
    <row r="113" spans="1:17" s="466" customFormat="1" ht="15" thickTop="1">
      <c r="A113" s="588"/>
      <c r="B113" s="533" t="s">
        <v>2702</v>
      </c>
      <c r="C113" s="549"/>
      <c r="D113" s="549"/>
      <c r="E113" s="549"/>
      <c r="F113" s="549"/>
      <c r="G113" s="549"/>
      <c r="H113" s="578"/>
      <c r="I113" s="578"/>
      <c r="J113" s="578"/>
      <c r="K113" s="579"/>
      <c r="L113" s="580"/>
      <c r="M113" s="581"/>
      <c r="N113" s="1152"/>
      <c r="O113" s="1152"/>
      <c r="P113" s="2685"/>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52"/>
      <c r="O114" s="1152"/>
      <c r="P114" s="2685"/>
      <c r="Q114" s="554"/>
    </row>
    <row r="115" spans="1:17" ht="15" thickTop="1">
      <c r="A115" s="594"/>
      <c r="B115" s="533" t="s">
        <v>2619</v>
      </c>
      <c r="C115" s="549"/>
      <c r="D115" s="549"/>
      <c r="E115" s="578"/>
      <c r="F115" s="578"/>
      <c r="G115" s="578"/>
      <c r="H115" s="578"/>
      <c r="I115" s="578"/>
      <c r="J115" s="578"/>
      <c r="K115" s="579"/>
      <c r="L115" s="580"/>
      <c r="M115" s="581"/>
      <c r="N115" s="1150"/>
      <c r="O115" s="1150"/>
      <c r="P115" s="2684"/>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51"/>
      <c r="O116" s="1151"/>
      <c r="P116" s="2684"/>
      <c r="Q116" s="499"/>
    </row>
    <row r="117" spans="1:17" ht="15" thickTop="1">
      <c r="A117" s="594"/>
      <c r="B117" s="533" t="s">
        <v>2620</v>
      </c>
      <c r="C117" s="549"/>
      <c r="D117" s="549"/>
      <c r="E117" s="549"/>
      <c r="F117" s="549"/>
      <c r="G117" s="549"/>
      <c r="H117" s="578"/>
      <c r="I117" s="578"/>
      <c r="J117" s="578"/>
      <c r="K117" s="579"/>
      <c r="L117" s="580"/>
      <c r="M117" s="581"/>
      <c r="N117" s="1150"/>
      <c r="O117" s="1150"/>
      <c r="P117" s="2684"/>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51"/>
      <c r="O118" s="1151"/>
      <c r="P118" s="2684"/>
      <c r="Q118" s="499"/>
    </row>
    <row r="119" spans="1:17" ht="15" thickTop="1">
      <c r="A119" s="594"/>
      <c r="B119" s="631" t="s">
        <v>2703</v>
      </c>
      <c r="C119" s="578"/>
      <c r="D119" s="578"/>
      <c r="E119" s="578"/>
      <c r="F119" s="578"/>
      <c r="G119" s="578"/>
      <c r="H119" s="578"/>
      <c r="I119" s="578"/>
      <c r="J119" s="578"/>
      <c r="K119" s="578"/>
      <c r="L119" s="2689"/>
      <c r="M119" s="2690"/>
      <c r="N119" s="1151"/>
      <c r="O119" s="1151"/>
      <c r="P119" s="2691"/>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51"/>
      <c r="O120" s="1151"/>
      <c r="P120" s="2684"/>
      <c r="Q120" s="499"/>
    </row>
    <row r="121" spans="1:17" s="466" customFormat="1" ht="15" thickTop="1">
      <c r="A121" s="588"/>
      <c r="B121" s="533" t="s">
        <v>2686</v>
      </c>
      <c r="C121" s="549"/>
      <c r="D121" s="549"/>
      <c r="E121" s="549"/>
      <c r="F121" s="578"/>
      <c r="G121" s="550"/>
      <c r="H121" s="550"/>
      <c r="I121" s="550"/>
      <c r="J121" s="550"/>
      <c r="K121" s="550"/>
      <c r="L121" s="551"/>
      <c r="M121" s="552"/>
      <c r="N121" s="1152"/>
      <c r="O121" s="1152"/>
      <c r="P121" s="2685"/>
      <c r="Q121" s="554"/>
    </row>
    <row r="122" spans="1:17" s="466" customFormat="1" ht="15.75" thickBot="1">
      <c r="A122" s="548"/>
      <c r="B122" s="530"/>
      <c r="C122" s="555"/>
      <c r="D122" s="555"/>
      <c r="E122" s="555"/>
      <c r="F122" s="555"/>
      <c r="G122" s="555"/>
      <c r="H122" s="555"/>
      <c r="I122" s="555"/>
      <c r="J122" s="555"/>
      <c r="K122" s="555"/>
      <c r="L122" s="555"/>
      <c r="M122" s="555"/>
      <c r="N122" s="1152"/>
      <c r="O122" s="1152"/>
      <c r="P122" s="2685"/>
      <c r="Q122" s="554"/>
    </row>
    <row r="123" spans="1:17" ht="15" thickTop="1">
      <c r="A123" s="594"/>
      <c r="B123" s="533" t="s">
        <v>2622</v>
      </c>
      <c r="C123" s="549"/>
      <c r="D123" s="549"/>
      <c r="E123" s="549"/>
      <c r="F123" s="578"/>
      <c r="G123" s="578"/>
      <c r="H123" s="578"/>
      <c r="I123" s="578"/>
      <c r="J123" s="578"/>
      <c r="K123" s="579"/>
      <c r="L123" s="580"/>
      <c r="M123" s="581"/>
      <c r="N123" s="1150"/>
      <c r="O123" s="1150"/>
      <c r="P123" s="2684"/>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51"/>
      <c r="O124" s="1151"/>
      <c r="P124" s="2684"/>
      <c r="Q124" s="499"/>
    </row>
    <row r="125" spans="1:17" ht="15" thickTop="1">
      <c r="A125" s="594"/>
      <c r="B125" s="533" t="s">
        <v>2623</v>
      </c>
      <c r="C125" s="573" t="s">
        <v>2599</v>
      </c>
      <c r="D125" s="573" t="s">
        <v>2600</v>
      </c>
      <c r="E125" s="573" t="s">
        <v>2601</v>
      </c>
      <c r="F125" s="573" t="s">
        <v>2602</v>
      </c>
      <c r="G125" s="573" t="s">
        <v>2603</v>
      </c>
      <c r="H125" s="534"/>
      <c r="I125" s="534"/>
      <c r="J125" s="534"/>
      <c r="K125" s="535"/>
      <c r="L125" s="536"/>
      <c r="M125" s="537"/>
      <c r="N125" s="1150"/>
      <c r="O125" s="1150"/>
      <c r="P125" s="2685"/>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51"/>
      <c r="O126" s="1151"/>
      <c r="P126" s="2684"/>
      <c r="Q126" s="499"/>
    </row>
    <row r="127" spans="1:17" s="466" customFormat="1" ht="15" thickTop="1">
      <c r="A127" s="588"/>
      <c r="B127" s="533">
        <f>B45</f>
        <v>111</v>
      </c>
      <c r="C127" s="549"/>
      <c r="D127" s="549"/>
      <c r="E127" s="549"/>
      <c r="F127" s="549"/>
      <c r="G127" s="549"/>
      <c r="H127" s="550"/>
      <c r="I127" s="550"/>
      <c r="J127" s="550"/>
      <c r="K127" s="550"/>
      <c r="L127" s="551"/>
      <c r="M127" s="552"/>
      <c r="N127" s="1152"/>
      <c r="O127" s="1152"/>
      <c r="P127" s="2685"/>
      <c r="Q127" s="554"/>
    </row>
    <row r="128" spans="1:17" s="466" customFormat="1" ht="15.75" thickBot="1">
      <c r="A128" s="548"/>
      <c r="B128" s="538"/>
      <c r="C128" s="555"/>
      <c r="D128" s="531"/>
      <c r="E128" s="531"/>
      <c r="F128" s="531"/>
      <c r="G128" s="555"/>
      <c r="H128" s="557"/>
      <c r="I128" s="557"/>
      <c r="J128" s="557"/>
      <c r="K128" s="557"/>
      <c r="L128" s="557"/>
      <c r="M128" s="558"/>
      <c r="N128" s="1152"/>
      <c r="O128" s="1152"/>
      <c r="P128" s="2685"/>
      <c r="Q128" s="554"/>
    </row>
    <row r="129" spans="1:17" ht="15" thickTop="1">
      <c r="A129" s="594"/>
      <c r="B129" s="533">
        <f>B46</f>
        <v>111</v>
      </c>
      <c r="C129" s="549"/>
      <c r="D129" s="549"/>
      <c r="E129" s="549"/>
      <c r="F129" s="549"/>
      <c r="G129" s="578"/>
      <c r="H129" s="578"/>
      <c r="I129" s="578"/>
      <c r="J129" s="578"/>
      <c r="K129" s="579"/>
      <c r="L129" s="580"/>
      <c r="M129" s="581"/>
      <c r="N129" s="1150"/>
      <c r="O129" s="1150"/>
      <c r="P129" s="2684"/>
      <c r="Q129" s="499"/>
    </row>
    <row r="130" spans="1:17" ht="15.75" thickBot="1">
      <c r="A130" s="529"/>
      <c r="B130" s="538"/>
      <c r="C130" s="555"/>
      <c r="D130" s="555"/>
      <c r="E130" s="555"/>
      <c r="F130" s="555"/>
      <c r="G130" s="531"/>
      <c r="H130" s="531"/>
      <c r="I130" s="531"/>
      <c r="J130" s="531"/>
      <c r="K130" s="531"/>
      <c r="L130" s="531"/>
      <c r="M130" s="532"/>
      <c r="N130" s="1151"/>
      <c r="O130" s="1151"/>
      <c r="P130" s="2684"/>
      <c r="Q130" s="499"/>
    </row>
    <row r="131" spans="1:17" ht="15" thickTop="1">
      <c r="A131" s="594"/>
      <c r="B131" s="541">
        <f>B47</f>
        <v>111</v>
      </c>
      <c r="C131" s="518"/>
      <c r="D131" s="518"/>
      <c r="E131" s="518"/>
      <c r="F131" s="518"/>
      <c r="G131" s="582"/>
      <c r="H131" s="582"/>
      <c r="I131" s="582"/>
      <c r="J131" s="582"/>
      <c r="K131" s="518"/>
      <c r="L131" s="519"/>
      <c r="M131" s="585"/>
      <c r="N131" s="1150"/>
      <c r="O131" s="1150"/>
      <c r="P131" s="2684"/>
      <c r="Q131" s="499"/>
    </row>
    <row r="132" spans="1:17" ht="15.75" thickBot="1">
      <c r="A132" s="2636"/>
      <c r="B132" s="564"/>
      <c r="C132" s="565"/>
      <c r="D132" s="565"/>
      <c r="E132" s="565"/>
      <c r="F132" s="565"/>
      <c r="G132" s="586"/>
      <c r="H132" s="586"/>
      <c r="I132" s="586"/>
      <c r="J132" s="586"/>
      <c r="K132" s="586"/>
      <c r="L132" s="586"/>
      <c r="M132" s="587"/>
      <c r="N132" s="1151"/>
      <c r="O132" s="1151"/>
      <c r="P132" s="2684"/>
      <c r="Q132"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2531</v>
      </c>
      <c r="B1" s="2669" t="s">
        <v>2704</v>
      </c>
      <c r="C1" s="1617" t="s">
        <v>2533</v>
      </c>
      <c r="D1" s="1618"/>
      <c r="E1" s="1627"/>
      <c r="F1" s="2584"/>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2330</v>
      </c>
      <c r="B2" s="1415" t="e">
        <f ca="1">IF(C2="——",ROUND(C43*D3/10000,0),ROUND(C43*D3/10000,0)-D2)</f>
        <v>#DIV/0!</v>
      </c>
      <c r="C2" s="2586"/>
      <c r="D2" s="1122" t="e">
        <f ca="1">SUMIF(INDIRECT("'"&amp;F2&amp;"'"&amp;"!A:A"),"承租人权益价值",INDIRECT("'"&amp;F2&amp;"'"&amp;"!c:c"))</f>
        <v>#REF!</v>
      </c>
      <c r="E2" s="2587" t="s">
        <v>2331</v>
      </c>
      <c r="F2" s="2588"/>
      <c r="G2" s="1123"/>
      <c r="H2" s="1123"/>
      <c r="I2" s="1123"/>
      <c r="J2" s="1123"/>
      <c r="K2" s="1123"/>
      <c r="L2" s="1126"/>
      <c r="M2" s="1127"/>
      <c r="N2" s="1127"/>
      <c r="O2" s="1127"/>
      <c r="P2" s="763"/>
      <c r="Q2" s="763"/>
      <c r="R2" s="763"/>
      <c r="S2" s="763"/>
      <c r="T2" s="763"/>
      <c r="U2" s="763"/>
      <c r="V2" s="763"/>
      <c r="W2" s="763"/>
      <c r="X2" s="763"/>
      <c r="Y2" s="763"/>
      <c r="Z2" s="763"/>
      <c r="AA2" s="763"/>
      <c r="AB2" s="763"/>
      <c r="AC2" s="777"/>
    </row>
    <row r="3" spans="1:29" s="395" customFormat="1" ht="28.5" customHeight="1" thickBot="1">
      <c r="A3" s="244" t="s">
        <v>2332</v>
      </c>
      <c r="B3" s="604" t="e">
        <f ca="1">IF(C2="——",C43,ROUND(B2*10000/D3,0))</f>
        <v>#DIV/0!</v>
      </c>
      <c r="C3" s="397" t="s">
        <v>2646</v>
      </c>
      <c r="D3" s="396">
        <f>IF(D1="",'数据-汇总表'!E3,SUMIF('数据-汇总表'!$C19:$C33,D1,'数据-汇总表'!$E19:$E33))</f>
        <v>1</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8" t="s">
        <v>2647</v>
      </c>
      <c r="B4" s="399"/>
      <c r="C4" s="3330" t="s">
        <v>2648</v>
      </c>
      <c r="D4" s="3331"/>
      <c r="E4" s="3332" t="s">
        <v>2649</v>
      </c>
      <c r="F4" s="3333"/>
      <c r="G4" s="3330" t="s">
        <v>2650</v>
      </c>
      <c r="H4" s="3331"/>
      <c r="I4" s="3330" t="s">
        <v>2651</v>
      </c>
      <c r="J4" s="3331"/>
      <c r="K4" s="605" t="s">
        <v>2652</v>
      </c>
      <c r="L4" s="1128"/>
      <c r="M4" s="1129"/>
      <c r="N4" s="1129"/>
      <c r="O4" s="1129"/>
      <c r="P4" s="3334" t="s">
        <v>2653</v>
      </c>
      <c r="Q4" s="3335"/>
      <c r="R4" s="3340" t="s">
        <v>2649</v>
      </c>
      <c r="S4" s="3341"/>
      <c r="T4" s="3340" t="s">
        <v>2650</v>
      </c>
      <c r="U4" s="3341"/>
      <c r="V4" s="3346" t="s">
        <v>2651</v>
      </c>
      <c r="W4" s="3346"/>
      <c r="X4" s="1810"/>
      <c r="Y4" s="3340" t="s">
        <v>2653</v>
      </c>
      <c r="Z4" s="3341"/>
      <c r="AA4" s="3327" t="s">
        <v>2649</v>
      </c>
      <c r="AB4" s="3328" t="s">
        <v>2650</v>
      </c>
      <c r="AC4" s="3327" t="s">
        <v>2651</v>
      </c>
    </row>
    <row r="5" spans="1:29" ht="15">
      <c r="A5" s="401"/>
      <c r="B5" s="402"/>
      <c r="C5" s="3386" t="s">
        <v>2544</v>
      </c>
      <c r="D5" s="3355"/>
      <c r="E5" s="3388" t="s">
        <v>2545</v>
      </c>
      <c r="F5" s="3350"/>
      <c r="G5" s="3386" t="s">
        <v>2546</v>
      </c>
      <c r="H5" s="3355"/>
      <c r="I5" s="3386" t="s">
        <v>2547</v>
      </c>
      <c r="J5" s="3355"/>
      <c r="K5" s="605"/>
      <c r="L5" s="1128"/>
      <c r="M5" s="1129"/>
      <c r="N5" s="1129"/>
      <c r="O5" s="1129"/>
      <c r="P5" s="3336"/>
      <c r="Q5" s="3337"/>
      <c r="R5" s="3342"/>
      <c r="S5" s="3343"/>
      <c r="T5" s="3342"/>
      <c r="U5" s="3343"/>
      <c r="V5" s="3346"/>
      <c r="W5" s="3346"/>
      <c r="X5" s="1810"/>
      <c r="Y5" s="3342"/>
      <c r="Z5" s="3343"/>
      <c r="AA5" s="3328"/>
      <c r="AB5" s="3328"/>
      <c r="AC5" s="3328"/>
    </row>
    <row r="6" spans="1:29" ht="15.75" thickBot="1">
      <c r="A6" s="403"/>
      <c r="B6" s="404"/>
      <c r="C6" s="3385" t="s">
        <v>2548</v>
      </c>
      <c r="D6" s="3357"/>
      <c r="E6" s="3387" t="s">
        <v>2548</v>
      </c>
      <c r="F6" s="3348"/>
      <c r="G6" s="3385" t="s">
        <v>2548</v>
      </c>
      <c r="H6" s="3357"/>
      <c r="I6" s="3385" t="s">
        <v>2548</v>
      </c>
      <c r="J6" s="3357"/>
      <c r="K6" s="605" t="s">
        <v>2549</v>
      </c>
      <c r="L6" s="1128"/>
      <c r="M6" s="1129"/>
      <c r="N6" s="1129"/>
      <c r="O6" s="1129"/>
      <c r="P6" s="3338"/>
      <c r="Q6" s="3339"/>
      <c r="R6" s="3342"/>
      <c r="S6" s="3343"/>
      <c r="T6" s="3344"/>
      <c r="U6" s="3345"/>
      <c r="V6" s="3346"/>
      <c r="W6" s="3346"/>
      <c r="X6" s="1810"/>
      <c r="Y6" s="3344"/>
      <c r="Z6" s="3345"/>
      <c r="AA6" s="3329"/>
      <c r="AB6" s="3329"/>
      <c r="AC6" s="3329"/>
    </row>
    <row r="7" spans="1:29" s="116" customFormat="1" ht="15.75" thickBot="1">
      <c r="A7" s="405" t="s">
        <v>2550</v>
      </c>
      <c r="B7" s="406"/>
      <c r="C7" s="407">
        <f>'数据-取费表'!B2</f>
        <v>43621</v>
      </c>
      <c r="D7" s="408">
        <v>100</v>
      </c>
      <c r="E7" s="409"/>
      <c r="F7" s="410">
        <f>SUMIF(52:52,YEAR(E7)&amp;"-"&amp;MONTH(E7),53:53)</f>
        <v>0</v>
      </c>
      <c r="G7" s="409"/>
      <c r="H7" s="408">
        <f>SUMIF(52:52,YEAR(G7)&amp;"-"&amp;MONTH(G7),53:53)</f>
        <v>0</v>
      </c>
      <c r="I7" s="409"/>
      <c r="J7" s="408">
        <f>SUMIF(52:52,YEAR(I7)&amp;"-"&amp;MONTH(I7),53:53)</f>
        <v>0</v>
      </c>
      <c r="K7" s="606"/>
      <c r="L7" s="1130"/>
      <c r="M7" s="1131"/>
      <c r="N7" s="1131"/>
      <c r="O7" s="1131"/>
      <c r="P7" s="3351" t="s">
        <v>2551</v>
      </c>
      <c r="Q7" s="3353"/>
      <c r="R7" s="765" t="s">
        <v>17</v>
      </c>
      <c r="S7" s="766">
        <f t="shared" ref="S7:S15" si="0">F7</f>
        <v>0</v>
      </c>
      <c r="T7" s="765" t="s">
        <v>17</v>
      </c>
      <c r="U7" s="766">
        <f t="shared" ref="U7:U15" si="1">H7</f>
        <v>0</v>
      </c>
      <c r="V7" s="765" t="s">
        <v>17</v>
      </c>
      <c r="W7" s="766">
        <f t="shared" ref="W7:W15" si="2">J7</f>
        <v>0</v>
      </c>
      <c r="X7" s="767"/>
      <c r="Y7" s="3351" t="s">
        <v>2551</v>
      </c>
      <c r="Z7" s="3352"/>
      <c r="AA7" s="768" t="e">
        <f>D7/F7</f>
        <v>#DIV/0!</v>
      </c>
      <c r="AB7" s="768" t="e">
        <f>D7/H7</f>
        <v>#DIV/0!</v>
      </c>
      <c r="AC7" s="768" t="e">
        <f>D7/J7</f>
        <v>#DIV/0!</v>
      </c>
    </row>
    <row r="8" spans="1:29" s="116" customFormat="1" ht="15.75" thickBot="1">
      <c r="A8" s="405" t="s">
        <v>2552</v>
      </c>
      <c r="B8" s="406"/>
      <c r="C8" s="411" t="s">
        <v>2553</v>
      </c>
      <c r="D8" s="408">
        <v>100</v>
      </c>
      <c r="E8" s="411"/>
      <c r="F8" s="410">
        <f>SUMIF(55:55,E8,56:56)-SUMIF(55:55,C8,56:56)+100</f>
        <v>0</v>
      </c>
      <c r="G8" s="411"/>
      <c r="H8" s="408">
        <f>SUMIF(55:55,G8,56:56)-SUMIF(55:55,C8,56:56)+100</f>
        <v>0</v>
      </c>
      <c r="I8" s="411"/>
      <c r="J8" s="408">
        <f>SUMIF(55:55,I8,56:56)-SUMIF(55:55,C8,56:56)+100</f>
        <v>0</v>
      </c>
      <c r="K8" s="606"/>
      <c r="L8" s="1130"/>
      <c r="M8" s="1131"/>
      <c r="N8" s="1131"/>
      <c r="O8" s="1131"/>
      <c r="P8" s="3351" t="s">
        <v>2554</v>
      </c>
      <c r="Q8" s="3352"/>
      <c r="R8" s="765" t="s">
        <v>17</v>
      </c>
      <c r="S8" s="766">
        <f t="shared" si="0"/>
        <v>0</v>
      </c>
      <c r="T8" s="765" t="s">
        <v>17</v>
      </c>
      <c r="U8" s="766">
        <f t="shared" si="1"/>
        <v>0</v>
      </c>
      <c r="V8" s="765" t="s">
        <v>17</v>
      </c>
      <c r="W8" s="766">
        <f t="shared" si="2"/>
        <v>0</v>
      </c>
      <c r="X8" s="767"/>
      <c r="Y8" s="3351" t="s">
        <v>2554</v>
      </c>
      <c r="Z8" s="3352"/>
      <c r="AA8" s="768" t="e">
        <f t="shared" ref="AA8:AA40" si="3">D8/F8</f>
        <v>#DIV/0!</v>
      </c>
      <c r="AB8" s="768" t="e">
        <f t="shared" ref="AB8:AB40" si="4">D8/H8</f>
        <v>#DIV/0!</v>
      </c>
      <c r="AC8" s="768" t="e">
        <f t="shared" ref="AC8:AC40" si="5">D8/J8</f>
        <v>#DIV/0!</v>
      </c>
    </row>
    <row r="9" spans="1:29" s="116" customFormat="1">
      <c r="A9" s="412" t="s">
        <v>2555</v>
      </c>
      <c r="B9" s="71" t="s">
        <v>2556</v>
      </c>
      <c r="C9" s="413"/>
      <c r="D9" s="132">
        <v>100</v>
      </c>
      <c r="E9" s="416"/>
      <c r="F9" s="132">
        <f>SUMIF(57:57,E9,58:58)-SUMIF(57:57,C9,58:58)+100</f>
        <v>100</v>
      </c>
      <c r="G9" s="414"/>
      <c r="H9" s="132">
        <f>SUMIF(57:57,G9,58:58)-SUMIF(57:57,C9,58:58)+100</f>
        <v>100</v>
      </c>
      <c r="I9" s="414"/>
      <c r="J9" s="132">
        <f>SUMIF(57:57,I9,58:58)-SUMIF(57:57,C9,58:58)+100</f>
        <v>100</v>
      </c>
      <c r="K9" s="606"/>
      <c r="L9" s="1130"/>
      <c r="M9" s="1131"/>
      <c r="N9" s="1131"/>
      <c r="O9" s="1132"/>
      <c r="P9" s="3315" t="s">
        <v>2557</v>
      </c>
      <c r="Q9" s="1792" t="str">
        <f t="shared" ref="Q9:Q15" si="6">B9</f>
        <v>用途</v>
      </c>
      <c r="R9" s="765" t="s">
        <v>17</v>
      </c>
      <c r="S9" s="766">
        <f t="shared" si="0"/>
        <v>100</v>
      </c>
      <c r="T9" s="765" t="s">
        <v>17</v>
      </c>
      <c r="U9" s="766">
        <f t="shared" si="1"/>
        <v>100</v>
      </c>
      <c r="V9" s="765" t="s">
        <v>17</v>
      </c>
      <c r="W9" s="766">
        <f t="shared" si="2"/>
        <v>100</v>
      </c>
      <c r="X9" s="767"/>
      <c r="Y9" s="3167" t="s">
        <v>2558</v>
      </c>
      <c r="Z9" s="55" t="str">
        <f t="shared" ref="Z9:Z15" si="7">Q9</f>
        <v>用途</v>
      </c>
      <c r="AA9" s="768">
        <f t="shared" si="3"/>
        <v>1</v>
      </c>
      <c r="AB9" s="768">
        <f t="shared" si="4"/>
        <v>1</v>
      </c>
      <c r="AC9" s="768">
        <f t="shared" si="5"/>
        <v>1</v>
      </c>
    </row>
    <row r="10" spans="1:29" s="424" customFormat="1" ht="27">
      <c r="A10" s="418"/>
      <c r="B10" s="419" t="s">
        <v>2559</v>
      </c>
      <c r="C10" s="420"/>
      <c r="D10" s="133">
        <v>100</v>
      </c>
      <c r="E10" s="420"/>
      <c r="F10" s="133">
        <f>SUMIF(59:59,E10,60:60)-SUMIF(59:59,C10,60:60)+100</f>
        <v>100</v>
      </c>
      <c r="G10" s="421"/>
      <c r="H10" s="133">
        <f>SUMIF(59:59,G10,60:60)-SUMIF(59:59,C10,60:60)+100</f>
        <v>100</v>
      </c>
      <c r="I10" s="420"/>
      <c r="J10" s="133">
        <f>SUMIF(59:59,I10,60:60)-SUMIF(59:59,C10,60:60)+100</f>
        <v>100</v>
      </c>
      <c r="K10" s="607"/>
      <c r="L10" s="1133"/>
      <c r="M10" s="1134"/>
      <c r="N10" s="1134"/>
      <c r="O10" s="1135"/>
      <c r="P10" s="3315"/>
      <c r="Q10" s="1792" t="str">
        <f t="shared" si="6"/>
        <v>土地使用年限（年）</v>
      </c>
      <c r="R10" s="765" t="s">
        <v>17</v>
      </c>
      <c r="S10" s="766">
        <f t="shared" si="0"/>
        <v>100</v>
      </c>
      <c r="T10" s="765" t="s">
        <v>17</v>
      </c>
      <c r="U10" s="766">
        <f t="shared" si="1"/>
        <v>100</v>
      </c>
      <c r="V10" s="765" t="s">
        <v>17</v>
      </c>
      <c r="W10" s="766">
        <f t="shared" si="2"/>
        <v>100</v>
      </c>
      <c r="X10" s="767"/>
      <c r="Y10" s="3167"/>
      <c r="Z10" s="55" t="str">
        <f t="shared" si="7"/>
        <v>土地使用年限（年）</v>
      </c>
      <c r="AA10" s="768">
        <f t="shared" si="3"/>
        <v>1</v>
      </c>
      <c r="AB10" s="768">
        <f t="shared" si="4"/>
        <v>1</v>
      </c>
      <c r="AC10" s="768">
        <f t="shared" si="5"/>
        <v>1</v>
      </c>
    </row>
    <row r="11" spans="1:29" ht="15">
      <c r="A11" s="425"/>
      <c r="B11" s="419" t="s">
        <v>2560</v>
      </c>
      <c r="C11" s="426"/>
      <c r="D11" s="133">
        <v>100</v>
      </c>
      <c r="E11" s="426"/>
      <c r="F11" s="133" t="e">
        <f>LOOKUP(E11,62:62,63:63)-LOOKUP(C11,62:62,63:63)+100</f>
        <v>#N/A</v>
      </c>
      <c r="G11" s="427"/>
      <c r="H11" s="133" t="e">
        <f>LOOKUP(G11,62:62,63:63)-LOOKUP(C11,62:62,63:63)+100</f>
        <v>#N/A</v>
      </c>
      <c r="I11" s="426"/>
      <c r="J11" s="133" t="e">
        <f>LOOKUP(I11,62:62,63:63)-LOOKUP(C11,62:62,63:63)+100</f>
        <v>#N/A</v>
      </c>
      <c r="K11" s="607"/>
      <c r="L11" s="1136"/>
      <c r="M11" s="1129"/>
      <c r="N11" s="1129"/>
      <c r="O11" s="1137"/>
      <c r="P11" s="3315"/>
      <c r="Q11" s="1792" t="str">
        <f t="shared" si="6"/>
        <v>容积率</v>
      </c>
      <c r="R11" s="765" t="s">
        <v>17</v>
      </c>
      <c r="S11" s="766" t="e">
        <f t="shared" si="0"/>
        <v>#N/A</v>
      </c>
      <c r="T11" s="765" t="s">
        <v>17</v>
      </c>
      <c r="U11" s="766" t="e">
        <f t="shared" si="1"/>
        <v>#N/A</v>
      </c>
      <c r="V11" s="765" t="s">
        <v>17</v>
      </c>
      <c r="W11" s="766" t="e">
        <f t="shared" si="2"/>
        <v>#N/A</v>
      </c>
      <c r="X11" s="767"/>
      <c r="Y11" s="3167"/>
      <c r="Z11" s="55" t="str">
        <f t="shared" si="7"/>
        <v>容积率</v>
      </c>
      <c r="AA11" s="768" t="e">
        <f t="shared" si="3"/>
        <v>#N/A</v>
      </c>
      <c r="AB11" s="768" t="e">
        <f t="shared" si="4"/>
        <v>#N/A</v>
      </c>
      <c r="AC11" s="768" t="e">
        <f t="shared" si="5"/>
        <v>#N/A</v>
      </c>
    </row>
    <row r="12" spans="1:29" s="116" customFormat="1" ht="15">
      <c r="A12" s="428"/>
      <c r="B12" s="2600">
        <v>111</v>
      </c>
      <c r="C12" s="429"/>
      <c r="D12" s="430">
        <v>100</v>
      </c>
      <c r="E12" s="431"/>
      <c r="F12" s="133">
        <f>SUMIF(64:64,E12,65:65)-SUMIF(64:64,C12,65:65)+100</f>
        <v>100</v>
      </c>
      <c r="G12" s="2692"/>
      <c r="H12" s="133">
        <f>SUMIF(64:64,G12,65:65)-SUMIF(64:64,C12,65:65)+100</f>
        <v>100</v>
      </c>
      <c r="I12" s="464"/>
      <c r="J12" s="133">
        <f>SUMIF(64:64,I12,65:65)-SUMIF(64:64,C12,65:65)+100</f>
        <v>100</v>
      </c>
      <c r="K12" s="608"/>
      <c r="L12" s="1130"/>
      <c r="M12" s="1131"/>
      <c r="N12" s="1131"/>
      <c r="O12" s="1132"/>
      <c r="P12" s="3315"/>
      <c r="Q12" s="1792">
        <f t="shared" si="6"/>
        <v>111</v>
      </c>
      <c r="R12" s="765" t="s">
        <v>17</v>
      </c>
      <c r="S12" s="766">
        <f t="shared" si="0"/>
        <v>100</v>
      </c>
      <c r="T12" s="765" t="s">
        <v>17</v>
      </c>
      <c r="U12" s="766">
        <f t="shared" si="1"/>
        <v>100</v>
      </c>
      <c r="V12" s="765" t="s">
        <v>17</v>
      </c>
      <c r="W12" s="766">
        <f t="shared" si="2"/>
        <v>100</v>
      </c>
      <c r="X12" s="767"/>
      <c r="Y12" s="3167"/>
      <c r="Z12" s="55">
        <f t="shared" si="7"/>
        <v>111</v>
      </c>
      <c r="AA12" s="768">
        <f>D12/F12</f>
        <v>1</v>
      </c>
      <c r="AB12" s="768">
        <f>D12/H12</f>
        <v>1</v>
      </c>
      <c r="AC12" s="768">
        <f>D12/J12</f>
        <v>1</v>
      </c>
    </row>
    <row r="13" spans="1:29" ht="15">
      <c r="A13" s="425"/>
      <c r="B13" s="2600">
        <v>111</v>
      </c>
      <c r="C13" s="431"/>
      <c r="D13" s="432">
        <v>100</v>
      </c>
      <c r="E13" s="431"/>
      <c r="F13" s="133">
        <f>SUMIF(66:66,E13,67:67)-SUMIF(66:66,C13,67:67)+100</f>
        <v>100</v>
      </c>
      <c r="G13" s="2692"/>
      <c r="H13" s="432">
        <f>SUMIF(66:66,G13,67:67)-SUMIF(66:66,C13,67:67)+100</f>
        <v>100</v>
      </c>
      <c r="I13" s="464"/>
      <c r="J13" s="432">
        <f>SUMIF(66:66,I13,67:67)-SUMIF(66:66,C13,67:67)+100</f>
        <v>100</v>
      </c>
      <c r="K13" s="608"/>
      <c r="L13" s="1138"/>
      <c r="M13" s="1129"/>
      <c r="N13" s="1129"/>
      <c r="O13" s="1137"/>
      <c r="P13" s="3315"/>
      <c r="Q13" s="1792">
        <f t="shared" si="6"/>
        <v>111</v>
      </c>
      <c r="R13" s="765" t="s">
        <v>17</v>
      </c>
      <c r="S13" s="766">
        <f t="shared" si="0"/>
        <v>100</v>
      </c>
      <c r="T13" s="765" t="s">
        <v>17</v>
      </c>
      <c r="U13" s="766">
        <f t="shared" si="1"/>
        <v>100</v>
      </c>
      <c r="V13" s="765" t="s">
        <v>17</v>
      </c>
      <c r="W13" s="766">
        <f t="shared" si="2"/>
        <v>100</v>
      </c>
      <c r="X13" s="767"/>
      <c r="Y13" s="3167"/>
      <c r="Z13" s="55">
        <f t="shared" si="7"/>
        <v>111</v>
      </c>
      <c r="AA13" s="768">
        <f t="shared" si="3"/>
        <v>1</v>
      </c>
      <c r="AB13" s="768">
        <f t="shared" si="4"/>
        <v>1</v>
      </c>
      <c r="AC13" s="768">
        <f t="shared" si="5"/>
        <v>1</v>
      </c>
    </row>
    <row r="14" spans="1:29" ht="15.75" thickBot="1">
      <c r="A14" s="433"/>
      <c r="B14" s="2602">
        <v>111</v>
      </c>
      <c r="C14" s="434"/>
      <c r="D14" s="435">
        <v>100</v>
      </c>
      <c r="E14" s="434"/>
      <c r="F14" s="435">
        <f>SUMIF(68:68,E14,69:69)-SUMIF(68:68,C14,69:69)+100</f>
        <v>100</v>
      </c>
      <c r="G14" s="2692"/>
      <c r="H14" s="435">
        <f>SUMIF(68:68,G14,69:69)-SUMIF(68:68,C14,69:69)+100</f>
        <v>100</v>
      </c>
      <c r="I14" s="464"/>
      <c r="J14" s="435">
        <f>SUMIF(68:68,I14,69:69)-SUMIF(68:68,C14,69:69)+100</f>
        <v>100</v>
      </c>
      <c r="K14" s="608"/>
      <c r="L14" s="1138"/>
      <c r="M14" s="1129"/>
      <c r="N14" s="1129"/>
      <c r="O14" s="1137"/>
      <c r="P14" s="3315"/>
      <c r="Q14" s="1792">
        <f t="shared" si="6"/>
        <v>111</v>
      </c>
      <c r="R14" s="765" t="s">
        <v>17</v>
      </c>
      <c r="S14" s="766">
        <f t="shared" si="0"/>
        <v>100</v>
      </c>
      <c r="T14" s="765" t="s">
        <v>17</v>
      </c>
      <c r="U14" s="766">
        <f t="shared" si="1"/>
        <v>100</v>
      </c>
      <c r="V14" s="765" t="s">
        <v>17</v>
      </c>
      <c r="W14" s="766">
        <f t="shared" si="2"/>
        <v>100</v>
      </c>
      <c r="X14" s="767"/>
      <c r="Y14" s="3167"/>
      <c r="Z14" s="55">
        <f t="shared" si="7"/>
        <v>111</v>
      </c>
      <c r="AA14" s="768">
        <f t="shared" si="3"/>
        <v>1</v>
      </c>
      <c r="AB14" s="768">
        <f t="shared" si="4"/>
        <v>1</v>
      </c>
      <c r="AC14" s="768">
        <f t="shared" si="5"/>
        <v>1</v>
      </c>
    </row>
    <row r="15" spans="1:29" ht="57">
      <c r="A15" s="437" t="s">
        <v>2561</v>
      </c>
      <c r="B15" s="69" t="s">
        <v>2705</v>
      </c>
      <c r="C15" s="2693"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09"/>
      <c r="L15" s="1138"/>
      <c r="M15" s="1129"/>
      <c r="N15" s="1129"/>
      <c r="O15" s="1137"/>
      <c r="P15" s="3317" t="s">
        <v>2562</v>
      </c>
      <c r="Q15" s="1807" t="str">
        <f t="shared" si="6"/>
        <v>产业集聚程度</v>
      </c>
      <c r="R15" s="769" t="s">
        <v>17</v>
      </c>
      <c r="S15" s="770">
        <f t="shared" si="0"/>
        <v>100</v>
      </c>
      <c r="T15" s="769" t="s">
        <v>17</v>
      </c>
      <c r="U15" s="770">
        <f t="shared" si="1"/>
        <v>100</v>
      </c>
      <c r="V15" s="769" t="s">
        <v>17</v>
      </c>
      <c r="W15" s="770">
        <f t="shared" si="2"/>
        <v>100</v>
      </c>
      <c r="X15" s="1810"/>
      <c r="Y15" s="3317" t="s">
        <v>2562</v>
      </c>
      <c r="Z15" s="1811" t="str">
        <f t="shared" si="7"/>
        <v>产业集聚程度</v>
      </c>
      <c r="AA15" s="1808">
        <f t="shared" si="3"/>
        <v>1</v>
      </c>
      <c r="AB15" s="1808">
        <f t="shared" si="4"/>
        <v>1</v>
      </c>
      <c r="AC15" s="1808">
        <f t="shared" si="5"/>
        <v>1</v>
      </c>
    </row>
    <row r="16" spans="1:29" ht="15">
      <c r="A16" s="425"/>
      <c r="B16" s="443"/>
      <c r="C16" s="444"/>
      <c r="D16" s="445"/>
      <c r="E16" s="444"/>
      <c r="F16" s="446"/>
      <c r="G16" s="444"/>
      <c r="H16" s="447"/>
      <c r="I16" s="444"/>
      <c r="J16" s="445"/>
      <c r="K16" s="610"/>
      <c r="L16" s="1138"/>
      <c r="M16" s="1129"/>
      <c r="N16" s="1129"/>
      <c r="O16" s="1137"/>
      <c r="P16" s="3318"/>
      <c r="Q16" s="1807"/>
      <c r="R16" s="769"/>
      <c r="S16" s="770"/>
      <c r="T16" s="769"/>
      <c r="U16" s="770"/>
      <c r="V16" s="769"/>
      <c r="W16" s="770"/>
      <c r="X16" s="1810"/>
      <c r="Y16" s="3318"/>
      <c r="Z16" s="1811"/>
      <c r="AA16" s="1808">
        <v>1</v>
      </c>
      <c r="AB16" s="1808">
        <v>1</v>
      </c>
      <c r="AC16" s="1808">
        <v>1</v>
      </c>
    </row>
    <row r="17" spans="1:29" ht="85.5">
      <c r="A17" s="425"/>
      <c r="B17" s="448" t="s">
        <v>2100</v>
      </c>
      <c r="C17" s="2607"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09"/>
      <c r="L17" s="1138"/>
      <c r="M17" s="1129"/>
      <c r="N17" s="1129"/>
      <c r="O17" s="1137"/>
      <c r="P17" s="3318"/>
      <c r="Q17" s="1807" t="str">
        <f>B17</f>
        <v>交通便捷度</v>
      </c>
      <c r="R17" s="769" t="s">
        <v>17</v>
      </c>
      <c r="S17" s="770">
        <f>F17</f>
        <v>100</v>
      </c>
      <c r="T17" s="769" t="s">
        <v>17</v>
      </c>
      <c r="U17" s="770">
        <f>H17</f>
        <v>100</v>
      </c>
      <c r="V17" s="769" t="s">
        <v>17</v>
      </c>
      <c r="W17" s="770">
        <f>J17</f>
        <v>100</v>
      </c>
      <c r="X17" s="1810"/>
      <c r="Y17" s="3318"/>
      <c r="Z17" s="1811" t="str">
        <f>Q17</f>
        <v>交通便捷度</v>
      </c>
      <c r="AA17" s="1808">
        <f t="shared" si="3"/>
        <v>1</v>
      </c>
      <c r="AB17" s="1808">
        <f t="shared" si="4"/>
        <v>1</v>
      </c>
      <c r="AC17" s="1808">
        <f t="shared" si="5"/>
        <v>1</v>
      </c>
    </row>
    <row r="18" spans="1:29" ht="15">
      <c r="A18" s="425"/>
      <c r="B18" s="453"/>
      <c r="C18" s="2608"/>
      <c r="D18" s="447"/>
      <c r="E18" s="2610"/>
      <c r="F18" s="450"/>
      <c r="G18" s="2609"/>
      <c r="H18" s="445"/>
      <c r="I18" s="2610"/>
      <c r="J18" s="445"/>
      <c r="K18" s="610"/>
      <c r="L18" s="1138"/>
      <c r="M18" s="1129"/>
      <c r="N18" s="1129"/>
      <c r="O18" s="1137"/>
      <c r="P18" s="3318"/>
      <c r="Q18" s="1807"/>
      <c r="R18" s="769"/>
      <c r="S18" s="770"/>
      <c r="T18" s="769"/>
      <c r="U18" s="770"/>
      <c r="V18" s="769"/>
      <c r="W18" s="770"/>
      <c r="X18" s="1810"/>
      <c r="Y18" s="3318"/>
      <c r="Z18" s="1811"/>
      <c r="AA18" s="1808">
        <v>1</v>
      </c>
      <c r="AB18" s="1808">
        <v>1</v>
      </c>
      <c r="AC18" s="1808">
        <v>1</v>
      </c>
    </row>
    <row r="19" spans="1:29" ht="42.75">
      <c r="A19" s="425"/>
      <c r="B19" s="448" t="s">
        <v>2690</v>
      </c>
      <c r="C19" s="2607"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09"/>
      <c r="L19" s="1138"/>
      <c r="M19" s="1129"/>
      <c r="N19" s="1129"/>
      <c r="O19" s="1137"/>
      <c r="P19" s="3318"/>
      <c r="Q19" s="1807" t="str">
        <f>B19</f>
        <v>公共配套设施</v>
      </c>
      <c r="R19" s="769" t="s">
        <v>17</v>
      </c>
      <c r="S19" s="770">
        <f>F19</f>
        <v>100</v>
      </c>
      <c r="T19" s="769" t="s">
        <v>17</v>
      </c>
      <c r="U19" s="770">
        <f>H19</f>
        <v>100</v>
      </c>
      <c r="V19" s="769" t="s">
        <v>17</v>
      </c>
      <c r="W19" s="770">
        <f>J19</f>
        <v>100</v>
      </c>
      <c r="X19" s="1810"/>
      <c r="Y19" s="3318"/>
      <c r="Z19" s="1811" t="str">
        <f>Q19</f>
        <v>公共配套设施</v>
      </c>
      <c r="AA19" s="1808">
        <f t="shared" si="3"/>
        <v>1</v>
      </c>
      <c r="AB19" s="1808">
        <f t="shared" si="4"/>
        <v>1</v>
      </c>
      <c r="AC19" s="1808">
        <f t="shared" si="5"/>
        <v>1</v>
      </c>
    </row>
    <row r="20" spans="1:29" ht="15">
      <c r="A20" s="425"/>
      <c r="B20" s="453"/>
      <c r="C20" s="444"/>
      <c r="D20" s="445"/>
      <c r="E20" s="2605"/>
      <c r="F20" s="446"/>
      <c r="G20" s="2604"/>
      <c r="H20" s="445"/>
      <c r="I20" s="2605"/>
      <c r="J20" s="445"/>
      <c r="K20" s="610"/>
      <c r="L20" s="1138"/>
      <c r="M20" s="1129"/>
      <c r="N20" s="1129"/>
      <c r="O20" s="1137"/>
      <c r="P20" s="3318"/>
      <c r="Q20" s="1807"/>
      <c r="R20" s="769"/>
      <c r="S20" s="770"/>
      <c r="T20" s="769"/>
      <c r="U20" s="770"/>
      <c r="V20" s="769"/>
      <c r="W20" s="770"/>
      <c r="X20" s="1810"/>
      <c r="Y20" s="3318"/>
      <c r="Z20" s="1811"/>
      <c r="AA20" s="1808">
        <v>1</v>
      </c>
      <c r="AB20" s="1808">
        <v>1</v>
      </c>
      <c r="AC20" s="1808">
        <v>1</v>
      </c>
    </row>
    <row r="21" spans="1:29" ht="28.5">
      <c r="A21" s="425"/>
      <c r="B21" s="1382" t="s">
        <v>2691</v>
      </c>
      <c r="C21" s="2607"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09"/>
      <c r="L21" s="1138"/>
      <c r="M21" s="1129"/>
      <c r="N21" s="1129"/>
      <c r="O21" s="1137"/>
      <c r="P21" s="3318"/>
      <c r="Q21" s="1807" t="str">
        <f>B21</f>
        <v>基础设施水平</v>
      </c>
      <c r="R21" s="769" t="s">
        <v>17</v>
      </c>
      <c r="S21" s="770">
        <f>F21</f>
        <v>100</v>
      </c>
      <c r="T21" s="769" t="s">
        <v>17</v>
      </c>
      <c r="U21" s="770">
        <f>H21</f>
        <v>100</v>
      </c>
      <c r="V21" s="769" t="s">
        <v>17</v>
      </c>
      <c r="W21" s="770">
        <f>J21</f>
        <v>100</v>
      </c>
      <c r="X21" s="1810"/>
      <c r="Y21" s="3318"/>
      <c r="Z21" s="1811" t="str">
        <f>Q21</f>
        <v>基础设施水平</v>
      </c>
      <c r="AA21" s="1808">
        <f t="shared" ref="AA21" si="8">D21/F21</f>
        <v>1</v>
      </c>
      <c r="AB21" s="1808">
        <f t="shared" ref="AB21" si="9">D21/H21</f>
        <v>1</v>
      </c>
      <c r="AC21" s="1808">
        <f t="shared" ref="AC21" si="10">D21/J21</f>
        <v>1</v>
      </c>
    </row>
    <row r="22" spans="1:29" ht="15">
      <c r="A22" s="425"/>
      <c r="B22" s="1382"/>
      <c r="C22" s="2608"/>
      <c r="D22" s="445"/>
      <c r="E22" s="444"/>
      <c r="F22" s="446"/>
      <c r="G22" s="444"/>
      <c r="H22" s="445"/>
      <c r="I22" s="444"/>
      <c r="J22" s="445"/>
      <c r="K22" s="1381"/>
      <c r="L22" s="1138"/>
      <c r="M22" s="1129"/>
      <c r="N22" s="1129"/>
      <c r="O22" s="1137"/>
      <c r="P22" s="3318"/>
      <c r="Q22" s="1807"/>
      <c r="R22" s="769"/>
      <c r="S22" s="770"/>
      <c r="T22" s="769"/>
      <c r="U22" s="770"/>
      <c r="V22" s="769"/>
      <c r="W22" s="770"/>
      <c r="X22" s="1810"/>
      <c r="Y22" s="3318"/>
      <c r="Z22" s="1811"/>
      <c r="AA22" s="1808">
        <v>1</v>
      </c>
      <c r="AB22" s="1808">
        <v>1</v>
      </c>
      <c r="AC22" s="1808">
        <v>1</v>
      </c>
    </row>
    <row r="23" spans="1:29" ht="71.25">
      <c r="A23" s="425"/>
      <c r="B23" s="448" t="s">
        <v>2692</v>
      </c>
      <c r="C23" s="2607"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09"/>
      <c r="L23" s="1138"/>
      <c r="M23" s="1129"/>
      <c r="N23" s="1129"/>
      <c r="O23" s="1137"/>
      <c r="P23" s="3318"/>
      <c r="Q23" s="1807" t="str">
        <f>B23</f>
        <v>环境质量</v>
      </c>
      <c r="R23" s="769" t="s">
        <v>17</v>
      </c>
      <c r="S23" s="770">
        <f>F23</f>
        <v>100</v>
      </c>
      <c r="T23" s="769" t="s">
        <v>17</v>
      </c>
      <c r="U23" s="770">
        <f>H23</f>
        <v>100</v>
      </c>
      <c r="V23" s="769" t="s">
        <v>17</v>
      </c>
      <c r="W23" s="770">
        <f>J23</f>
        <v>100</v>
      </c>
      <c r="X23" s="1810"/>
      <c r="Y23" s="3318"/>
      <c r="Z23" s="1811" t="str">
        <f>Q23</f>
        <v>环境质量</v>
      </c>
      <c r="AA23" s="1808">
        <f t="shared" si="3"/>
        <v>1</v>
      </c>
      <c r="AB23" s="1808">
        <f t="shared" si="4"/>
        <v>1</v>
      </c>
      <c r="AC23" s="1808">
        <f t="shared" si="5"/>
        <v>1</v>
      </c>
    </row>
    <row r="24" spans="1:29" ht="15">
      <c r="A24" s="425"/>
      <c r="B24" s="1382"/>
      <c r="C24" s="444"/>
      <c r="D24" s="445"/>
      <c r="E24" s="2605"/>
      <c r="F24" s="446"/>
      <c r="G24" s="2604"/>
      <c r="H24" s="445"/>
      <c r="I24" s="2605"/>
      <c r="J24" s="445"/>
      <c r="K24" s="610"/>
      <c r="L24" s="1138"/>
      <c r="M24" s="1129"/>
      <c r="N24" s="1129"/>
      <c r="O24" s="1137"/>
      <c r="P24" s="3318"/>
      <c r="Q24" s="1807"/>
      <c r="R24" s="769"/>
      <c r="S24" s="770"/>
      <c r="T24" s="769"/>
      <c r="U24" s="770"/>
      <c r="V24" s="769"/>
      <c r="W24" s="770"/>
      <c r="X24" s="1810"/>
      <c r="Y24" s="3318"/>
      <c r="Z24" s="1811"/>
      <c r="AA24" s="1808">
        <v>1</v>
      </c>
      <c r="AB24" s="1808">
        <v>1</v>
      </c>
      <c r="AC24" s="1808">
        <v>1</v>
      </c>
    </row>
    <row r="25" spans="1:29" ht="15">
      <c r="A25" s="401"/>
      <c r="B25" s="1384">
        <v>111</v>
      </c>
      <c r="C25" s="431">
        <v>111</v>
      </c>
      <c r="D25" s="432">
        <v>100</v>
      </c>
      <c r="E25" s="431"/>
      <c r="F25" s="458">
        <f>SUMIF(80:80,E25,81:81)-SUMIF(80:80,C25,81:81)+100</f>
        <v>100</v>
      </c>
      <c r="G25" s="431"/>
      <c r="H25" s="432">
        <f>SUMIF(80:80,G25,81:81)-SUMIF(80:80,C25,81:81)+100</f>
        <v>100</v>
      </c>
      <c r="I25" s="431"/>
      <c r="J25" s="432">
        <f>SUMIF(80:80,I25,81:81)-SUMIF(80:80,C25,81:81)+100</f>
        <v>100</v>
      </c>
      <c r="K25" s="608"/>
      <c r="L25" s="1138"/>
      <c r="M25" s="1129"/>
      <c r="N25" s="1129"/>
      <c r="O25" s="1137"/>
      <c r="P25" s="3318"/>
      <c r="Q25" s="1807">
        <f>B25</f>
        <v>111</v>
      </c>
      <c r="R25" s="769" t="s">
        <v>17</v>
      </c>
      <c r="S25" s="770">
        <f>F25</f>
        <v>100</v>
      </c>
      <c r="T25" s="769" t="s">
        <v>17</v>
      </c>
      <c r="U25" s="770">
        <f>H25</f>
        <v>100</v>
      </c>
      <c r="V25" s="769" t="s">
        <v>17</v>
      </c>
      <c r="W25" s="770">
        <f>J25</f>
        <v>100</v>
      </c>
      <c r="X25" s="1810"/>
      <c r="Y25" s="3318"/>
      <c r="Z25" s="1811">
        <f>Q25</f>
        <v>111</v>
      </c>
      <c r="AA25" s="1808">
        <f t="shared" si="3"/>
        <v>1</v>
      </c>
      <c r="AB25" s="1808">
        <f t="shared" si="4"/>
        <v>1</v>
      </c>
      <c r="AC25" s="1808">
        <f t="shared" si="5"/>
        <v>1</v>
      </c>
    </row>
    <row r="26" spans="1:29" ht="15">
      <c r="A26" s="425"/>
      <c r="B26" s="1384">
        <v>111</v>
      </c>
      <c r="C26" s="431">
        <v>111</v>
      </c>
      <c r="D26" s="432">
        <v>100</v>
      </c>
      <c r="E26" s="431"/>
      <c r="F26" s="458">
        <f>SUMIF(82:82,E26,83:83)-SUMIF(82:82,C26,83:83)+100</f>
        <v>100</v>
      </c>
      <c r="G26" s="431"/>
      <c r="H26" s="432">
        <f>SUMIF(82:82,G26,83:83)-SUMIF(82:82,C26,83:83)+100</f>
        <v>100</v>
      </c>
      <c r="I26" s="431"/>
      <c r="J26" s="432">
        <f>SUMIF(82:82,I26,83:83)-SUMIF(82:82,C26,83:83)+100</f>
        <v>100</v>
      </c>
      <c r="K26" s="608"/>
      <c r="L26" s="1138"/>
      <c r="M26" s="1129"/>
      <c r="N26" s="1129"/>
      <c r="O26" s="1137"/>
      <c r="P26" s="3318"/>
      <c r="Q26" s="1807">
        <f t="shared" ref="Q26:Q40" si="11">B26</f>
        <v>111</v>
      </c>
      <c r="R26" s="769" t="s">
        <v>17</v>
      </c>
      <c r="S26" s="770">
        <f>F26</f>
        <v>100</v>
      </c>
      <c r="T26" s="769" t="s">
        <v>17</v>
      </c>
      <c r="U26" s="770">
        <f>H26</f>
        <v>100</v>
      </c>
      <c r="V26" s="769" t="s">
        <v>17</v>
      </c>
      <c r="W26" s="770">
        <f>J26</f>
        <v>100</v>
      </c>
      <c r="X26" s="1810"/>
      <c r="Y26" s="3318"/>
      <c r="Z26" s="1811">
        <f>Q26</f>
        <v>111</v>
      </c>
      <c r="AA26" s="1808">
        <f t="shared" si="3"/>
        <v>1</v>
      </c>
      <c r="AB26" s="1808">
        <f t="shared" si="4"/>
        <v>1</v>
      </c>
      <c r="AC26" s="1808">
        <f t="shared" si="5"/>
        <v>1</v>
      </c>
    </row>
    <row r="27" spans="1:29" s="116" customFormat="1" ht="15">
      <c r="A27" s="428"/>
      <c r="B27" s="1384">
        <v>111</v>
      </c>
      <c r="C27" s="431">
        <v>111</v>
      </c>
      <c r="D27" s="459">
        <v>100</v>
      </c>
      <c r="E27" s="431"/>
      <c r="F27" s="460">
        <f>SUMIF(84:84,E27,85:85)-SUMIF(84:84,C27,85:85)+100</f>
        <v>100</v>
      </c>
      <c r="G27" s="431"/>
      <c r="H27" s="459">
        <f>SUMIF(84:84,G27,85:85)-SUMIF(84:84,C27,85:85)+100</f>
        <v>100</v>
      </c>
      <c r="I27" s="431"/>
      <c r="J27" s="459">
        <f>SUMIF(84:84,I27,85:85)-SUMIF(84:84,C27,85:85)+100</f>
        <v>100</v>
      </c>
      <c r="K27" s="608"/>
      <c r="L27" s="1130"/>
      <c r="M27" s="1131"/>
      <c r="N27" s="1131"/>
      <c r="O27" s="1132"/>
      <c r="P27" s="3318"/>
      <c r="Q27" s="1792">
        <f t="shared" si="11"/>
        <v>111</v>
      </c>
      <c r="R27" s="765" t="s">
        <v>17</v>
      </c>
      <c r="S27" s="766">
        <f>F27</f>
        <v>100</v>
      </c>
      <c r="T27" s="765" t="s">
        <v>17</v>
      </c>
      <c r="U27" s="766">
        <f>H27</f>
        <v>100</v>
      </c>
      <c r="V27" s="765" t="s">
        <v>17</v>
      </c>
      <c r="W27" s="766">
        <f>J27</f>
        <v>100</v>
      </c>
      <c r="X27" s="767"/>
      <c r="Y27" s="3318"/>
      <c r="Z27" s="55">
        <f>Q27</f>
        <v>111</v>
      </c>
      <c r="AA27" s="1808">
        <f>D27/F27</f>
        <v>1</v>
      </c>
      <c r="AB27" s="1808">
        <f>D27/H27</f>
        <v>1</v>
      </c>
      <c r="AC27" s="1808">
        <f>D27/J27</f>
        <v>1</v>
      </c>
    </row>
    <row r="28" spans="1:29" ht="15.75" thickBot="1">
      <c r="A28" s="433"/>
      <c r="B28" s="1384">
        <v>111</v>
      </c>
      <c r="C28" s="434">
        <v>111</v>
      </c>
      <c r="D28" s="435">
        <v>100</v>
      </c>
      <c r="E28" s="431"/>
      <c r="F28" s="436">
        <f>SUMIF(86:86,E28,87:87)-SUMIF(86:86,C28,87:87)+100</f>
        <v>100</v>
      </c>
      <c r="G28" s="464"/>
      <c r="H28" s="435">
        <f>SUMIF(86:86,G28,87:87)-SUMIF(86:86,C28,87:87)+100</f>
        <v>100</v>
      </c>
      <c r="I28" s="464"/>
      <c r="J28" s="435">
        <f>SUMIF(86:86,I28,87:87)-SUMIF(86:86,C28,87:87)+100</f>
        <v>100</v>
      </c>
      <c r="K28" s="608"/>
      <c r="L28" s="1138"/>
      <c r="M28" s="1129"/>
      <c r="N28" s="1129"/>
      <c r="O28" s="1137"/>
      <c r="P28" s="3318"/>
      <c r="Q28" s="1807">
        <f t="shared" si="11"/>
        <v>111</v>
      </c>
      <c r="R28" s="769" t="s">
        <v>17</v>
      </c>
      <c r="S28" s="770">
        <f t="shared" ref="S28:S40" si="12">F28</f>
        <v>100</v>
      </c>
      <c r="T28" s="769" t="s">
        <v>17</v>
      </c>
      <c r="U28" s="770">
        <f t="shared" ref="U28:U40" si="13">H28</f>
        <v>100</v>
      </c>
      <c r="V28" s="769" t="s">
        <v>17</v>
      </c>
      <c r="W28" s="770">
        <f t="shared" ref="W28:W40" si="14">J28</f>
        <v>100</v>
      </c>
      <c r="X28" s="1810"/>
      <c r="Y28" s="3318"/>
      <c r="Z28" s="1811">
        <f t="shared" ref="Z28:Z40" si="15">Q28</f>
        <v>111</v>
      </c>
      <c r="AA28" s="1808">
        <f t="shared" si="3"/>
        <v>1</v>
      </c>
      <c r="AB28" s="1808">
        <f t="shared" si="4"/>
        <v>1</v>
      </c>
      <c r="AC28" s="1808">
        <f t="shared" si="5"/>
        <v>1</v>
      </c>
    </row>
    <row r="29" spans="1:29" ht="28.5">
      <c r="A29" s="461" t="s">
        <v>2565</v>
      </c>
      <c r="B29" s="71" t="s">
        <v>2695</v>
      </c>
      <c r="C29" s="2679"/>
      <c r="D29" s="462">
        <v>100</v>
      </c>
      <c r="E29" s="2679"/>
      <c r="F29" s="458">
        <f>SUMIF(88:88,E29,89:89)-SUMIF(88:88,C29,89:89)+100</f>
        <v>100</v>
      </c>
      <c r="G29" s="2679"/>
      <c r="H29" s="432">
        <f>SUMIF(88:88,G29,89:89)-SUMIF(88:88,C29,89:89)+100</f>
        <v>100</v>
      </c>
      <c r="I29" s="2679"/>
      <c r="J29" s="462">
        <f>SUMIF(88:88,I29,89:89)-SUMIF(88:88,C29,89:89)+100</f>
        <v>100</v>
      </c>
      <c r="K29" s="607"/>
      <c r="L29" s="1138"/>
      <c r="M29" s="1129"/>
      <c r="N29" s="1129"/>
      <c r="O29" s="1137"/>
      <c r="P29" s="3404" t="s">
        <v>2567</v>
      </c>
      <c r="Q29" s="1807" t="str">
        <f t="shared" si="11"/>
        <v>建筑类型</v>
      </c>
      <c r="R29" s="769" t="s">
        <v>17</v>
      </c>
      <c r="S29" s="770">
        <f t="shared" si="12"/>
        <v>100</v>
      </c>
      <c r="T29" s="769" t="s">
        <v>17</v>
      </c>
      <c r="U29" s="770">
        <f t="shared" si="13"/>
        <v>100</v>
      </c>
      <c r="V29" s="769" t="s">
        <v>17</v>
      </c>
      <c r="W29" s="770">
        <f t="shared" si="14"/>
        <v>100</v>
      </c>
      <c r="X29" s="1810"/>
      <c r="Y29" s="3322" t="s">
        <v>2567</v>
      </c>
      <c r="Z29" s="1811" t="str">
        <f t="shared" si="15"/>
        <v>建筑类型</v>
      </c>
      <c r="AA29" s="1808">
        <f t="shared" si="3"/>
        <v>1</v>
      </c>
      <c r="AB29" s="1808">
        <f t="shared" si="4"/>
        <v>1</v>
      </c>
      <c r="AC29" s="1808">
        <f t="shared" si="5"/>
        <v>1</v>
      </c>
    </row>
    <row r="30" spans="1:29" s="466" customFormat="1" ht="15">
      <c r="A30" s="463"/>
      <c r="B30" s="419" t="s">
        <v>2568</v>
      </c>
      <c r="C30" s="464"/>
      <c r="D30" s="133">
        <v>100</v>
      </c>
      <c r="E30" s="427"/>
      <c r="F30" s="422" t="e">
        <f>LOOKUP(E30,91:91,92:92)-LOOKUP(C30,91:91,92:92)+100</f>
        <v>#N/A</v>
      </c>
      <c r="G30" s="426"/>
      <c r="H30" s="133" t="e">
        <f>LOOKUP(G30,91:91,92:92)-LOOKUP(C30,91:91,92:92)+100</f>
        <v>#N/A</v>
      </c>
      <c r="I30" s="426"/>
      <c r="J30" s="133" t="e">
        <f>LOOKUP(I30,91:91,92:92)-LOOKUP(C30,91:91,92:92)+100</f>
        <v>#N/A</v>
      </c>
      <c r="K30" s="608"/>
      <c r="L30" s="1136"/>
      <c r="M30" s="1139"/>
      <c r="N30" s="1139"/>
      <c r="O30" s="1140"/>
      <c r="P30" s="3322"/>
      <c r="Q30" s="771" t="str">
        <f t="shared" si="11"/>
        <v>项目建筑规模</v>
      </c>
      <c r="R30" s="772" t="s">
        <v>17</v>
      </c>
      <c r="S30" s="773" t="e">
        <f t="shared" si="12"/>
        <v>#N/A</v>
      </c>
      <c r="T30" s="772" t="s">
        <v>17</v>
      </c>
      <c r="U30" s="773" t="e">
        <f t="shared" si="13"/>
        <v>#N/A</v>
      </c>
      <c r="V30" s="772" t="s">
        <v>17</v>
      </c>
      <c r="W30" s="773" t="e">
        <f t="shared" si="14"/>
        <v>#N/A</v>
      </c>
      <c r="X30" s="774"/>
      <c r="Y30" s="3322"/>
      <c r="Z30" s="775" t="str">
        <f t="shared" si="15"/>
        <v>项目建筑规模</v>
      </c>
      <c r="AA30" s="1808" t="e">
        <f t="shared" si="3"/>
        <v>#N/A</v>
      </c>
      <c r="AB30" s="1808" t="e">
        <f t="shared" si="4"/>
        <v>#N/A</v>
      </c>
      <c r="AC30" s="1808" t="e">
        <f t="shared" si="5"/>
        <v>#N/A</v>
      </c>
    </row>
    <row r="31" spans="1:29" ht="15">
      <c r="A31" s="467"/>
      <c r="B31" s="419" t="s">
        <v>2569</v>
      </c>
      <c r="C31" s="457"/>
      <c r="D31" s="432">
        <v>100</v>
      </c>
      <c r="E31" s="457"/>
      <c r="F31" s="458">
        <f>SUMIF(93:93,E31,94:94)-SUMIF(93:93,C31,94:94)+100</f>
        <v>100</v>
      </c>
      <c r="G31" s="457"/>
      <c r="H31" s="432">
        <f>SUMIF(93:93,G31,94:94)-SUMIF(93:93,C31,94:94)+100</f>
        <v>100</v>
      </c>
      <c r="I31" s="457"/>
      <c r="J31" s="432">
        <f>SUMIF(93:93,I31,94:94)-SUMIF(93:93,C31,94:94)+100</f>
        <v>100</v>
      </c>
      <c r="K31" s="607"/>
      <c r="L31" s="1138"/>
      <c r="M31" s="1129"/>
      <c r="N31" s="1129"/>
      <c r="O31" s="1137"/>
      <c r="P31" s="3322"/>
      <c r="Q31" s="1807" t="str">
        <f t="shared" si="11"/>
        <v>建筑结构</v>
      </c>
      <c r="R31" s="769" t="s">
        <v>17</v>
      </c>
      <c r="S31" s="770">
        <f t="shared" si="12"/>
        <v>100</v>
      </c>
      <c r="T31" s="769" t="s">
        <v>17</v>
      </c>
      <c r="U31" s="770">
        <f t="shared" si="13"/>
        <v>100</v>
      </c>
      <c r="V31" s="769" t="s">
        <v>17</v>
      </c>
      <c r="W31" s="770">
        <f t="shared" si="14"/>
        <v>100</v>
      </c>
      <c r="X31" s="1810"/>
      <c r="Y31" s="3322"/>
      <c r="Z31" s="1811" t="str">
        <f t="shared" si="15"/>
        <v>建筑结构</v>
      </c>
      <c r="AA31" s="1808">
        <f t="shared" si="3"/>
        <v>1</v>
      </c>
      <c r="AB31" s="1808">
        <f t="shared" si="4"/>
        <v>1</v>
      </c>
      <c r="AC31" s="1808">
        <f t="shared" si="5"/>
        <v>1</v>
      </c>
    </row>
    <row r="32" spans="1:29" ht="15">
      <c r="A32" s="467"/>
      <c r="B32" s="419" t="s">
        <v>2663</v>
      </c>
      <c r="C32" s="457"/>
      <c r="D32" s="432">
        <v>100</v>
      </c>
      <c r="E32" s="457"/>
      <c r="F32" s="458">
        <f>SUMIF(95:95,E32,96:96)-SUMIF(95:95,C32,96:96)+100</f>
        <v>100</v>
      </c>
      <c r="G32" s="457"/>
      <c r="H32" s="432">
        <f>SUMIF(95:95,G32,96:96)-SUMIF(95:95,C32,96:96)+100</f>
        <v>100</v>
      </c>
      <c r="I32" s="457"/>
      <c r="J32" s="432">
        <f>SUMIF(95:95,I32,96:96)-SUMIF(95:95,C32,96:96)+100</f>
        <v>100</v>
      </c>
      <c r="K32" s="607"/>
      <c r="L32" s="1138"/>
      <c r="M32" s="1129"/>
      <c r="N32" s="1129"/>
      <c r="O32" s="1137"/>
      <c r="P32" s="3322"/>
      <c r="Q32" s="1807" t="str">
        <f t="shared" si="11"/>
        <v>公共部分装修</v>
      </c>
      <c r="R32" s="769" t="s">
        <v>17</v>
      </c>
      <c r="S32" s="770">
        <f t="shared" si="12"/>
        <v>100</v>
      </c>
      <c r="T32" s="769" t="s">
        <v>17</v>
      </c>
      <c r="U32" s="770">
        <f t="shared" si="13"/>
        <v>100</v>
      </c>
      <c r="V32" s="769" t="s">
        <v>17</v>
      </c>
      <c r="W32" s="770">
        <f t="shared" si="14"/>
        <v>100</v>
      </c>
      <c r="X32" s="1810"/>
      <c r="Y32" s="3322"/>
      <c r="Z32" s="1811" t="str">
        <f t="shared" si="15"/>
        <v>公共部分装修</v>
      </c>
      <c r="AA32" s="1808">
        <f t="shared" si="3"/>
        <v>1</v>
      </c>
      <c r="AB32" s="1808">
        <f t="shared" si="4"/>
        <v>1</v>
      </c>
      <c r="AC32" s="1808">
        <f t="shared" si="5"/>
        <v>1</v>
      </c>
    </row>
    <row r="33" spans="1:29" ht="15">
      <c r="A33" s="467"/>
      <c r="B33" s="419" t="s">
        <v>2664</v>
      </c>
      <c r="C33" s="464"/>
      <c r="D33" s="432">
        <v>100</v>
      </c>
      <c r="E33" s="469"/>
      <c r="F33" s="458" t="e">
        <f>LOOKUP(E33,98:98,99:99)-LOOKUP(C33,98:98,99:99)+100</f>
        <v>#N/A</v>
      </c>
      <c r="G33" s="469"/>
      <c r="H33" s="458" t="e">
        <f>LOOKUP(G33,98:98,99:99)-LOOKUP(C33,98:98,99:99)+100</f>
        <v>#N/A</v>
      </c>
      <c r="I33" s="469"/>
      <c r="J33" s="432" t="e">
        <f>LOOKUP(I33,98:98,99:99)-LOOKUP(C33,98:98,99:99)+100</f>
        <v>#N/A</v>
      </c>
      <c r="K33" s="607"/>
      <c r="L33" s="1138"/>
      <c r="M33" s="1129"/>
      <c r="N33" s="1129"/>
      <c r="O33" s="1137"/>
      <c r="P33" s="3322"/>
      <c r="Q33" s="1807" t="str">
        <f t="shared" si="11"/>
        <v>成新度</v>
      </c>
      <c r="R33" s="769" t="s">
        <v>17</v>
      </c>
      <c r="S33" s="770" t="e">
        <f t="shared" si="12"/>
        <v>#N/A</v>
      </c>
      <c r="T33" s="769" t="s">
        <v>17</v>
      </c>
      <c r="U33" s="770" t="e">
        <f t="shared" si="13"/>
        <v>#N/A</v>
      </c>
      <c r="V33" s="769" t="s">
        <v>17</v>
      </c>
      <c r="W33" s="770" t="e">
        <f t="shared" si="14"/>
        <v>#N/A</v>
      </c>
      <c r="X33" s="1810"/>
      <c r="Y33" s="3322"/>
      <c r="Z33" s="1811" t="str">
        <f t="shared" si="15"/>
        <v>成新度</v>
      </c>
      <c r="AA33" s="1808" t="e">
        <f t="shared" si="3"/>
        <v>#N/A</v>
      </c>
      <c r="AB33" s="1808" t="e">
        <f t="shared" si="4"/>
        <v>#N/A</v>
      </c>
      <c r="AC33" s="1808" t="e">
        <f t="shared" si="5"/>
        <v>#N/A</v>
      </c>
    </row>
    <row r="34" spans="1:29" s="116" customFormat="1" ht="15">
      <c r="A34" s="468"/>
      <c r="B34" s="419" t="s">
        <v>2697</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7"/>
      <c r="L34" s="1130"/>
      <c r="M34" s="1131"/>
      <c r="N34" s="1131"/>
      <c r="O34" s="1132"/>
      <c r="P34" s="3322"/>
      <c r="Q34" s="1792" t="str">
        <f t="shared" si="11"/>
        <v>物业管理</v>
      </c>
      <c r="R34" s="765" t="s">
        <v>17</v>
      </c>
      <c r="S34" s="766">
        <f t="shared" si="12"/>
        <v>100</v>
      </c>
      <c r="T34" s="765" t="s">
        <v>17</v>
      </c>
      <c r="U34" s="766">
        <f t="shared" si="13"/>
        <v>100</v>
      </c>
      <c r="V34" s="765" t="s">
        <v>17</v>
      </c>
      <c r="W34" s="766">
        <f t="shared" si="14"/>
        <v>100</v>
      </c>
      <c r="X34" s="767"/>
      <c r="Y34" s="3322"/>
      <c r="Z34" s="55" t="str">
        <f t="shared" si="15"/>
        <v>物业管理</v>
      </c>
      <c r="AA34" s="768">
        <f t="shared" si="3"/>
        <v>1</v>
      </c>
      <c r="AB34" s="768">
        <f t="shared" si="4"/>
        <v>1</v>
      </c>
      <c r="AC34" s="768">
        <f t="shared" si="5"/>
        <v>1</v>
      </c>
    </row>
    <row r="35" spans="1:29" ht="15">
      <c r="A35" s="467"/>
      <c r="B35" s="419" t="s">
        <v>2665</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7"/>
      <c r="L35" s="1138"/>
      <c r="M35" s="1129"/>
      <c r="N35" s="1129"/>
      <c r="O35" s="1137"/>
      <c r="P35" s="3322" t="s">
        <v>2567</v>
      </c>
      <c r="Q35" s="1807" t="str">
        <f t="shared" si="11"/>
        <v>市政基础设施</v>
      </c>
      <c r="R35" s="769" t="s">
        <v>17</v>
      </c>
      <c r="S35" s="770">
        <f t="shared" si="12"/>
        <v>100</v>
      </c>
      <c r="T35" s="769" t="s">
        <v>17</v>
      </c>
      <c r="U35" s="770">
        <f t="shared" si="13"/>
        <v>100</v>
      </c>
      <c r="V35" s="769" t="s">
        <v>17</v>
      </c>
      <c r="W35" s="770">
        <f t="shared" si="14"/>
        <v>100</v>
      </c>
      <c r="X35" s="1810"/>
      <c r="Y35" s="3322" t="s">
        <v>2567</v>
      </c>
      <c r="Z35" s="1811" t="str">
        <f t="shared" si="15"/>
        <v>市政基础设施</v>
      </c>
      <c r="AA35" s="1808">
        <f t="shared" si="3"/>
        <v>1</v>
      </c>
      <c r="AB35" s="1808">
        <f t="shared" si="4"/>
        <v>1</v>
      </c>
      <c r="AC35" s="1808">
        <f t="shared" si="5"/>
        <v>1</v>
      </c>
    </row>
    <row r="36" spans="1:29" ht="15">
      <c r="A36" s="467"/>
      <c r="B36" s="419" t="s">
        <v>2670</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7"/>
      <c r="L36" s="1138"/>
      <c r="M36" s="1129"/>
      <c r="N36" s="1129"/>
      <c r="O36" s="1137"/>
      <c r="P36" s="3322"/>
      <c r="Q36" s="1807" t="str">
        <f t="shared" si="11"/>
        <v>内部装修</v>
      </c>
      <c r="R36" s="769" t="s">
        <v>17</v>
      </c>
      <c r="S36" s="770">
        <f t="shared" si="12"/>
        <v>100</v>
      </c>
      <c r="T36" s="769" t="s">
        <v>17</v>
      </c>
      <c r="U36" s="770">
        <f t="shared" si="13"/>
        <v>100</v>
      </c>
      <c r="V36" s="769" t="s">
        <v>17</v>
      </c>
      <c r="W36" s="770">
        <f t="shared" si="14"/>
        <v>100</v>
      </c>
      <c r="X36" s="1810"/>
      <c r="Y36" s="3322"/>
      <c r="Z36" s="1811" t="str">
        <f t="shared" si="15"/>
        <v>内部装修</v>
      </c>
      <c r="AA36" s="1808">
        <f t="shared" si="3"/>
        <v>1</v>
      </c>
      <c r="AB36" s="1808">
        <f t="shared" si="4"/>
        <v>1</v>
      </c>
      <c r="AC36" s="1808">
        <f t="shared" si="5"/>
        <v>1</v>
      </c>
    </row>
    <row r="37" spans="1:29" ht="15">
      <c r="A37" s="467"/>
      <c r="B37" s="419" t="s">
        <v>2706</v>
      </c>
      <c r="C37" s="611"/>
      <c r="D37" s="432">
        <v>100</v>
      </c>
      <c r="E37" s="611"/>
      <c r="F37" s="458">
        <f>SUMIF(106:106,E37,107:107)-SUMIF(106:106,C37,107:107)+100</f>
        <v>100</v>
      </c>
      <c r="G37" s="611"/>
      <c r="H37" s="432">
        <f>SUMIF(106:106,G37,107:107)-SUMIF(106:106,C37,107:107)+100</f>
        <v>100</v>
      </c>
      <c r="I37" s="611"/>
      <c r="J37" s="432">
        <f>SUMIF(106:106,I37,107:107)-SUMIF(106:106,C37,107:107)+100</f>
        <v>100</v>
      </c>
      <c r="K37" s="607"/>
      <c r="L37" s="1138"/>
      <c r="M37" s="1129"/>
      <c r="N37" s="1129"/>
      <c r="O37" s="1137"/>
      <c r="P37" s="3322"/>
      <c r="Q37" s="1807" t="str">
        <f t="shared" si="11"/>
        <v>内部装修状况</v>
      </c>
      <c r="R37" s="769" t="s">
        <v>17</v>
      </c>
      <c r="S37" s="770">
        <f t="shared" si="12"/>
        <v>100</v>
      </c>
      <c r="T37" s="769" t="s">
        <v>17</v>
      </c>
      <c r="U37" s="770">
        <f t="shared" si="13"/>
        <v>100</v>
      </c>
      <c r="V37" s="769" t="s">
        <v>17</v>
      </c>
      <c r="W37" s="770">
        <f t="shared" si="14"/>
        <v>100</v>
      </c>
      <c r="X37" s="1810"/>
      <c r="Y37" s="3322"/>
      <c r="Z37" s="1811" t="str">
        <f t="shared" si="15"/>
        <v>内部装修状况</v>
      </c>
      <c r="AA37" s="1808">
        <f t="shared" si="3"/>
        <v>1</v>
      </c>
      <c r="AB37" s="1808">
        <f t="shared" si="4"/>
        <v>1</v>
      </c>
      <c r="AC37" s="1808">
        <f t="shared" si="5"/>
        <v>1</v>
      </c>
    </row>
    <row r="38" spans="1:29" s="466" customFormat="1" ht="15">
      <c r="A38" s="463"/>
      <c r="B38" s="1384">
        <v>111</v>
      </c>
      <c r="C38" s="464"/>
      <c r="D38" s="432">
        <v>100</v>
      </c>
      <c r="E38" s="431"/>
      <c r="F38" s="458">
        <f>SUMIF(108:108,E38,109:109)-SUMIF(108:108,C38,109:109)+100</f>
        <v>100</v>
      </c>
      <c r="G38" s="464"/>
      <c r="H38" s="432">
        <f>SUMIF(108:108,G38,109:109)-SUMIF(108:108,C38,109:109)+100</f>
        <v>100</v>
      </c>
      <c r="I38" s="464"/>
      <c r="J38" s="432">
        <f>SUMIF(108:108,I38,109:1038)-SUMIF(108:108,C38,109:109)+100</f>
        <v>100</v>
      </c>
      <c r="K38" s="608"/>
      <c r="L38" s="1136"/>
      <c r="M38" s="1139"/>
      <c r="N38" s="1139"/>
      <c r="O38" s="1140"/>
      <c r="P38" s="3322"/>
      <c r="Q38" s="771">
        <f t="shared" si="11"/>
        <v>111</v>
      </c>
      <c r="R38" s="772" t="s">
        <v>17</v>
      </c>
      <c r="S38" s="773">
        <f t="shared" si="12"/>
        <v>100</v>
      </c>
      <c r="T38" s="772" t="s">
        <v>17</v>
      </c>
      <c r="U38" s="773">
        <f t="shared" si="13"/>
        <v>100</v>
      </c>
      <c r="V38" s="772" t="s">
        <v>17</v>
      </c>
      <c r="W38" s="773">
        <f t="shared" si="14"/>
        <v>100</v>
      </c>
      <c r="X38" s="774"/>
      <c r="Y38" s="3322"/>
      <c r="Z38" s="775">
        <f t="shared" si="15"/>
        <v>111</v>
      </c>
      <c r="AA38" s="1808">
        <f t="shared" si="3"/>
        <v>1</v>
      </c>
      <c r="AB38" s="1808">
        <f t="shared" si="4"/>
        <v>1</v>
      </c>
      <c r="AC38" s="1808">
        <f t="shared" si="5"/>
        <v>1</v>
      </c>
    </row>
    <row r="39" spans="1:29" ht="15">
      <c r="A39" s="467"/>
      <c r="B39" s="1384">
        <v>111</v>
      </c>
      <c r="C39" s="464"/>
      <c r="D39" s="432">
        <v>100</v>
      </c>
      <c r="E39" s="431"/>
      <c r="F39" s="458">
        <f>SUMIF(110:110,E39,111:111)-SUMIF(110:110,C39,111:111)+100</f>
        <v>100</v>
      </c>
      <c r="G39" s="464"/>
      <c r="H39" s="432">
        <f>SUMIF(110:110,G39,111:111)-SUMIF(110:110,C39,111:111)+100</f>
        <v>100</v>
      </c>
      <c r="I39" s="464"/>
      <c r="J39" s="432">
        <f>SUMIF(110:110,I39,111:111)-SUMIF(110:110,C39,111:111)+100</f>
        <v>100</v>
      </c>
      <c r="K39" s="608"/>
      <c r="L39" s="1138"/>
      <c r="M39" s="1129"/>
      <c r="N39" s="1129"/>
      <c r="O39" s="1137"/>
      <c r="P39" s="3322"/>
      <c r="Q39" s="1807">
        <f t="shared" si="11"/>
        <v>111</v>
      </c>
      <c r="R39" s="769" t="s">
        <v>17</v>
      </c>
      <c r="S39" s="770">
        <f t="shared" si="12"/>
        <v>100</v>
      </c>
      <c r="T39" s="769" t="s">
        <v>17</v>
      </c>
      <c r="U39" s="770">
        <f t="shared" si="13"/>
        <v>100</v>
      </c>
      <c r="V39" s="769" t="s">
        <v>17</v>
      </c>
      <c r="W39" s="770">
        <f t="shared" si="14"/>
        <v>100</v>
      </c>
      <c r="X39" s="1810"/>
      <c r="Y39" s="3322"/>
      <c r="Z39" s="1811">
        <f t="shared" si="15"/>
        <v>111</v>
      </c>
      <c r="AA39" s="1808">
        <f t="shared" si="3"/>
        <v>1</v>
      </c>
      <c r="AB39" s="1808">
        <f t="shared" si="4"/>
        <v>1</v>
      </c>
      <c r="AC39" s="1808">
        <f t="shared" si="5"/>
        <v>1</v>
      </c>
    </row>
    <row r="40" spans="1:29" ht="15.75" thickBot="1">
      <c r="A40" s="473"/>
      <c r="B40" s="2602">
        <v>111</v>
      </c>
      <c r="C40" s="434"/>
      <c r="D40" s="435">
        <v>100</v>
      </c>
      <c r="E40" s="431"/>
      <c r="F40" s="436">
        <f>SUMIF(112:112,E40,113:113)-SUMIF(112:112,C40,113:113)+100</f>
        <v>100</v>
      </c>
      <c r="G40" s="464"/>
      <c r="H40" s="435">
        <f>SUMIF(112:112,G40,113:113)-SUMIF(112:112,C40,113:113)+100</f>
        <v>100</v>
      </c>
      <c r="I40" s="464"/>
      <c r="J40" s="435">
        <f>SUMIF(112:112,I40,113:113)-SUMIF(112:112,C40,113:113)+100</f>
        <v>100</v>
      </c>
      <c r="K40" s="608"/>
      <c r="L40" s="1138"/>
      <c r="M40" s="1129"/>
      <c r="N40" s="1129"/>
      <c r="O40" s="1137"/>
      <c r="P40" s="3323"/>
      <c r="Q40" s="1807">
        <f t="shared" si="11"/>
        <v>111</v>
      </c>
      <c r="R40" s="769" t="s">
        <v>17</v>
      </c>
      <c r="S40" s="770">
        <f t="shared" si="12"/>
        <v>100</v>
      </c>
      <c r="T40" s="769" t="s">
        <v>17</v>
      </c>
      <c r="U40" s="770">
        <f t="shared" si="13"/>
        <v>100</v>
      </c>
      <c r="V40" s="769" t="s">
        <v>17</v>
      </c>
      <c r="W40" s="770">
        <f t="shared" si="14"/>
        <v>100</v>
      </c>
      <c r="X40" s="1810"/>
      <c r="Y40" s="3323"/>
      <c r="Z40" s="1811">
        <f t="shared" si="15"/>
        <v>111</v>
      </c>
      <c r="AA40" s="1808">
        <f t="shared" si="3"/>
        <v>1</v>
      </c>
      <c r="AB40" s="1808">
        <f t="shared" si="4"/>
        <v>1</v>
      </c>
      <c r="AC40" s="1808">
        <f t="shared" si="5"/>
        <v>1</v>
      </c>
    </row>
    <row r="41" spans="1:29" ht="15">
      <c r="A41" s="474" t="s">
        <v>2579</v>
      </c>
      <c r="B41" s="475"/>
      <c r="C41" s="1404" t="s">
        <v>1</v>
      </c>
      <c r="D41" s="1405"/>
      <c r="E41" s="1406"/>
      <c r="F41" s="1407"/>
      <c r="G41" s="1408"/>
      <c r="H41" s="1409"/>
      <c r="I41" s="1406"/>
      <c r="J41" s="1409"/>
      <c r="K41" s="778"/>
      <c r="L41" s="1141"/>
      <c r="M41" s="1142"/>
      <c r="N41" s="1129"/>
      <c r="O41" s="1142"/>
      <c r="P41" s="3315" t="str">
        <f>A41</f>
        <v>成交单价（元/平方米）</v>
      </c>
      <c r="Q41" s="3315"/>
      <c r="R41" s="3316">
        <f>E41</f>
        <v>0</v>
      </c>
      <c r="S41" s="3316"/>
      <c r="T41" s="3316">
        <f>G41</f>
        <v>0</v>
      </c>
      <c r="U41" s="3316"/>
      <c r="V41" s="3316">
        <f>I41</f>
        <v>0</v>
      </c>
      <c r="W41" s="3316"/>
      <c r="X41" s="754"/>
      <c r="Y41" s="776"/>
      <c r="Z41" s="754"/>
      <c r="AA41" s="754"/>
      <c r="AB41" s="754"/>
      <c r="AC41" s="754"/>
    </row>
    <row r="42" spans="1:29" ht="15.75" thickBot="1">
      <c r="A42" s="481" t="s">
        <v>2671</v>
      </c>
      <c r="B42" s="482"/>
      <c r="C42" s="1410" t="e">
        <f>R43</f>
        <v>#DIV/0!</v>
      </c>
      <c r="D42" s="1411"/>
      <c r="E42" s="1412" t="e">
        <f>R42</f>
        <v>#DIV/0!</v>
      </c>
      <c r="F42" s="1412"/>
      <c r="G42" s="1410" t="e">
        <f>T42</f>
        <v>#DIV/0!</v>
      </c>
      <c r="H42" s="1411"/>
      <c r="I42" s="1412" t="e">
        <f>V42</f>
        <v>#DIV/0!</v>
      </c>
      <c r="J42" s="1411"/>
      <c r="K42" s="779"/>
      <c r="L42" s="1141"/>
      <c r="M42" s="1142"/>
      <c r="N42" s="1129"/>
      <c r="O42" s="1142"/>
      <c r="P42" s="3315" t="str">
        <f>A42</f>
        <v>比较价值（元/平方米）</v>
      </c>
      <c r="Q42" s="3315"/>
      <c r="R42" s="3316" t="e">
        <f>IF(F1="售价",ROUND(PRODUCT(R41,AA7:AA40),0),ROUND(PRODUCT(R41,AA7:AA40),1))</f>
        <v>#DIV/0!</v>
      </c>
      <c r="S42" s="3316"/>
      <c r="T42" s="3316" t="e">
        <f>IF(F1="售价",ROUND(PRODUCT(T41,AB7:AB40),0),ROUND(PRODUCT(T41,AB7:AB40),1))</f>
        <v>#DIV/0!</v>
      </c>
      <c r="U42" s="3316"/>
      <c r="V42" s="3316" t="e">
        <f>IF(F1="售价",ROUND(PRODUCT(V41,AC7:AC40),0),ROUND(PRODUCT(V41,AC7:AC40),1))</f>
        <v>#DIV/0!</v>
      </c>
      <c r="W42" s="3316"/>
      <c r="X42" s="754"/>
      <c r="Y42" s="754"/>
      <c r="Z42" s="754"/>
      <c r="AA42" s="754"/>
      <c r="AB42" s="754"/>
      <c r="AC42" s="754"/>
    </row>
    <row r="43" spans="1:29" ht="15.75" thickBot="1">
      <c r="A43" s="487" t="s">
        <v>2672</v>
      </c>
      <c r="B43" s="488"/>
      <c r="C43" s="1414" t="e">
        <f>R43</f>
        <v>#DIV/0!</v>
      </c>
      <c r="D43" s="1414"/>
      <c r="E43" s="1414"/>
      <c r="F43" s="1414"/>
      <c r="G43" s="1414"/>
      <c r="H43" s="1414"/>
      <c r="I43" s="1414"/>
      <c r="J43" s="1414"/>
      <c r="K43" s="780"/>
      <c r="L43" s="1141"/>
      <c r="M43" s="1142"/>
      <c r="N43" s="1142"/>
      <c r="O43" s="1142"/>
      <c r="P43" s="3312" t="str">
        <f>A43</f>
        <v>估价对象XX用房的比较价值（楼面单价，元/平方米）</v>
      </c>
      <c r="Q43" s="3313"/>
      <c r="R43" s="3314" t="e">
        <f>IF(F1="售价",ROUND(AVERAGE(R42:V42),0),ROUND(AVERAGE(R42:V42),1))</f>
        <v>#DIV/0!</v>
      </c>
      <c r="S43" s="3314"/>
      <c r="T43" s="3314"/>
      <c r="U43" s="3314"/>
      <c r="V43" s="3314"/>
      <c r="W43" s="3314"/>
      <c r="X43" s="754"/>
      <c r="Y43" s="754"/>
      <c r="Z43" s="754"/>
      <c r="AA43" s="754"/>
      <c r="AB43" s="754"/>
      <c r="AC43" s="754"/>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2" t="s">
        <v>2673</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42"/>
      <c r="N46" s="1142"/>
      <c r="O46" s="1142"/>
    </row>
    <row r="47" spans="1:29" ht="13.5" customHeight="1">
      <c r="A47" s="1142"/>
      <c r="B47" s="1142"/>
      <c r="C47" s="492" t="s">
        <v>2674</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2675</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8" t="s">
        <v>2676</v>
      </c>
      <c r="B51" s="754"/>
      <c r="C51" s="759"/>
      <c r="D51" s="759"/>
      <c r="E51" s="759"/>
      <c r="F51" s="760"/>
      <c r="G51" s="760"/>
      <c r="H51" s="759"/>
      <c r="I51" s="759"/>
      <c r="J51" s="759"/>
      <c r="K51" s="1158"/>
      <c r="L51" s="1159"/>
      <c r="M51" s="1157"/>
      <c r="N51" s="1157"/>
      <c r="O51" s="1157"/>
      <c r="P51" s="498"/>
      <c r="Q51" s="499"/>
    </row>
    <row r="52" spans="1:17" s="503" customFormat="1" ht="15">
      <c r="A52" s="500" t="s">
        <v>2550</v>
      </c>
      <c r="B52" s="501"/>
      <c r="C52" s="1571" t="str">
        <f>YEAR(C7)&amp;"-"&amp;MONTH(C7)</f>
        <v>2019-6</v>
      </c>
      <c r="D52" s="1572">
        <f>EDATE(C52,-1)</f>
        <v>43586</v>
      </c>
      <c r="E52" s="1572">
        <f t="shared" ref="E52:O52" si="16">EDATE(D52,-1)</f>
        <v>43556</v>
      </c>
      <c r="F52" s="1572">
        <f t="shared" si="16"/>
        <v>43525</v>
      </c>
      <c r="G52" s="1572">
        <f t="shared" si="16"/>
        <v>43497</v>
      </c>
      <c r="H52" s="1572">
        <f t="shared" si="16"/>
        <v>43466</v>
      </c>
      <c r="I52" s="1572">
        <f t="shared" si="16"/>
        <v>43435</v>
      </c>
      <c r="J52" s="1572">
        <f t="shared" si="16"/>
        <v>43405</v>
      </c>
      <c r="K52" s="1572">
        <f t="shared" si="16"/>
        <v>43374</v>
      </c>
      <c r="L52" s="1572">
        <f t="shared" si="16"/>
        <v>43344</v>
      </c>
      <c r="M52" s="1572">
        <f t="shared" si="16"/>
        <v>43313</v>
      </c>
      <c r="N52" s="1572">
        <f t="shared" si="16"/>
        <v>43282</v>
      </c>
      <c r="O52" s="1572">
        <f t="shared" si="16"/>
        <v>43252</v>
      </c>
      <c r="P52" s="502"/>
    </row>
    <row r="53" spans="1:17" s="116" customFormat="1" ht="15">
      <c r="A53" s="504"/>
      <c r="B53" s="505"/>
      <c r="C53" s="1570">
        <v>100</v>
      </c>
      <c r="D53" s="507"/>
      <c r="E53" s="507"/>
      <c r="F53" s="507"/>
      <c r="G53" s="507"/>
      <c r="H53" s="507"/>
      <c r="I53" s="507"/>
      <c r="J53" s="507"/>
      <c r="K53" s="507"/>
      <c r="L53" s="507"/>
      <c r="M53" s="508"/>
      <c r="N53" s="507"/>
      <c r="O53" s="509"/>
      <c r="P53" s="499"/>
    </row>
    <row r="54" spans="1:17" s="116" customFormat="1" ht="15.75" thickBot="1">
      <c r="A54" s="510" t="s">
        <v>2587</v>
      </c>
      <c r="B54" s="511"/>
      <c r="C54" s="512"/>
      <c r="D54" s="513"/>
      <c r="E54" s="513"/>
      <c r="F54" s="513"/>
      <c r="G54" s="513"/>
      <c r="H54" s="513"/>
      <c r="I54" s="513"/>
      <c r="J54" s="513"/>
      <c r="K54" s="513"/>
      <c r="L54" s="513"/>
      <c r="M54" s="514"/>
      <c r="N54" s="513"/>
      <c r="O54" s="515"/>
      <c r="P54" s="499"/>
      <c r="Q54" s="499"/>
    </row>
    <row r="55" spans="1:17" s="116" customFormat="1" ht="15">
      <c r="A55" s="516" t="s">
        <v>2552</v>
      </c>
      <c r="B55" s="505"/>
      <c r="C55" s="517" t="s">
        <v>2654</v>
      </c>
      <c r="D55" s="518"/>
      <c r="E55" s="518"/>
      <c r="F55" s="518"/>
      <c r="G55" s="518"/>
      <c r="H55" s="518"/>
      <c r="I55" s="518"/>
      <c r="J55" s="518"/>
      <c r="K55" s="518"/>
      <c r="L55" s="519"/>
      <c r="M55" s="520"/>
      <c r="N55" s="1149"/>
      <c r="O55" s="1149"/>
      <c r="P55" s="521"/>
      <c r="Q55" s="499"/>
    </row>
    <row r="56" spans="1:17" s="116" customFormat="1" ht="15.75" thickBot="1">
      <c r="A56" s="516"/>
      <c r="B56" s="505"/>
      <c r="C56" s="634">
        <v>100</v>
      </c>
      <c r="D56" s="507"/>
      <c r="E56" s="507"/>
      <c r="F56" s="507"/>
      <c r="G56" s="507"/>
      <c r="H56" s="507"/>
      <c r="I56" s="507"/>
      <c r="J56" s="507"/>
      <c r="K56" s="507"/>
      <c r="L56" s="507"/>
      <c r="M56" s="509"/>
      <c r="N56" s="1149"/>
      <c r="O56" s="1149"/>
      <c r="P56" s="499"/>
      <c r="Q56" s="499"/>
    </row>
    <row r="57" spans="1:17">
      <c r="A57" s="522" t="s">
        <v>2590</v>
      </c>
      <c r="B57" s="523" t="s">
        <v>2556</v>
      </c>
      <c r="C57" s="524">
        <f>C9</f>
        <v>0</v>
      </c>
      <c r="D57" s="525"/>
      <c r="E57" s="525"/>
      <c r="F57" s="525"/>
      <c r="G57" s="525"/>
      <c r="H57" s="525"/>
      <c r="I57" s="525"/>
      <c r="J57" s="525"/>
      <c r="K57" s="526"/>
      <c r="L57" s="527"/>
      <c r="M57" s="528"/>
      <c r="N57" s="1150"/>
      <c r="O57" s="1150"/>
      <c r="P57" s="45"/>
      <c r="Q57" s="499"/>
    </row>
    <row r="58" spans="1:17" ht="15.75" thickBot="1">
      <c r="A58" s="529"/>
      <c r="B58" s="530"/>
      <c r="C58" s="531">
        <v>100</v>
      </c>
      <c r="D58" s="531"/>
      <c r="E58" s="531"/>
      <c r="F58" s="531"/>
      <c r="G58" s="531"/>
      <c r="H58" s="531"/>
      <c r="I58" s="531"/>
      <c r="J58" s="531"/>
      <c r="K58" s="531"/>
      <c r="L58" s="531"/>
      <c r="M58" s="532"/>
      <c r="N58" s="1151"/>
      <c r="O58" s="1151"/>
      <c r="P58" s="45"/>
      <c r="Q58" s="499"/>
    </row>
    <row r="59" spans="1:17" ht="27.75" thickTop="1">
      <c r="A59" s="529"/>
      <c r="B59" s="533" t="s">
        <v>2559</v>
      </c>
      <c r="C59" s="534" t="s">
        <v>2591</v>
      </c>
      <c r="D59" s="534" t="s">
        <v>2592</v>
      </c>
      <c r="E59" s="534" t="s">
        <v>2593</v>
      </c>
      <c r="F59" s="534" t="s">
        <v>2594</v>
      </c>
      <c r="G59" s="534" t="s">
        <v>2595</v>
      </c>
      <c r="H59" s="534" t="s">
        <v>2596</v>
      </c>
      <c r="I59" s="534" t="s">
        <v>2597</v>
      </c>
      <c r="J59" s="534"/>
      <c r="K59" s="535"/>
      <c r="L59" s="536"/>
      <c r="M59" s="537"/>
      <c r="N59" s="1150"/>
      <c r="O59" s="1150"/>
      <c r="P59" s="45"/>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51"/>
      <c r="O60" s="1151"/>
      <c r="P60" s="45"/>
      <c r="Q60" s="499"/>
    </row>
    <row r="61" spans="1:17" ht="15.75" thickTop="1">
      <c r="A61" s="529"/>
      <c r="B61" s="541" t="s">
        <v>2560</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5" t="str">
        <f>M62&amp;"（含）"&amp;"-"&amp;P62</f>
        <v>（含）-</v>
      </c>
      <c r="N61" s="1151"/>
      <c r="O61" s="1151"/>
      <c r="P61" s="45"/>
      <c r="Q61" s="499"/>
    </row>
    <row r="62" spans="1:17" ht="15">
      <c r="A62" s="529"/>
      <c r="B62" s="543"/>
      <c r="C62" s="544"/>
      <c r="D62" s="544"/>
      <c r="E62" s="544"/>
      <c r="F62" s="544"/>
      <c r="G62" s="544"/>
      <c r="H62" s="544"/>
      <c r="I62" s="544"/>
      <c r="J62" s="544"/>
      <c r="K62" s="545"/>
      <c r="L62" s="546"/>
      <c r="M62" s="547"/>
      <c r="N62" s="1150"/>
      <c r="O62" s="1150"/>
      <c r="P62" s="45"/>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51"/>
      <c r="O63" s="1151"/>
      <c r="P63" s="45"/>
      <c r="Q63" s="499"/>
    </row>
    <row r="64" spans="1:17" s="466" customFormat="1" ht="15.75" thickTop="1">
      <c r="A64" s="548"/>
      <c r="B64" s="533">
        <f>B12</f>
        <v>111</v>
      </c>
      <c r="C64" s="549"/>
      <c r="D64" s="549"/>
      <c r="E64" s="549"/>
      <c r="F64" s="549"/>
      <c r="G64" s="549"/>
      <c r="H64" s="550"/>
      <c r="I64" s="550"/>
      <c r="J64" s="550"/>
      <c r="K64" s="550"/>
      <c r="L64" s="551"/>
      <c r="M64" s="552"/>
      <c r="N64" s="1152"/>
      <c r="O64" s="1152"/>
      <c r="P64" s="553"/>
      <c r="Q64" s="554"/>
    </row>
    <row r="65" spans="1:17" s="466" customFormat="1" ht="15.75" thickBot="1">
      <c r="A65" s="548"/>
      <c r="B65" s="538"/>
      <c r="C65" s="555"/>
      <c r="D65" s="531"/>
      <c r="E65" s="531"/>
      <c r="F65" s="531"/>
      <c r="G65" s="531"/>
      <c r="H65" s="531"/>
      <c r="I65" s="531"/>
      <c r="J65" s="531"/>
      <c r="K65" s="531"/>
      <c r="L65" s="531"/>
      <c r="M65" s="532"/>
      <c r="N65" s="1151"/>
      <c r="O65" s="1151"/>
      <c r="P65" s="553"/>
      <c r="Q65" s="554"/>
    </row>
    <row r="66" spans="1:17" s="466" customFormat="1" ht="15.75" thickTop="1">
      <c r="A66" s="548"/>
      <c r="B66" s="533">
        <f>B13</f>
        <v>111</v>
      </c>
      <c r="C66" s="549"/>
      <c r="D66" s="549"/>
      <c r="E66" s="549"/>
      <c r="F66" s="549"/>
      <c r="G66" s="549"/>
      <c r="H66" s="550"/>
      <c r="I66" s="550"/>
      <c r="J66" s="550"/>
      <c r="K66" s="550"/>
      <c r="L66" s="551"/>
      <c r="M66" s="552"/>
      <c r="N66" s="1152"/>
      <c r="O66" s="1152"/>
      <c r="P66" s="465"/>
      <c r="Q66" s="556"/>
    </row>
    <row r="67" spans="1:17" s="466" customFormat="1" ht="15.75" thickBot="1">
      <c r="A67" s="548"/>
      <c r="B67" s="538"/>
      <c r="C67" s="555"/>
      <c r="D67" s="531"/>
      <c r="E67" s="531"/>
      <c r="F67" s="531"/>
      <c r="G67" s="555"/>
      <c r="H67" s="557"/>
      <c r="I67" s="557"/>
      <c r="J67" s="557"/>
      <c r="K67" s="557"/>
      <c r="L67" s="557"/>
      <c r="M67" s="558"/>
      <c r="N67" s="1152"/>
      <c r="O67" s="1152"/>
      <c r="P67" s="553"/>
      <c r="Q67" s="554"/>
    </row>
    <row r="68" spans="1:17" s="466" customFormat="1" ht="15.75" thickTop="1">
      <c r="A68" s="548"/>
      <c r="B68" s="541">
        <f>B14</f>
        <v>111</v>
      </c>
      <c r="C68" s="518"/>
      <c r="D68" s="518"/>
      <c r="E68" s="518"/>
      <c r="F68" s="518"/>
      <c r="G68" s="518"/>
      <c r="H68" s="559"/>
      <c r="I68" s="559"/>
      <c r="J68" s="559"/>
      <c r="K68" s="559"/>
      <c r="L68" s="560"/>
      <c r="M68" s="561"/>
      <c r="N68" s="1152"/>
      <c r="O68" s="1152"/>
      <c r="P68" s="562"/>
      <c r="Q68" s="554"/>
    </row>
    <row r="69" spans="1:17" s="466" customFormat="1" ht="15.75" thickBot="1">
      <c r="A69" s="563"/>
      <c r="B69" s="564"/>
      <c r="C69" s="565"/>
      <c r="D69" s="565"/>
      <c r="E69" s="565"/>
      <c r="F69" s="565"/>
      <c r="G69" s="565"/>
      <c r="H69" s="566"/>
      <c r="I69" s="566"/>
      <c r="J69" s="566"/>
      <c r="K69" s="566"/>
      <c r="L69" s="566"/>
      <c r="M69" s="567"/>
      <c r="N69" s="1152"/>
      <c r="O69" s="1152"/>
      <c r="P69" s="553"/>
      <c r="Q69" s="554"/>
    </row>
    <row r="70" spans="1:17">
      <c r="A70" s="522" t="s">
        <v>2561</v>
      </c>
      <c r="B70" s="523" t="s">
        <v>2707</v>
      </c>
      <c r="C70" s="568" t="s">
        <v>2599</v>
      </c>
      <c r="D70" s="568" t="s">
        <v>2600</v>
      </c>
      <c r="E70" s="568" t="s">
        <v>2601</v>
      </c>
      <c r="F70" s="568" t="s">
        <v>2602</v>
      </c>
      <c r="G70" s="568" t="s">
        <v>2603</v>
      </c>
      <c r="H70" s="524"/>
      <c r="I70" s="524"/>
      <c r="J70" s="524"/>
      <c r="K70" s="569"/>
      <c r="L70" s="570"/>
      <c r="M70" s="571"/>
      <c r="N70" s="1150"/>
      <c r="O70" s="1150"/>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51"/>
      <c r="O71" s="1151"/>
      <c r="P71" s="45"/>
      <c r="Q71" s="499"/>
    </row>
    <row r="72" spans="1:17" ht="15.75" thickTop="1">
      <c r="A72" s="529"/>
      <c r="B72" s="533" t="s">
        <v>2604</v>
      </c>
      <c r="C72" s="573" t="s">
        <v>2599</v>
      </c>
      <c r="D72" s="573" t="s">
        <v>2600</v>
      </c>
      <c r="E72" s="573" t="s">
        <v>2601</v>
      </c>
      <c r="F72" s="573" t="s">
        <v>2602</v>
      </c>
      <c r="G72" s="573" t="s">
        <v>2603</v>
      </c>
      <c r="H72" s="534"/>
      <c r="I72" s="534"/>
      <c r="J72" s="534"/>
      <c r="K72" s="535"/>
      <c r="L72" s="536"/>
      <c r="M72" s="537"/>
      <c r="N72" s="1150"/>
      <c r="O72" s="1150"/>
      <c r="P72" s="45"/>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51"/>
      <c r="O73" s="1151"/>
      <c r="P73" s="45"/>
      <c r="Q73" s="499"/>
    </row>
    <row r="74" spans="1:17" ht="15.75" thickTop="1">
      <c r="A74" s="529"/>
      <c r="B74" s="533" t="s">
        <v>2605</v>
      </c>
      <c r="C74" s="573" t="s">
        <v>2599</v>
      </c>
      <c r="D74" s="573" t="s">
        <v>2600</v>
      </c>
      <c r="E74" s="573" t="s">
        <v>2601</v>
      </c>
      <c r="F74" s="573" t="s">
        <v>2602</v>
      </c>
      <c r="G74" s="573" t="s">
        <v>2603</v>
      </c>
      <c r="H74" s="534"/>
      <c r="I74" s="534"/>
      <c r="J74" s="534"/>
      <c r="K74" s="535"/>
      <c r="L74" s="536"/>
      <c r="M74" s="537"/>
      <c r="N74" s="1150"/>
      <c r="O74" s="1150"/>
      <c r="P74" s="45"/>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51"/>
      <c r="O75" s="1151"/>
      <c r="P75" s="45"/>
      <c r="Q75" s="499"/>
    </row>
    <row r="76" spans="1:17" ht="15.75" thickTop="1">
      <c r="A76" s="529"/>
      <c r="B76" s="541" t="s">
        <v>2691</v>
      </c>
      <c r="C76" s="655" t="s">
        <v>2677</v>
      </c>
      <c r="D76" s="655" t="s">
        <v>2678</v>
      </c>
      <c r="E76" s="655" t="s">
        <v>2679</v>
      </c>
      <c r="F76" s="655" t="s">
        <v>2680</v>
      </c>
      <c r="G76" s="655" t="s">
        <v>2681</v>
      </c>
      <c r="H76" s="534"/>
      <c r="I76" s="534"/>
      <c r="J76" s="534"/>
      <c r="K76" s="534"/>
      <c r="L76" s="534"/>
      <c r="M76" s="1380"/>
      <c r="N76" s="1151"/>
      <c r="O76" s="1151"/>
      <c r="P76" s="45"/>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7"/>
      <c r="N77" s="1151"/>
      <c r="O77" s="1151"/>
      <c r="P77" s="45"/>
      <c r="Q77" s="499"/>
    </row>
    <row r="78" spans="1:17" ht="15.75" thickTop="1">
      <c r="A78" s="529"/>
      <c r="B78" s="533" t="s">
        <v>2700</v>
      </c>
      <c r="C78" s="573" t="s">
        <v>2599</v>
      </c>
      <c r="D78" s="573" t="s">
        <v>2600</v>
      </c>
      <c r="E78" s="573" t="s">
        <v>2601</v>
      </c>
      <c r="F78" s="573" t="s">
        <v>2602</v>
      </c>
      <c r="G78" s="573" t="s">
        <v>2603</v>
      </c>
      <c r="H78" s="534"/>
      <c r="I78" s="534"/>
      <c r="J78" s="534"/>
      <c r="K78" s="535"/>
      <c r="L78" s="536"/>
      <c r="M78" s="537"/>
      <c r="N78" s="1150"/>
      <c r="O78" s="1150"/>
      <c r="P78" s="45"/>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51"/>
      <c r="O79" s="1151"/>
      <c r="P79" s="45"/>
      <c r="Q79" s="499"/>
    </row>
    <row r="80" spans="1:17" s="116" customFormat="1" ht="15.75" thickTop="1">
      <c r="A80" s="574"/>
      <c r="B80" s="533">
        <f>B25</f>
        <v>111</v>
      </c>
      <c r="C80" s="549"/>
      <c r="D80" s="549"/>
      <c r="E80" s="549"/>
      <c r="F80" s="549"/>
      <c r="G80" s="549"/>
      <c r="H80" s="549"/>
      <c r="I80" s="549"/>
      <c r="J80" s="549"/>
      <c r="K80" s="549"/>
      <c r="L80" s="575"/>
      <c r="M80" s="576"/>
      <c r="N80" s="1149"/>
      <c r="O80" s="1149"/>
      <c r="P80" s="45"/>
      <c r="Q80" s="499"/>
    </row>
    <row r="81" spans="1:17" s="116" customFormat="1" ht="15.75" thickBot="1">
      <c r="A81" s="574"/>
      <c r="B81" s="538"/>
      <c r="C81" s="555"/>
      <c r="D81" s="531"/>
      <c r="E81" s="531"/>
      <c r="F81" s="531"/>
      <c r="G81" s="531"/>
      <c r="H81" s="531"/>
      <c r="I81" s="531"/>
      <c r="J81" s="531"/>
      <c r="K81" s="531"/>
      <c r="L81" s="531"/>
      <c r="M81" s="532"/>
      <c r="N81" s="1151"/>
      <c r="O81" s="1151"/>
      <c r="P81" s="45"/>
      <c r="Q81" s="499"/>
    </row>
    <row r="82" spans="1:17" s="116" customFormat="1" ht="15.75" thickTop="1">
      <c r="A82" s="574"/>
      <c r="B82" s="533">
        <f>B26</f>
        <v>111</v>
      </c>
      <c r="C82" s="549"/>
      <c r="D82" s="549"/>
      <c r="E82" s="549"/>
      <c r="F82" s="549"/>
      <c r="G82" s="549"/>
      <c r="H82" s="549"/>
      <c r="I82" s="549"/>
      <c r="J82" s="549"/>
      <c r="K82" s="549"/>
      <c r="L82" s="575"/>
      <c r="M82" s="576"/>
      <c r="N82" s="1149"/>
      <c r="O82" s="1149"/>
      <c r="P82" s="45"/>
      <c r="Q82" s="499"/>
    </row>
    <row r="83" spans="1:17" s="116" customFormat="1" ht="15.75" thickBot="1">
      <c r="A83" s="574"/>
      <c r="B83" s="538"/>
      <c r="C83" s="555"/>
      <c r="D83" s="531"/>
      <c r="E83" s="531"/>
      <c r="F83" s="531"/>
      <c r="G83" s="531"/>
      <c r="H83" s="531"/>
      <c r="I83" s="531"/>
      <c r="J83" s="531"/>
      <c r="K83" s="531"/>
      <c r="L83" s="531"/>
      <c r="M83" s="532"/>
      <c r="N83" s="1151"/>
      <c r="O83" s="1151"/>
      <c r="P83" s="45"/>
      <c r="Q83" s="499"/>
    </row>
    <row r="84" spans="1:17" s="466" customFormat="1" ht="15.75" thickTop="1">
      <c r="A84" s="548"/>
      <c r="B84" s="533">
        <f>B27</f>
        <v>111</v>
      </c>
      <c r="C84" s="549"/>
      <c r="D84" s="549"/>
      <c r="E84" s="549"/>
      <c r="F84" s="549"/>
      <c r="G84" s="549"/>
      <c r="H84" s="549"/>
      <c r="I84" s="549"/>
      <c r="J84" s="549"/>
      <c r="K84" s="549"/>
      <c r="L84" s="575"/>
      <c r="M84" s="576"/>
      <c r="N84" s="1152"/>
      <c r="O84" s="1152"/>
      <c r="P84" s="553"/>
      <c r="Q84" s="554"/>
    </row>
    <row r="85" spans="1:17" s="466" customFormat="1" ht="15.75" thickBot="1">
      <c r="A85" s="548"/>
      <c r="B85" s="538"/>
      <c r="C85" s="555"/>
      <c r="D85" s="531"/>
      <c r="E85" s="531"/>
      <c r="F85" s="531"/>
      <c r="G85" s="531"/>
      <c r="H85" s="531"/>
      <c r="I85" s="531"/>
      <c r="J85" s="531"/>
      <c r="K85" s="531"/>
      <c r="L85" s="531"/>
      <c r="M85" s="532"/>
      <c r="N85" s="1152"/>
      <c r="O85" s="1152"/>
      <c r="P85" s="553"/>
      <c r="Q85" s="554"/>
    </row>
    <row r="86" spans="1:17" ht="15.75" thickTop="1">
      <c r="A86" s="529"/>
      <c r="B86" s="541">
        <f>B28</f>
        <v>111</v>
      </c>
      <c r="C86" s="518"/>
      <c r="D86" s="518"/>
      <c r="E86" s="518"/>
      <c r="F86" s="518"/>
      <c r="G86" s="582"/>
      <c r="H86" s="582"/>
      <c r="I86" s="582"/>
      <c r="J86" s="582"/>
      <c r="K86" s="583"/>
      <c r="L86" s="584"/>
      <c r="M86" s="585"/>
      <c r="N86" s="1150"/>
      <c r="O86" s="1150"/>
      <c r="P86" s="45"/>
      <c r="Q86" s="499"/>
    </row>
    <row r="87" spans="1:17" ht="15.75" thickBot="1">
      <c r="A87" s="2636"/>
      <c r="B87" s="564"/>
      <c r="C87" s="565"/>
      <c r="D87" s="565"/>
      <c r="E87" s="565"/>
      <c r="F87" s="565"/>
      <c r="G87" s="586"/>
      <c r="H87" s="586"/>
      <c r="I87" s="586"/>
      <c r="J87" s="586"/>
      <c r="K87" s="586"/>
      <c r="L87" s="586"/>
      <c r="M87" s="587"/>
      <c r="N87" s="1151"/>
      <c r="O87" s="1151"/>
      <c r="P87" s="45"/>
      <c r="Q87" s="499"/>
    </row>
    <row r="88" spans="1:17">
      <c r="A88" s="522" t="s">
        <v>2565</v>
      </c>
      <c r="B88" s="523" t="s">
        <v>2614</v>
      </c>
      <c r="C88" s="525"/>
      <c r="D88" s="525"/>
      <c r="E88" s="525"/>
      <c r="F88" s="525"/>
      <c r="G88" s="525"/>
      <c r="H88" s="525"/>
      <c r="I88" s="525"/>
      <c r="J88" s="525"/>
      <c r="K88" s="526"/>
      <c r="L88" s="527"/>
      <c r="M88" s="528"/>
      <c r="N88" s="1150"/>
      <c r="O88" s="1150"/>
      <c r="P88" s="45"/>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51"/>
      <c r="O89" s="1151"/>
      <c r="P89" s="45"/>
      <c r="Q89" s="499"/>
    </row>
    <row r="90" spans="1:17" ht="15.75" thickTop="1">
      <c r="A90" s="529"/>
      <c r="B90" s="533" t="s">
        <v>2615</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9"/>
      <c r="O90" s="1149"/>
      <c r="P90" s="45"/>
      <c r="Q90" s="499"/>
    </row>
    <row r="91" spans="1:17" s="466" customFormat="1">
      <c r="A91" s="588"/>
      <c r="B91" s="589"/>
      <c r="C91" s="590"/>
      <c r="D91" s="590"/>
      <c r="E91" s="590"/>
      <c r="F91" s="590"/>
      <c r="G91" s="590"/>
      <c r="H91" s="590"/>
      <c r="I91" s="590"/>
      <c r="J91" s="591"/>
      <c r="K91" s="591"/>
      <c r="L91" s="592"/>
      <c r="M91" s="593"/>
      <c r="N91" s="1152"/>
      <c r="O91" s="1152"/>
      <c r="P91" s="553"/>
      <c r="Q91" s="554"/>
    </row>
    <row r="92" spans="1:17" s="466" customFormat="1" ht="15.75" thickBot="1">
      <c r="A92" s="548"/>
      <c r="B92" s="538"/>
      <c r="C92" s="555"/>
      <c r="D92" s="531"/>
      <c r="E92" s="531"/>
      <c r="F92" s="531"/>
      <c r="G92" s="531"/>
      <c r="H92" s="531"/>
      <c r="I92" s="531"/>
      <c r="J92" s="531"/>
      <c r="K92" s="531"/>
      <c r="L92" s="531"/>
      <c r="M92" s="532"/>
      <c r="N92" s="1151"/>
      <c r="O92" s="1151"/>
      <c r="P92" s="553"/>
      <c r="Q92" s="554"/>
    </row>
    <row r="93" spans="1:17" ht="15" thickTop="1">
      <c r="A93" s="594"/>
      <c r="B93" s="533" t="s">
        <v>2616</v>
      </c>
      <c r="C93" s="549"/>
      <c r="D93" s="549"/>
      <c r="E93" s="578"/>
      <c r="F93" s="578"/>
      <c r="G93" s="578"/>
      <c r="H93" s="578"/>
      <c r="I93" s="578"/>
      <c r="J93" s="578"/>
      <c r="K93" s="579"/>
      <c r="L93" s="580"/>
      <c r="M93" s="581"/>
      <c r="N93" s="1150"/>
      <c r="O93" s="1150"/>
      <c r="P93" s="45"/>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51"/>
      <c r="O94" s="1151"/>
      <c r="P94" s="45"/>
      <c r="Q94" s="499"/>
    </row>
    <row r="95" spans="1:17" ht="15" thickTop="1">
      <c r="A95" s="594"/>
      <c r="B95" s="533" t="s">
        <v>2618</v>
      </c>
      <c r="C95" s="549"/>
      <c r="D95" s="549"/>
      <c r="E95" s="549"/>
      <c r="F95" s="578"/>
      <c r="G95" s="578"/>
      <c r="H95" s="578"/>
      <c r="I95" s="578"/>
      <c r="J95" s="578"/>
      <c r="K95" s="579"/>
      <c r="L95" s="580"/>
      <c r="M95" s="581"/>
      <c r="N95" s="1150"/>
      <c r="O95" s="1150"/>
      <c r="P95" s="45"/>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51"/>
      <c r="O96" s="1151"/>
      <c r="P96" s="45"/>
      <c r="Q96" s="499"/>
    </row>
    <row r="97" spans="1:17" ht="15" thickTop="1">
      <c r="A97" s="594"/>
      <c r="B97" s="533" t="s">
        <v>1999</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50"/>
      <c r="O97" s="1150"/>
      <c r="P97" s="45"/>
      <c r="Q97" s="499"/>
    </row>
    <row r="98" spans="1:17">
      <c r="A98" s="594"/>
      <c r="B98" s="541"/>
      <c r="C98" s="598">
        <v>0.5</v>
      </c>
      <c r="D98" s="598">
        <v>0.6</v>
      </c>
      <c r="E98" s="598">
        <v>0.7</v>
      </c>
      <c r="F98" s="598">
        <v>0.8</v>
      </c>
      <c r="G98" s="598">
        <v>0.9</v>
      </c>
      <c r="H98" s="598">
        <v>1.0001</v>
      </c>
      <c r="I98" s="618"/>
      <c r="J98" s="618"/>
      <c r="K98" s="619"/>
      <c r="L98" s="620"/>
      <c r="M98" s="621"/>
      <c r="N98" s="1150"/>
      <c r="O98" s="1150"/>
      <c r="P98" s="45"/>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51"/>
      <c r="O99" s="1151"/>
      <c r="P99" s="45"/>
      <c r="Q99" s="499"/>
    </row>
    <row r="100" spans="1:17" s="466" customFormat="1" ht="15" thickTop="1">
      <c r="A100" s="588"/>
      <c r="B100" s="533" t="s">
        <v>2619</v>
      </c>
      <c r="C100" s="549"/>
      <c r="D100" s="549"/>
      <c r="E100" s="549"/>
      <c r="F100" s="549"/>
      <c r="G100" s="549"/>
      <c r="H100" s="578"/>
      <c r="I100" s="578"/>
      <c r="J100" s="578"/>
      <c r="K100" s="579"/>
      <c r="L100" s="580"/>
      <c r="M100" s="581"/>
      <c r="N100" s="1152"/>
      <c r="O100" s="1152"/>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52"/>
      <c r="O101" s="1152"/>
      <c r="P101" s="553"/>
      <c r="Q101" s="554"/>
    </row>
    <row r="102" spans="1:17" ht="15" thickTop="1">
      <c r="A102" s="594"/>
      <c r="B102" s="533" t="s">
        <v>2620</v>
      </c>
      <c r="C102" s="549"/>
      <c r="D102" s="549"/>
      <c r="E102" s="549"/>
      <c r="F102" s="549"/>
      <c r="G102" s="549"/>
      <c r="H102" s="578"/>
      <c r="I102" s="578"/>
      <c r="J102" s="578"/>
      <c r="K102" s="579"/>
      <c r="L102" s="580"/>
      <c r="M102" s="581"/>
      <c r="N102" s="1150"/>
      <c r="O102" s="1150"/>
      <c r="P102" s="45"/>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51"/>
      <c r="O103" s="1151"/>
      <c r="P103" s="45"/>
      <c r="Q103" s="499"/>
    </row>
    <row r="104" spans="1:17" ht="15" thickTop="1">
      <c r="A104" s="594"/>
      <c r="B104" s="533" t="s">
        <v>2622</v>
      </c>
      <c r="C104" s="549"/>
      <c r="D104" s="549"/>
      <c r="E104" s="549"/>
      <c r="F104" s="549"/>
      <c r="G104" s="549"/>
      <c r="H104" s="578"/>
      <c r="I104" s="578"/>
      <c r="J104" s="578"/>
      <c r="K104" s="579"/>
      <c r="L104" s="580"/>
      <c r="M104" s="581"/>
      <c r="N104" s="1150"/>
      <c r="O104" s="1150"/>
      <c r="P104" s="45"/>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51"/>
      <c r="O105" s="1151"/>
      <c r="P105" s="45"/>
      <c r="Q105" s="499"/>
    </row>
    <row r="106" spans="1:17" ht="15" thickTop="1">
      <c r="A106" s="594"/>
      <c r="B106" s="631" t="s">
        <v>2708</v>
      </c>
      <c r="C106" s="573" t="s">
        <v>2599</v>
      </c>
      <c r="D106" s="573" t="s">
        <v>2600</v>
      </c>
      <c r="E106" s="573" t="s">
        <v>2601</v>
      </c>
      <c r="F106" s="573" t="s">
        <v>2602</v>
      </c>
      <c r="G106" s="573" t="s">
        <v>2603</v>
      </c>
      <c r="H106" s="534"/>
      <c r="I106" s="534"/>
      <c r="J106" s="534"/>
      <c r="K106" s="535"/>
      <c r="L106" s="536"/>
      <c r="M106" s="537"/>
      <c r="N106" s="1151"/>
      <c r="O106" s="1151"/>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51"/>
      <c r="O107" s="1151"/>
      <c r="P107" s="45"/>
      <c r="Q107" s="499"/>
    </row>
    <row r="108" spans="1:17" s="466" customFormat="1" ht="15" thickTop="1">
      <c r="A108" s="588"/>
      <c r="B108" s="533">
        <f>B38</f>
        <v>111</v>
      </c>
      <c r="C108" s="549"/>
      <c r="D108" s="549"/>
      <c r="E108" s="549"/>
      <c r="F108" s="549"/>
      <c r="G108" s="549"/>
      <c r="H108" s="550"/>
      <c r="I108" s="550"/>
      <c r="J108" s="550"/>
      <c r="K108" s="550"/>
      <c r="L108" s="551"/>
      <c r="M108" s="552"/>
      <c r="N108" s="1152"/>
      <c r="O108" s="1152"/>
      <c r="P108" s="553"/>
      <c r="Q108" s="554"/>
    </row>
    <row r="109" spans="1:17" s="466" customFormat="1" ht="15.75" thickBot="1">
      <c r="A109" s="548"/>
      <c r="B109" s="530"/>
      <c r="C109" s="555"/>
      <c r="D109" s="531"/>
      <c r="E109" s="531"/>
      <c r="F109" s="531"/>
      <c r="G109" s="555"/>
      <c r="H109" s="557"/>
      <c r="I109" s="557"/>
      <c r="J109" s="557"/>
      <c r="K109" s="557"/>
      <c r="L109" s="557"/>
      <c r="M109" s="558"/>
      <c r="N109" s="1152"/>
      <c r="O109" s="1152"/>
      <c r="P109" s="553"/>
      <c r="Q109" s="554"/>
    </row>
    <row r="110" spans="1:17" ht="15" thickTop="1">
      <c r="A110" s="594"/>
      <c r="B110" s="533">
        <f>B39</f>
        <v>111</v>
      </c>
      <c r="C110" s="549"/>
      <c r="D110" s="549"/>
      <c r="E110" s="549"/>
      <c r="F110" s="549"/>
      <c r="G110" s="549"/>
      <c r="H110" s="550"/>
      <c r="I110" s="550"/>
      <c r="J110" s="550"/>
      <c r="K110" s="550"/>
      <c r="L110" s="551"/>
      <c r="M110" s="552"/>
      <c r="N110" s="1150"/>
      <c r="O110" s="1150"/>
      <c r="P110" s="45"/>
      <c r="Q110" s="499"/>
    </row>
    <row r="111" spans="1:17" ht="15.75" thickBot="1">
      <c r="A111" s="529"/>
      <c r="B111" s="538"/>
      <c r="C111" s="555"/>
      <c r="D111" s="531"/>
      <c r="E111" s="531"/>
      <c r="F111" s="531"/>
      <c r="G111" s="555"/>
      <c r="H111" s="557"/>
      <c r="I111" s="557"/>
      <c r="J111" s="557"/>
      <c r="K111" s="557"/>
      <c r="L111" s="557"/>
      <c r="M111" s="558"/>
      <c r="N111" s="1151"/>
      <c r="O111" s="1151"/>
      <c r="P111" s="45"/>
      <c r="Q111" s="499"/>
    </row>
    <row r="112" spans="1:17" ht="15" thickTop="1">
      <c r="A112" s="594"/>
      <c r="B112" s="541">
        <f>B40</f>
        <v>111</v>
      </c>
      <c r="C112" s="518"/>
      <c r="D112" s="518"/>
      <c r="E112" s="518"/>
      <c r="F112" s="518"/>
      <c r="G112" s="582"/>
      <c r="H112" s="582"/>
      <c r="I112" s="582"/>
      <c r="J112" s="582"/>
      <c r="K112" s="518"/>
      <c r="L112" s="519"/>
      <c r="M112" s="585"/>
      <c r="N112" s="1150"/>
      <c r="O112" s="1150"/>
      <c r="P112" s="45"/>
      <c r="Q112" s="499"/>
    </row>
    <row r="113" spans="1:17" ht="15.75" thickBot="1">
      <c r="A113" s="2636"/>
      <c r="B113" s="564"/>
      <c r="C113" s="565"/>
      <c r="D113" s="565"/>
      <c r="E113" s="565"/>
      <c r="F113" s="565"/>
      <c r="G113" s="586"/>
      <c r="H113" s="586"/>
      <c r="I113" s="586"/>
      <c r="J113" s="586"/>
      <c r="K113" s="586"/>
      <c r="L113" s="586"/>
      <c r="M113" s="587"/>
      <c r="N113" s="1151"/>
      <c r="O113" s="1151"/>
      <c r="P113" s="45"/>
      <c r="Q113"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v>
      </c>
    </row>
    <row r="4" spans="1:1" ht="18">
      <c r="A4" s="1945" t="str">
        <f>"受贵公司委托，我公司对"&amp;项目基本情况!S1&amp;"进行了预评估。"</f>
        <v>受贵公司委托，我公司对北京市房地产市场价值进行了预评估。</v>
      </c>
    </row>
    <row r="5" spans="1:1" ht="18.75">
      <c r="A5" s="1946" t="s">
        <v>1612</v>
      </c>
    </row>
    <row r="6" spans="1:1" ht="18.75">
      <c r="A6" s="1947" t="s">
        <v>1613</v>
      </c>
    </row>
    <row r="7" spans="1:1" ht="36">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估价对象为北京市房地产，为所有。根据《国有土地使用证》[]，估价对象（分摊）出让国有建设用地使用权面积为0.4平方米，建筑面积为1平方米。</v>
      </c>
    </row>
    <row r="8" spans="1:1" ht="57.75">
      <c r="A8" s="1948" t="s">
        <v>1614</v>
      </c>
    </row>
    <row r="9" spans="1:1" ht="18.75">
      <c r="A9" s="1947" t="s">
        <v>1615</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估价对象为北京市房地产,属开发建设的，该项目尚在开发建设中。根据《国有土地使用证》[]，估价对象（分摊）出让国有建设用地使用权面积为0.4平方米，规划建筑面积为1平方米。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1618</v>
      </c>
    </row>
    <row r="15" spans="1:1" ht="18">
      <c r="A15" s="1951" t="str">
        <f>TEXT(项目基本情况!D3,"yyyy年m月d日;;")&amp;IF(项目基本情况!D3=项目基本情况!B3,"（评估专业人员实地查勘之日）","")</f>
        <v>2019年6月5日（评估专业人员实地查勘之日）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5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5" t="str">
        <f>IF(项目基本情况!B9="房地产市场价值","——",IF(项目基本情况!E8="房地产抵押价值",定义!C54,IF(项目基本情况!E8="已注销",定义!C55,定义!C56)))</f>
        <v>——</v>
      </c>
    </row>
    <row r="21" spans="1:1" ht="18">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5" t="str">
        <f>IF(项目基本情况!B9="房地产市场价值","——",IF(项目基本情况!E9="——","",定义!C57))</f>
        <v>——</v>
      </c>
    </row>
    <row r="23" spans="1:1" ht="18.75">
      <c r="A23" s="1950" t="s">
        <v>1609</v>
      </c>
    </row>
    <row r="24" spans="1:1" ht="18">
      <c r="A24" s="1952" t="str">
        <f>"本次评估采用的主估价方法为"&amp;结果表!K4&amp;"和"&amp;结果表!L4&amp;"。"</f>
        <v>本次评估采用的主估价方法为和。</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0" customWidth="1"/>
    <col min="12" max="12" width="12.25" style="491" customWidth="1"/>
    <col min="13" max="15" width="12.25" style="400" customWidth="1"/>
    <col min="16" max="16" width="4.75" style="11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2709</v>
      </c>
      <c r="B1" s="1616"/>
      <c r="C1" s="1617" t="s">
        <v>2533</v>
      </c>
      <c r="D1" s="1618"/>
      <c r="E1" s="1619"/>
      <c r="F1" s="2584"/>
      <c r="G1" s="1620" t="s">
        <v>2645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5" customFormat="1" ht="28.5" customHeight="1" thickTop="1">
      <c r="A2" s="1614" t="s">
        <v>2330</v>
      </c>
      <c r="B2" s="1415" t="e">
        <f ca="1">IF(C2="——",IF(B37="元/平方米",ROUND(C39*D3/10000,0),ROUND(F3*C39/10000,0)),IF(B37="元/平方米",ROUND(C39*D3/10000,0),ROUND(F3*C39/10000,0))-D2)</f>
        <v>#DIV/0!</v>
      </c>
      <c r="C2" s="2586"/>
      <c r="D2" s="1122" t="e">
        <f ca="1">SUMIF(INDIRECT("'"&amp;F2&amp;"'"&amp;"!A:A"),"承租人权益价值",INDIRECT("'"&amp;F2&amp;"'"&amp;"!c:c"))</f>
        <v>#REF!</v>
      </c>
      <c r="E2" s="2587" t="s">
        <v>2331</v>
      </c>
      <c r="F2" s="2588"/>
      <c r="G2" s="1123"/>
      <c r="H2" s="1123"/>
      <c r="I2" s="1123"/>
      <c r="J2" s="1123"/>
      <c r="K2" s="1125"/>
      <c r="L2" s="1126"/>
      <c r="M2" s="1127"/>
      <c r="N2" s="1127"/>
      <c r="O2" s="1127"/>
      <c r="P2" s="1416"/>
      <c r="Q2" s="763"/>
      <c r="R2" s="763"/>
      <c r="S2" s="763"/>
      <c r="T2" s="763"/>
      <c r="U2" s="763"/>
      <c r="V2" s="763"/>
      <c r="W2" s="763"/>
      <c r="X2" s="763"/>
      <c r="Y2" s="763"/>
      <c r="Z2" s="763"/>
      <c r="AA2" s="763"/>
      <c r="AB2" s="763"/>
      <c r="AC2" s="764"/>
    </row>
    <row r="3" spans="1:29" s="395" customFormat="1" ht="28.5" customHeight="1" thickBot="1">
      <c r="A3" s="244" t="s">
        <v>2332</v>
      </c>
      <c r="B3" s="604" t="e">
        <f ca="1">IF(AND(C2="——",B37="元/平方米"),C39,ROUND(B2*10000/D3,0))</f>
        <v>#DIV/0!</v>
      </c>
      <c r="C3" s="397" t="s">
        <v>2646</v>
      </c>
      <c r="D3" s="396">
        <f>SUMIF('数据-汇总表'!$C19:$C33,D1,'数据-汇总表'!$E19:$E33)</f>
        <v>0</v>
      </c>
      <c r="E3" s="397" t="s">
        <v>2710</v>
      </c>
      <c r="F3" s="396">
        <f>SUMIF('数据-取费表'!A5:A15,D1,'数据-取费表'!AH5:AH15)</f>
        <v>0</v>
      </c>
      <c r="G3" s="1123"/>
      <c r="H3" s="1123"/>
      <c r="I3" s="1123"/>
      <c r="J3" s="1123"/>
      <c r="K3" s="1125"/>
      <c r="L3" s="1126"/>
      <c r="M3" s="1127"/>
      <c r="N3" s="1127"/>
      <c r="O3" s="1127"/>
      <c r="P3" s="1416"/>
      <c r="Q3" s="763"/>
      <c r="R3" s="763"/>
      <c r="S3" s="763"/>
      <c r="T3" s="763"/>
      <c r="U3" s="763"/>
      <c r="V3" s="763"/>
      <c r="W3" s="763"/>
      <c r="X3" s="763"/>
      <c r="Y3" s="763"/>
      <c r="Z3" s="763"/>
      <c r="AA3" s="763"/>
      <c r="AB3" s="781"/>
      <c r="AC3" s="777"/>
    </row>
    <row r="4" spans="1:29" ht="15">
      <c r="A4" s="398" t="s">
        <v>2647</v>
      </c>
      <c r="B4" s="399"/>
      <c r="C4" s="3330" t="s">
        <v>2648</v>
      </c>
      <c r="D4" s="3331"/>
      <c r="E4" s="3332" t="s">
        <v>2649</v>
      </c>
      <c r="F4" s="3333"/>
      <c r="G4" s="3330" t="s">
        <v>2650</v>
      </c>
      <c r="H4" s="3331"/>
      <c r="I4" s="3330" t="s">
        <v>2651</v>
      </c>
      <c r="J4" s="3331"/>
      <c r="K4" s="605" t="s">
        <v>2652</v>
      </c>
      <c r="L4" s="1128"/>
      <c r="M4" s="1129"/>
      <c r="N4" s="1129"/>
      <c r="O4" s="1129"/>
      <c r="P4" s="3334" t="s">
        <v>2653</v>
      </c>
      <c r="Q4" s="3335"/>
      <c r="R4" s="3340" t="s">
        <v>2649</v>
      </c>
      <c r="S4" s="3341"/>
      <c r="T4" s="3340" t="s">
        <v>2650</v>
      </c>
      <c r="U4" s="3341"/>
      <c r="V4" s="3346" t="s">
        <v>2651</v>
      </c>
      <c r="W4" s="3346"/>
      <c r="X4" s="1810"/>
      <c r="Y4" s="3340" t="s">
        <v>2653</v>
      </c>
      <c r="Z4" s="3341"/>
      <c r="AA4" s="3327" t="s">
        <v>2649</v>
      </c>
      <c r="AB4" s="3328" t="s">
        <v>2650</v>
      </c>
      <c r="AC4" s="3327" t="s">
        <v>2651</v>
      </c>
    </row>
    <row r="5" spans="1:29" ht="15">
      <c r="A5" s="401"/>
      <c r="B5" s="402"/>
      <c r="C5" s="3386" t="s">
        <v>2544</v>
      </c>
      <c r="D5" s="3355"/>
      <c r="E5" s="3388" t="s">
        <v>2545</v>
      </c>
      <c r="F5" s="3350"/>
      <c r="G5" s="3386" t="s">
        <v>2546</v>
      </c>
      <c r="H5" s="3355"/>
      <c r="I5" s="3386" t="s">
        <v>2547</v>
      </c>
      <c r="J5" s="3355"/>
      <c r="K5" s="605"/>
      <c r="L5" s="1128"/>
      <c r="M5" s="1129"/>
      <c r="N5" s="1129"/>
      <c r="O5" s="1129"/>
      <c r="P5" s="3336"/>
      <c r="Q5" s="3337"/>
      <c r="R5" s="3342"/>
      <c r="S5" s="3343"/>
      <c r="T5" s="3342"/>
      <c r="U5" s="3343"/>
      <c r="V5" s="3346"/>
      <c r="W5" s="3346"/>
      <c r="X5" s="1810"/>
      <c r="Y5" s="3342"/>
      <c r="Z5" s="3343"/>
      <c r="AA5" s="3328"/>
      <c r="AB5" s="3328"/>
      <c r="AC5" s="3328"/>
    </row>
    <row r="6" spans="1:29" ht="15.75" thickBot="1">
      <c r="A6" s="403"/>
      <c r="B6" s="404"/>
      <c r="C6" s="3385" t="s">
        <v>2548</v>
      </c>
      <c r="D6" s="3357"/>
      <c r="E6" s="3387" t="s">
        <v>2548</v>
      </c>
      <c r="F6" s="3348"/>
      <c r="G6" s="3385" t="s">
        <v>2548</v>
      </c>
      <c r="H6" s="3357"/>
      <c r="I6" s="3385" t="s">
        <v>2548</v>
      </c>
      <c r="J6" s="3357"/>
      <c r="K6" s="605" t="s">
        <v>2549</v>
      </c>
      <c r="L6" s="1128"/>
      <c r="M6" s="1129"/>
      <c r="N6" s="1129"/>
      <c r="O6" s="1129"/>
      <c r="P6" s="3338"/>
      <c r="Q6" s="3339"/>
      <c r="R6" s="3342"/>
      <c r="S6" s="3343"/>
      <c r="T6" s="3344"/>
      <c r="U6" s="3345"/>
      <c r="V6" s="3346"/>
      <c r="W6" s="3346"/>
      <c r="X6" s="1810"/>
      <c r="Y6" s="3344"/>
      <c r="Z6" s="3345"/>
      <c r="AA6" s="3329"/>
      <c r="AB6" s="3329"/>
      <c r="AC6" s="3329"/>
    </row>
    <row r="7" spans="1:29" s="116" customFormat="1" ht="15.75" thickBot="1">
      <c r="A7" s="405" t="s">
        <v>2550</v>
      </c>
      <c r="B7" s="406"/>
      <c r="C7" s="407">
        <f>'数据-取费表'!B2</f>
        <v>43621</v>
      </c>
      <c r="D7" s="408">
        <v>100</v>
      </c>
      <c r="E7" s="409"/>
      <c r="F7" s="410">
        <f>SUMIF(48:48,YEAR(E7)&amp;"-"&amp;MONTH(E7),49:49)</f>
        <v>0</v>
      </c>
      <c r="G7" s="409"/>
      <c r="H7" s="408">
        <f>SUMIF(48:48,YEAR(G7)&amp;"-"&amp;MONTH(G7),49:49)</f>
        <v>0</v>
      </c>
      <c r="I7" s="409"/>
      <c r="J7" s="408">
        <f>SUMIF(48:48,YEAR(I7)&amp;"-"&amp;MONTH(I7),49:49)</f>
        <v>0</v>
      </c>
      <c r="K7" s="606"/>
      <c r="L7" s="1130"/>
      <c r="M7" s="1131"/>
      <c r="N7" s="1131"/>
      <c r="O7" s="1131"/>
      <c r="P7" s="3351" t="s">
        <v>2551</v>
      </c>
      <c r="Q7" s="3353"/>
      <c r="R7" s="765" t="s">
        <v>17</v>
      </c>
      <c r="S7" s="766">
        <f t="shared" ref="S7:S14" si="0">F7</f>
        <v>0</v>
      </c>
      <c r="T7" s="765" t="s">
        <v>17</v>
      </c>
      <c r="U7" s="766">
        <f t="shared" ref="U7:U14" si="1">H7</f>
        <v>0</v>
      </c>
      <c r="V7" s="765" t="s">
        <v>17</v>
      </c>
      <c r="W7" s="766">
        <f t="shared" ref="W7:W14" si="2">J7</f>
        <v>0</v>
      </c>
      <c r="X7" s="767"/>
      <c r="Y7" s="3351" t="s">
        <v>2551</v>
      </c>
      <c r="Z7" s="3352"/>
      <c r="AA7" s="768" t="e">
        <f>D7/F7</f>
        <v>#DIV/0!</v>
      </c>
      <c r="AB7" s="768" t="e">
        <f>D7/H7</f>
        <v>#DIV/0!</v>
      </c>
      <c r="AC7" s="768" t="e">
        <f>D7/J7</f>
        <v>#DIV/0!</v>
      </c>
    </row>
    <row r="8" spans="1:29" s="116" customFormat="1" ht="15.75" thickBot="1">
      <c r="A8" s="405" t="s">
        <v>2552</v>
      </c>
      <c r="B8" s="406"/>
      <c r="C8" s="411" t="s">
        <v>2654</v>
      </c>
      <c r="D8" s="408">
        <v>100</v>
      </c>
      <c r="E8" s="411"/>
      <c r="F8" s="410">
        <f>SUMIF(51:51,E8,52:52)-SUMIF(51:51,C8,52:52)+100</f>
        <v>0</v>
      </c>
      <c r="G8" s="411"/>
      <c r="H8" s="408">
        <f>SUMIF(51:51,G8,52:52)-SUMIF(51:51,C8,52:52)+100</f>
        <v>0</v>
      </c>
      <c r="I8" s="411"/>
      <c r="J8" s="408">
        <f>SUMIF(51:51,I8,52:52)-SUMIF(51:51,C8,52:52)+100</f>
        <v>0</v>
      </c>
      <c r="K8" s="606"/>
      <c r="L8" s="1130"/>
      <c r="M8" s="1131"/>
      <c r="N8" s="1131"/>
      <c r="O8" s="1131"/>
      <c r="P8" s="3351" t="s">
        <v>2554</v>
      </c>
      <c r="Q8" s="3352"/>
      <c r="R8" s="765" t="s">
        <v>17</v>
      </c>
      <c r="S8" s="766">
        <f t="shared" si="0"/>
        <v>0</v>
      </c>
      <c r="T8" s="765" t="s">
        <v>17</v>
      </c>
      <c r="U8" s="766">
        <f t="shared" si="1"/>
        <v>0</v>
      </c>
      <c r="V8" s="765" t="s">
        <v>17</v>
      </c>
      <c r="W8" s="766">
        <f t="shared" si="2"/>
        <v>0</v>
      </c>
      <c r="X8" s="767"/>
      <c r="Y8" s="3351" t="s">
        <v>2554</v>
      </c>
      <c r="Z8" s="3352"/>
      <c r="AA8" s="768" t="e">
        <f t="shared" ref="AA8:AA36" si="3">D8/F8</f>
        <v>#DIV/0!</v>
      </c>
      <c r="AB8" s="768" t="e">
        <f t="shared" ref="AB8:AB36" si="4">D8/H8</f>
        <v>#DIV/0!</v>
      </c>
      <c r="AC8" s="768" t="e">
        <f t="shared" ref="AC8:AC36" si="5">D8/J8</f>
        <v>#DIV/0!</v>
      </c>
    </row>
    <row r="9" spans="1:29" s="116" customFormat="1">
      <c r="A9" s="68" t="s">
        <v>2555</v>
      </c>
      <c r="B9" s="635" t="s">
        <v>2556</v>
      </c>
      <c r="C9" s="413"/>
      <c r="D9" s="132">
        <v>100</v>
      </c>
      <c r="E9" s="416"/>
      <c r="F9" s="132">
        <f>SUMIF(53:53,E9,54:54)-SUMIF(53:53,C9,54:54)+100</f>
        <v>100</v>
      </c>
      <c r="G9" s="414"/>
      <c r="H9" s="132">
        <f>SUMIF(53:53,G9,54:54)-SUMIF(53:53,C9,54:54)+100</f>
        <v>100</v>
      </c>
      <c r="I9" s="414"/>
      <c r="J9" s="132">
        <f>SUMIF(53:53,I9,54:54)-SUMIF(53:53,C9,54:54)+100</f>
        <v>100</v>
      </c>
      <c r="K9" s="606"/>
      <c r="L9" s="1130"/>
      <c r="M9" s="1131"/>
      <c r="N9" s="1131"/>
      <c r="O9" s="1131"/>
      <c r="P9" s="3315" t="s">
        <v>2557</v>
      </c>
      <c r="Q9" s="1792" t="str">
        <f t="shared" ref="Q9:Q14" si="6">B9</f>
        <v>用途</v>
      </c>
      <c r="R9" s="765" t="s">
        <v>17</v>
      </c>
      <c r="S9" s="766">
        <f t="shared" si="0"/>
        <v>100</v>
      </c>
      <c r="T9" s="765" t="s">
        <v>17</v>
      </c>
      <c r="U9" s="766">
        <f t="shared" si="1"/>
        <v>100</v>
      </c>
      <c r="V9" s="765" t="s">
        <v>17</v>
      </c>
      <c r="W9" s="766">
        <f t="shared" si="2"/>
        <v>100</v>
      </c>
      <c r="X9" s="767"/>
      <c r="Y9" s="3167" t="s">
        <v>2558</v>
      </c>
      <c r="Z9" s="55" t="str">
        <f t="shared" ref="Z9:Z14" si="7">Q9</f>
        <v>用途</v>
      </c>
      <c r="AA9" s="768">
        <f t="shared" si="3"/>
        <v>1</v>
      </c>
      <c r="AB9" s="768">
        <f t="shared" si="4"/>
        <v>1</v>
      </c>
      <c r="AC9" s="768">
        <f t="shared" si="5"/>
        <v>1</v>
      </c>
    </row>
    <row r="10" spans="1:29" s="424" customFormat="1" ht="27">
      <c r="A10" s="636"/>
      <c r="B10" s="637" t="s">
        <v>2559</v>
      </c>
      <c r="C10" s="420"/>
      <c r="D10" s="133">
        <v>100</v>
      </c>
      <c r="E10" s="420"/>
      <c r="F10" s="133">
        <f>SUMIF(55:55,E10,56:56)-SUMIF(55:55,C10,56:56)+100</f>
        <v>100</v>
      </c>
      <c r="G10" s="421"/>
      <c r="H10" s="133">
        <f>SUMIF(55:55,G10,56:56)-SUMIF(55:55,C10,56:56)+100</f>
        <v>100</v>
      </c>
      <c r="I10" s="420"/>
      <c r="J10" s="133">
        <f>SUMIF(55:55,I10,56:56)-SUMIF(55:55,C10,56:56)+100</f>
        <v>100</v>
      </c>
      <c r="K10" s="607"/>
      <c r="L10" s="1133"/>
      <c r="M10" s="1134"/>
      <c r="N10" s="1134"/>
      <c r="O10" s="1134"/>
      <c r="P10" s="3315"/>
      <c r="Q10" s="1792" t="str">
        <f t="shared" si="6"/>
        <v>土地使用年限（年）</v>
      </c>
      <c r="R10" s="765" t="s">
        <v>17</v>
      </c>
      <c r="S10" s="766">
        <f t="shared" si="0"/>
        <v>100</v>
      </c>
      <c r="T10" s="765" t="s">
        <v>17</v>
      </c>
      <c r="U10" s="766">
        <f t="shared" si="1"/>
        <v>100</v>
      </c>
      <c r="V10" s="765" t="s">
        <v>17</v>
      </c>
      <c r="W10" s="766">
        <f t="shared" si="2"/>
        <v>100</v>
      </c>
      <c r="X10" s="767"/>
      <c r="Y10" s="3167"/>
      <c r="Z10" s="55" t="str">
        <f t="shared" si="7"/>
        <v>土地使用年限（年）</v>
      </c>
      <c r="AA10" s="768">
        <f t="shared" si="3"/>
        <v>1</v>
      </c>
      <c r="AB10" s="768">
        <f t="shared" si="4"/>
        <v>1</v>
      </c>
      <c r="AC10" s="768">
        <f t="shared" si="5"/>
        <v>1</v>
      </c>
    </row>
    <row r="11" spans="1:29" ht="15">
      <c r="A11" s="638"/>
      <c r="B11" s="639">
        <v>111</v>
      </c>
      <c r="C11" s="429"/>
      <c r="D11" s="133">
        <v>100</v>
      </c>
      <c r="E11" s="429"/>
      <c r="F11" s="133">
        <f>SUMIF(57:57,E11,58:58)-SUMIF(57:57,C11,58:58)+100</f>
        <v>100</v>
      </c>
      <c r="G11" s="429"/>
      <c r="H11" s="133">
        <f>SUMIF(57:57,G11,58:58)-SUMIF(57:57,C11,58:58)+100</f>
        <v>100</v>
      </c>
      <c r="I11" s="429"/>
      <c r="J11" s="133">
        <f>SUMIF(57:57,I11,58:58)-SUMIF(57:57,C11,58:58)+100</f>
        <v>100</v>
      </c>
      <c r="K11" s="608"/>
      <c r="L11" s="1136"/>
      <c r="M11" s="1129"/>
      <c r="N11" s="1129"/>
      <c r="O11" s="1129"/>
      <c r="P11" s="3315"/>
      <c r="Q11" s="1792">
        <f t="shared" si="6"/>
        <v>111</v>
      </c>
      <c r="R11" s="765" t="s">
        <v>17</v>
      </c>
      <c r="S11" s="766">
        <f t="shared" si="0"/>
        <v>100</v>
      </c>
      <c r="T11" s="765" t="s">
        <v>17</v>
      </c>
      <c r="U11" s="766">
        <f t="shared" si="1"/>
        <v>100</v>
      </c>
      <c r="V11" s="765" t="s">
        <v>17</v>
      </c>
      <c r="W11" s="766">
        <f t="shared" si="2"/>
        <v>100</v>
      </c>
      <c r="X11" s="767"/>
      <c r="Y11" s="3167"/>
      <c r="Z11" s="55">
        <f t="shared" si="7"/>
        <v>111</v>
      </c>
      <c r="AA11" s="768">
        <f t="shared" si="3"/>
        <v>1</v>
      </c>
      <c r="AB11" s="768">
        <f t="shared" si="4"/>
        <v>1</v>
      </c>
      <c r="AC11" s="768">
        <f t="shared" si="5"/>
        <v>1</v>
      </c>
    </row>
    <row r="12" spans="1:29" s="116" customFormat="1" ht="15">
      <c r="A12" s="640"/>
      <c r="B12" s="639">
        <v>111</v>
      </c>
      <c r="C12" s="429"/>
      <c r="D12" s="430">
        <v>100</v>
      </c>
      <c r="E12" s="429"/>
      <c r="F12" s="133">
        <f>SUMIF(59:59,E12,60:60)-SUMIF(59:59,C12,60:60)+100</f>
        <v>100</v>
      </c>
      <c r="G12" s="429"/>
      <c r="H12" s="133">
        <f>SUMIF(59:59,G12,60:60)-SUMIF(59:59,C12,60:60)+100</f>
        <v>100</v>
      </c>
      <c r="I12" s="429"/>
      <c r="J12" s="133">
        <f>SUMIF(59:59,I12,60:60)-SUMIF(59:59,C12,60:60)+100</f>
        <v>100</v>
      </c>
      <c r="K12" s="608"/>
      <c r="L12" s="1130"/>
      <c r="M12" s="1131"/>
      <c r="N12" s="1131"/>
      <c r="O12" s="1131"/>
      <c r="P12" s="3315"/>
      <c r="Q12" s="1792">
        <f t="shared" si="6"/>
        <v>111</v>
      </c>
      <c r="R12" s="765" t="s">
        <v>17</v>
      </c>
      <c r="S12" s="766">
        <f t="shared" si="0"/>
        <v>100</v>
      </c>
      <c r="T12" s="765" t="s">
        <v>17</v>
      </c>
      <c r="U12" s="766">
        <f t="shared" si="1"/>
        <v>100</v>
      </c>
      <c r="V12" s="765" t="s">
        <v>17</v>
      </c>
      <c r="W12" s="766">
        <f t="shared" si="2"/>
        <v>100</v>
      </c>
      <c r="X12" s="767"/>
      <c r="Y12" s="3167"/>
      <c r="Z12" s="55">
        <f t="shared" si="7"/>
        <v>111</v>
      </c>
      <c r="AA12" s="768">
        <f>D12/F12</f>
        <v>1</v>
      </c>
      <c r="AB12" s="768">
        <f>D12/H12</f>
        <v>1</v>
      </c>
      <c r="AC12" s="768">
        <f>D12/J12</f>
        <v>1</v>
      </c>
    </row>
    <row r="13" spans="1:29" ht="15.75" thickBot="1">
      <c r="A13" s="641"/>
      <c r="B13" s="639">
        <v>111</v>
      </c>
      <c r="C13" s="431"/>
      <c r="D13" s="432">
        <v>100</v>
      </c>
      <c r="E13" s="429"/>
      <c r="F13" s="133">
        <f>SUMIF(61:61,E13,62:62)-SUMIF(61:61,C13,62:62)+100</f>
        <v>100</v>
      </c>
      <c r="G13" s="429"/>
      <c r="H13" s="432">
        <f>SUMIF(61:61,G13,62:62)-SUMIF(61:61,C13,62:62)+100</f>
        <v>100</v>
      </c>
      <c r="I13" s="429"/>
      <c r="J13" s="432">
        <f>SUMIF(61:61,I13,62:62)-SUMIF(61:61,C13,62:62)+100</f>
        <v>100</v>
      </c>
      <c r="K13" s="608"/>
      <c r="L13" s="1138"/>
      <c r="M13" s="1129"/>
      <c r="N13" s="1129"/>
      <c r="O13" s="1129"/>
      <c r="P13" s="3315"/>
      <c r="Q13" s="1792">
        <f t="shared" si="6"/>
        <v>111</v>
      </c>
      <c r="R13" s="765" t="s">
        <v>17</v>
      </c>
      <c r="S13" s="766">
        <f t="shared" si="0"/>
        <v>100</v>
      </c>
      <c r="T13" s="765" t="s">
        <v>17</v>
      </c>
      <c r="U13" s="766">
        <f t="shared" si="1"/>
        <v>100</v>
      </c>
      <c r="V13" s="765" t="s">
        <v>17</v>
      </c>
      <c r="W13" s="766">
        <f t="shared" si="2"/>
        <v>100</v>
      </c>
      <c r="X13" s="767"/>
      <c r="Y13" s="3167"/>
      <c r="Z13" s="55">
        <f t="shared" si="7"/>
        <v>111</v>
      </c>
      <c r="AA13" s="768">
        <f t="shared" si="3"/>
        <v>1</v>
      </c>
      <c r="AB13" s="768">
        <f t="shared" si="4"/>
        <v>1</v>
      </c>
      <c r="AC13" s="768">
        <f t="shared" si="5"/>
        <v>1</v>
      </c>
    </row>
    <row r="14" spans="1:29" ht="185.25">
      <c r="A14" s="398" t="s">
        <v>2561</v>
      </c>
      <c r="B14" s="624" t="s">
        <v>2711</v>
      </c>
      <c r="C14" s="2693"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8">
        <v>100</v>
      </c>
      <c r="E14" s="439"/>
      <c r="F14" s="440">
        <f>SUMIF(63:63,E15,64:64)-SUMIF(63:63,C15,64:64)+100</f>
        <v>100</v>
      </c>
      <c r="G14" s="441"/>
      <c r="H14" s="438">
        <f>SUMIF(63:63,G15,64:64)-SUMIF(63:63,C15,64:64)+100</f>
        <v>100</v>
      </c>
      <c r="I14" s="439"/>
      <c r="J14" s="438">
        <f>SUMIF(63:63,I15,64:64)-SUMIF(63:63,C15,64:64)+100</f>
        <v>100</v>
      </c>
      <c r="K14" s="609"/>
      <c r="L14" s="1138"/>
      <c r="M14" s="1129"/>
      <c r="N14" s="1129"/>
      <c r="O14" s="1129"/>
      <c r="P14" s="3317" t="s">
        <v>2562</v>
      </c>
      <c r="Q14" s="1807" t="str">
        <f t="shared" si="6"/>
        <v>交通便捷度</v>
      </c>
      <c r="R14" s="769" t="s">
        <v>17</v>
      </c>
      <c r="S14" s="770">
        <f t="shared" si="0"/>
        <v>100</v>
      </c>
      <c r="T14" s="769" t="s">
        <v>17</v>
      </c>
      <c r="U14" s="770">
        <f t="shared" si="1"/>
        <v>100</v>
      </c>
      <c r="V14" s="769" t="s">
        <v>17</v>
      </c>
      <c r="W14" s="770">
        <f t="shared" si="2"/>
        <v>100</v>
      </c>
      <c r="X14" s="1810"/>
      <c r="Y14" s="3317" t="s">
        <v>2562</v>
      </c>
      <c r="Z14" s="1811" t="str">
        <f t="shared" si="7"/>
        <v>交通便捷度</v>
      </c>
      <c r="AA14" s="1808">
        <f t="shared" si="3"/>
        <v>1</v>
      </c>
      <c r="AB14" s="1808">
        <f t="shared" si="4"/>
        <v>1</v>
      </c>
      <c r="AC14" s="1808">
        <f t="shared" si="5"/>
        <v>1</v>
      </c>
    </row>
    <row r="15" spans="1:29" ht="15">
      <c r="A15" s="401"/>
      <c r="B15" s="642"/>
      <c r="C15" s="444"/>
      <c r="D15" s="445"/>
      <c r="E15" s="444"/>
      <c r="F15" s="446"/>
      <c r="G15" s="444"/>
      <c r="H15" s="447"/>
      <c r="I15" s="444"/>
      <c r="J15" s="445"/>
      <c r="K15" s="610"/>
      <c r="L15" s="1138"/>
      <c r="M15" s="1129"/>
      <c r="N15" s="1129"/>
      <c r="O15" s="1129"/>
      <c r="P15" s="3318"/>
      <c r="Q15" s="1807"/>
      <c r="R15" s="769"/>
      <c r="S15" s="770"/>
      <c r="T15" s="769"/>
      <c r="U15" s="770"/>
      <c r="V15" s="769"/>
      <c r="W15" s="770"/>
      <c r="X15" s="1810"/>
      <c r="Y15" s="3318"/>
      <c r="Z15" s="1811"/>
      <c r="AA15" s="1808">
        <v>1</v>
      </c>
      <c r="AB15" s="1808">
        <v>1</v>
      </c>
      <c r="AC15" s="1808">
        <v>1</v>
      </c>
    </row>
    <row r="16" spans="1:29" ht="142.5">
      <c r="A16" s="401"/>
      <c r="B16" s="626" t="s">
        <v>2690</v>
      </c>
      <c r="C16" s="2607" t="str">
        <f>IF(B1="工业",估价对象房地状况!G5,估价对象房地状况!C7)</f>
        <v>估价对象周边有教育机构（育鹰小学、西二旗小学）、医疗设施（清河社区卫生服务站）、金融机构（农商银行、建设银行）等，公共配套设施状况一般。</v>
      </c>
      <c r="D16" s="452">
        <v>100</v>
      </c>
      <c r="E16" s="454"/>
      <c r="F16" s="455">
        <f>SUMIF(65:65,E17,66:66)-SUMIF(65:65,C17,66:66)+100</f>
        <v>100</v>
      </c>
      <c r="G16" s="456"/>
      <c r="H16" s="452">
        <f>SUMIF(65:65,G17,66:66)-SUMIF(65:65,C17,66:66)+100</f>
        <v>100</v>
      </c>
      <c r="I16" s="454"/>
      <c r="J16" s="452">
        <f>SUMIF(65:65,I17,66:66)-SUMIF(65:65,C17,66:66)+100</f>
        <v>100</v>
      </c>
      <c r="K16" s="609"/>
      <c r="L16" s="1138"/>
      <c r="M16" s="1129"/>
      <c r="N16" s="1129"/>
      <c r="O16" s="1129"/>
      <c r="P16" s="3318"/>
      <c r="Q16" s="1807" t="str">
        <f>B16</f>
        <v>公共配套设施</v>
      </c>
      <c r="R16" s="769" t="s">
        <v>17</v>
      </c>
      <c r="S16" s="770">
        <f>F16</f>
        <v>100</v>
      </c>
      <c r="T16" s="769" t="s">
        <v>17</v>
      </c>
      <c r="U16" s="770">
        <f>H16</f>
        <v>100</v>
      </c>
      <c r="V16" s="769" t="s">
        <v>17</v>
      </c>
      <c r="W16" s="770">
        <f>J16</f>
        <v>100</v>
      </c>
      <c r="X16" s="1810"/>
      <c r="Y16" s="3318"/>
      <c r="Z16" s="1811" t="str">
        <f>Q16</f>
        <v>公共配套设施</v>
      </c>
      <c r="AA16" s="1808">
        <f t="shared" si="3"/>
        <v>1</v>
      </c>
      <c r="AB16" s="1808">
        <f t="shared" si="4"/>
        <v>1</v>
      </c>
      <c r="AC16" s="1808">
        <f t="shared" si="5"/>
        <v>1</v>
      </c>
    </row>
    <row r="17" spans="1:29" ht="15">
      <c r="A17" s="401"/>
      <c r="B17" s="627"/>
      <c r="C17" s="2608"/>
      <c r="D17" s="445"/>
      <c r="E17" s="444"/>
      <c r="F17" s="446"/>
      <c r="G17" s="444"/>
      <c r="H17" s="445"/>
      <c r="I17" s="444"/>
      <c r="J17" s="445"/>
      <c r="K17" s="610"/>
      <c r="L17" s="1138"/>
      <c r="M17" s="1129"/>
      <c r="N17" s="1129"/>
      <c r="O17" s="1129"/>
      <c r="P17" s="3318"/>
      <c r="Q17" s="1807"/>
      <c r="R17" s="769"/>
      <c r="S17" s="770"/>
      <c r="T17" s="769"/>
      <c r="U17" s="770"/>
      <c r="V17" s="769"/>
      <c r="W17" s="770"/>
      <c r="X17" s="1810"/>
      <c r="Y17" s="3318"/>
      <c r="Z17" s="1811"/>
      <c r="AA17" s="1808">
        <v>1</v>
      </c>
      <c r="AB17" s="1808">
        <v>1</v>
      </c>
      <c r="AC17" s="1808">
        <v>1</v>
      </c>
    </row>
    <row r="18" spans="1:29" ht="42.75">
      <c r="A18" s="401"/>
      <c r="B18" s="628" t="s">
        <v>2691</v>
      </c>
      <c r="C18" s="2607" t="str">
        <f>IF(B1="工业",估价对象房地状况!G6,估价对象房地状况!C8)</f>
        <v>估价对象所在区域基础设施水平为五通一平</v>
      </c>
      <c r="D18" s="447">
        <v>100</v>
      </c>
      <c r="E18" s="449"/>
      <c r="F18" s="455">
        <f>SUMIF(67:67,E19,68:68)-SUMIF(67:67,C19,68:68)+100</f>
        <v>100</v>
      </c>
      <c r="G18" s="451"/>
      <c r="H18" s="452">
        <f>SUMIF(67:67,G19,68:68)-SUMIF(67:67,C19,68:68)+100</f>
        <v>100</v>
      </c>
      <c r="I18" s="449"/>
      <c r="J18" s="452">
        <f>SUMIF(67:67,I19,68:68)-SUMIF(67:67,C19,68:68)+100</f>
        <v>100</v>
      </c>
      <c r="K18" s="609"/>
      <c r="L18" s="1138"/>
      <c r="M18" s="1129"/>
      <c r="N18" s="1129"/>
      <c r="O18" s="1129"/>
      <c r="P18" s="3318"/>
      <c r="Q18" s="1807" t="str">
        <f>B18</f>
        <v>基础设施水平</v>
      </c>
      <c r="R18" s="769" t="s">
        <v>17</v>
      </c>
      <c r="S18" s="770">
        <f>F18</f>
        <v>100</v>
      </c>
      <c r="T18" s="769" t="s">
        <v>17</v>
      </c>
      <c r="U18" s="770">
        <f>H18</f>
        <v>100</v>
      </c>
      <c r="V18" s="769" t="s">
        <v>17</v>
      </c>
      <c r="W18" s="770">
        <f>J18</f>
        <v>100</v>
      </c>
      <c r="X18" s="1810"/>
      <c r="Y18" s="3318"/>
      <c r="Z18" s="1811" t="str">
        <f>Q18</f>
        <v>基础设施水平</v>
      </c>
      <c r="AA18" s="1808">
        <f t="shared" ref="AA18" si="8">D18/F18</f>
        <v>1</v>
      </c>
      <c r="AB18" s="1808">
        <f t="shared" ref="AB18" si="9">D18/H18</f>
        <v>1</v>
      </c>
      <c r="AC18" s="1808">
        <f t="shared" ref="AC18" si="10">D18/J18</f>
        <v>1</v>
      </c>
    </row>
    <row r="19" spans="1:29" ht="15">
      <c r="A19" s="401"/>
      <c r="B19" s="628"/>
      <c r="C19" s="2608"/>
      <c r="D19" s="447"/>
      <c r="E19" s="2608"/>
      <c r="F19" s="450"/>
      <c r="G19" s="2608"/>
      <c r="H19" s="445"/>
      <c r="I19" s="444"/>
      <c r="J19" s="445"/>
      <c r="K19" s="1381"/>
      <c r="L19" s="1138"/>
      <c r="M19" s="1129"/>
      <c r="N19" s="1129"/>
      <c r="O19" s="1129"/>
      <c r="P19" s="3318"/>
      <c r="Q19" s="1807"/>
      <c r="R19" s="769"/>
      <c r="S19" s="770"/>
      <c r="T19" s="769"/>
      <c r="U19" s="770"/>
      <c r="V19" s="769"/>
      <c r="W19" s="770"/>
      <c r="X19" s="1810"/>
      <c r="Y19" s="3318"/>
      <c r="Z19" s="1811"/>
      <c r="AA19" s="1808">
        <v>1</v>
      </c>
      <c r="AB19" s="1808">
        <v>1</v>
      </c>
      <c r="AC19" s="1808">
        <v>1</v>
      </c>
    </row>
    <row r="20" spans="1:29" ht="114">
      <c r="A20" s="401"/>
      <c r="B20" s="626" t="s">
        <v>2712</v>
      </c>
      <c r="C20" s="2607" t="str">
        <f>IF(B1="工业",估价对象房地状况!G7,估价对象房地状况!C9)</f>
        <v>估价对象西北侧隔路有加油站；周边2公里范围内无大型绿化及博物馆、高等教育学校等人文设施；综合评价环境状况较差。</v>
      </c>
      <c r="D20" s="452">
        <v>100</v>
      </c>
      <c r="E20" s="454"/>
      <c r="F20" s="455">
        <f>SUMIF(69:69,E21,70:70)-SUMIF(69:69,C21,70:70)+100</f>
        <v>100</v>
      </c>
      <c r="G20" s="456"/>
      <c r="H20" s="447">
        <f>SUMIF(69:69,G21,70:70)-SUMIF(69:69,C21,70:70)+100</f>
        <v>100</v>
      </c>
      <c r="I20" s="449"/>
      <c r="J20" s="447">
        <f>SUMIF(69:69,I21,70:70)-SUMIF(69:69,C21,70:70)+100</f>
        <v>100</v>
      </c>
      <c r="K20" s="609"/>
      <c r="L20" s="1138"/>
      <c r="M20" s="1129"/>
      <c r="N20" s="1129"/>
      <c r="O20" s="1129"/>
      <c r="P20" s="3318"/>
      <c r="Q20" s="1807" t="str">
        <f>B20</f>
        <v>自然及人文环境</v>
      </c>
      <c r="R20" s="769" t="s">
        <v>17</v>
      </c>
      <c r="S20" s="770">
        <f>F20</f>
        <v>100</v>
      </c>
      <c r="T20" s="769" t="s">
        <v>17</v>
      </c>
      <c r="U20" s="770">
        <f>H20</f>
        <v>100</v>
      </c>
      <c r="V20" s="769" t="s">
        <v>17</v>
      </c>
      <c r="W20" s="770">
        <f>J20</f>
        <v>100</v>
      </c>
      <c r="X20" s="1810"/>
      <c r="Y20" s="3318"/>
      <c r="Z20" s="1811" t="str">
        <f>Q20</f>
        <v>自然及人文环境</v>
      </c>
      <c r="AA20" s="1808">
        <f t="shared" si="3"/>
        <v>1</v>
      </c>
      <c r="AB20" s="1808">
        <f t="shared" si="4"/>
        <v>1</v>
      </c>
      <c r="AC20" s="1808">
        <f t="shared" si="5"/>
        <v>1</v>
      </c>
    </row>
    <row r="21" spans="1:29" ht="15">
      <c r="A21" s="401"/>
      <c r="B21" s="627"/>
      <c r="C21" s="444"/>
      <c r="D21" s="445"/>
      <c r="E21" s="444"/>
      <c r="F21" s="446"/>
      <c r="G21" s="444"/>
      <c r="H21" s="445"/>
      <c r="I21" s="444"/>
      <c r="J21" s="445"/>
      <c r="K21" s="610"/>
      <c r="L21" s="1138"/>
      <c r="M21" s="1129"/>
      <c r="N21" s="1129"/>
      <c r="O21" s="1129"/>
      <c r="P21" s="3318"/>
      <c r="Q21" s="1807"/>
      <c r="R21" s="769"/>
      <c r="S21" s="770"/>
      <c r="T21" s="769"/>
      <c r="U21" s="770"/>
      <c r="V21" s="769"/>
      <c r="W21" s="770"/>
      <c r="X21" s="1810"/>
      <c r="Y21" s="3318"/>
      <c r="Z21" s="1811"/>
      <c r="AA21" s="1808">
        <v>1</v>
      </c>
      <c r="AB21" s="1808">
        <v>1</v>
      </c>
      <c r="AC21" s="1808">
        <v>1</v>
      </c>
    </row>
    <row r="22" spans="1:29" ht="15">
      <c r="A22" s="401"/>
      <c r="B22" s="626" t="s">
        <v>2713</v>
      </c>
      <c r="C22" s="611"/>
      <c r="D22" s="447">
        <v>100</v>
      </c>
      <c r="E22" s="611"/>
      <c r="F22" s="458">
        <f>SUMIF(71:71,E22,72:72)-SUMIF(71:71,C22,72:72)+100</f>
        <v>100</v>
      </c>
      <c r="G22" s="611"/>
      <c r="H22" s="432">
        <f>SUMIF(71:71,G22,72:72)-SUMIF(71:71,C22,72:72)+100</f>
        <v>100</v>
      </c>
      <c r="I22" s="611"/>
      <c r="J22" s="432">
        <f>SUMIF(71:71,I22,72:72)-SUMIF(71:71,C22,72:72)+100</f>
        <v>100</v>
      </c>
      <c r="K22" s="607"/>
      <c r="L22" s="1138"/>
      <c r="M22" s="1129"/>
      <c r="N22" s="1129"/>
      <c r="O22" s="1129"/>
      <c r="P22" s="3318"/>
      <c r="Q22" s="1807" t="str">
        <f>B22</f>
        <v>楼层</v>
      </c>
      <c r="R22" s="769" t="s">
        <v>17</v>
      </c>
      <c r="S22" s="770">
        <f>F22</f>
        <v>100</v>
      </c>
      <c r="T22" s="769" t="s">
        <v>17</v>
      </c>
      <c r="U22" s="770">
        <f>H22</f>
        <v>100</v>
      </c>
      <c r="V22" s="769" t="s">
        <v>17</v>
      </c>
      <c r="W22" s="770">
        <f>J22</f>
        <v>100</v>
      </c>
      <c r="X22" s="1810"/>
      <c r="Y22" s="3318"/>
      <c r="Z22" s="1811" t="str">
        <f>Q22</f>
        <v>楼层</v>
      </c>
      <c r="AA22" s="1808">
        <f t="shared" si="3"/>
        <v>1</v>
      </c>
      <c r="AB22" s="1808">
        <f t="shared" si="4"/>
        <v>1</v>
      </c>
      <c r="AC22" s="1808">
        <f t="shared" si="5"/>
        <v>1</v>
      </c>
    </row>
    <row r="23" spans="1:29" ht="15">
      <c r="A23" s="401"/>
      <c r="B23" s="643">
        <v>111</v>
      </c>
      <c r="C23" s="429"/>
      <c r="D23" s="432">
        <v>100</v>
      </c>
      <c r="E23" s="429"/>
      <c r="F23" s="458">
        <f>SUMIF(73:73,E23,74:74)-SUMIF(73:73,C23,74:74)+100</f>
        <v>100</v>
      </c>
      <c r="G23" s="429"/>
      <c r="H23" s="432">
        <f>SUMIF(73:73,G23,74:74)-SUMIF(73:73,C23,74:74)+100</f>
        <v>100</v>
      </c>
      <c r="I23" s="429"/>
      <c r="J23" s="432">
        <f>SUMIF(73:73,I23,74:74)-SUMIF(73:73,C23,74:74)+100</f>
        <v>100</v>
      </c>
      <c r="K23" s="608"/>
      <c r="L23" s="1138"/>
      <c r="M23" s="1129"/>
      <c r="N23" s="1129"/>
      <c r="O23" s="1129"/>
      <c r="P23" s="3318"/>
      <c r="Q23" s="1807">
        <f>B23</f>
        <v>111</v>
      </c>
      <c r="R23" s="769" t="s">
        <v>17</v>
      </c>
      <c r="S23" s="770">
        <f>F23</f>
        <v>100</v>
      </c>
      <c r="T23" s="769" t="s">
        <v>17</v>
      </c>
      <c r="U23" s="770">
        <f>H23</f>
        <v>100</v>
      </c>
      <c r="V23" s="769" t="s">
        <v>17</v>
      </c>
      <c r="W23" s="770">
        <f>J23</f>
        <v>100</v>
      </c>
      <c r="X23" s="1810"/>
      <c r="Y23" s="3318"/>
      <c r="Z23" s="1811">
        <f>Q23</f>
        <v>111</v>
      </c>
      <c r="AA23" s="1808">
        <f t="shared" si="3"/>
        <v>1</v>
      </c>
      <c r="AB23" s="1808">
        <f t="shared" si="4"/>
        <v>1</v>
      </c>
      <c r="AC23" s="1808">
        <f t="shared" si="5"/>
        <v>1</v>
      </c>
    </row>
    <row r="24" spans="1:29" ht="15">
      <c r="A24" s="401"/>
      <c r="B24" s="643">
        <v>111</v>
      </c>
      <c r="C24" s="429"/>
      <c r="D24" s="432">
        <v>100</v>
      </c>
      <c r="E24" s="429"/>
      <c r="F24" s="458">
        <f>SUMIF(75:75,E24,76:76)-SUMIF(75:75,C24,76:76)+100</f>
        <v>100</v>
      </c>
      <c r="G24" s="429"/>
      <c r="H24" s="432">
        <f>SUMIF(75:75,G24,76:76)-SUMIF(75:75,C24,76:76)+100</f>
        <v>100</v>
      </c>
      <c r="I24" s="429"/>
      <c r="J24" s="432">
        <f>SUMIF(75:75,I24,76:76)-SUMIF(75:75,C24,76:76)+100</f>
        <v>100</v>
      </c>
      <c r="K24" s="608"/>
      <c r="L24" s="1138"/>
      <c r="M24" s="1129"/>
      <c r="N24" s="1129"/>
      <c r="O24" s="1129"/>
      <c r="P24" s="3318"/>
      <c r="Q24" s="1807">
        <f t="shared" ref="Q24:Q36" si="11">B24</f>
        <v>111</v>
      </c>
      <c r="R24" s="769" t="s">
        <v>17</v>
      </c>
      <c r="S24" s="770">
        <f>F24</f>
        <v>100</v>
      </c>
      <c r="T24" s="769" t="s">
        <v>17</v>
      </c>
      <c r="U24" s="770">
        <f>H24</f>
        <v>100</v>
      </c>
      <c r="V24" s="769" t="s">
        <v>17</v>
      </c>
      <c r="W24" s="770">
        <f>J24</f>
        <v>100</v>
      </c>
      <c r="X24" s="1810"/>
      <c r="Y24" s="3318"/>
      <c r="Z24" s="1811">
        <f>Q24</f>
        <v>111</v>
      </c>
      <c r="AA24" s="1808">
        <f t="shared" si="3"/>
        <v>1</v>
      </c>
      <c r="AB24" s="1808">
        <f t="shared" si="4"/>
        <v>1</v>
      </c>
      <c r="AC24" s="1808">
        <f t="shared" si="5"/>
        <v>1</v>
      </c>
    </row>
    <row r="25" spans="1:29" s="116" customFormat="1" ht="15.75" thickBot="1">
      <c r="A25" s="644"/>
      <c r="B25" s="630">
        <v>111</v>
      </c>
      <c r="C25" s="434"/>
      <c r="D25" s="645">
        <v>100</v>
      </c>
      <c r="E25" s="623"/>
      <c r="F25" s="646">
        <f>SUMIF(77:77,E25,78:78)-SUMIF(77:77,C25,78:78)+100</f>
        <v>100</v>
      </c>
      <c r="G25" s="623"/>
      <c r="H25" s="645">
        <f>SUMIF(77:77,G25,78:78)-SUMIF(77:77,C25,78:78)+100</f>
        <v>100</v>
      </c>
      <c r="I25" s="623"/>
      <c r="J25" s="645">
        <f>SUMIF(77:77,I25,78:78)-SUMIF(77:77,C25,78:78)+100</f>
        <v>100</v>
      </c>
      <c r="K25" s="608"/>
      <c r="L25" s="1130"/>
      <c r="M25" s="1131"/>
      <c r="N25" s="1131"/>
      <c r="O25" s="1131"/>
      <c r="P25" s="3318"/>
      <c r="Q25" s="1792">
        <f t="shared" si="11"/>
        <v>111</v>
      </c>
      <c r="R25" s="765" t="s">
        <v>17</v>
      </c>
      <c r="S25" s="766">
        <f>F25</f>
        <v>100</v>
      </c>
      <c r="T25" s="765" t="s">
        <v>17</v>
      </c>
      <c r="U25" s="766">
        <f>H25</f>
        <v>100</v>
      </c>
      <c r="V25" s="765" t="s">
        <v>17</v>
      </c>
      <c r="W25" s="766">
        <f>J25</f>
        <v>100</v>
      </c>
      <c r="X25" s="767"/>
      <c r="Y25" s="3318"/>
      <c r="Z25" s="55">
        <f>Q25</f>
        <v>111</v>
      </c>
      <c r="AA25" s="1808">
        <f>D25/F25</f>
        <v>1</v>
      </c>
      <c r="AB25" s="1808">
        <f>D25/H25</f>
        <v>1</v>
      </c>
      <c r="AC25" s="1808">
        <f>D25/J25</f>
        <v>1</v>
      </c>
    </row>
    <row r="26" spans="1:29" ht="28.5">
      <c r="A26" s="647" t="s">
        <v>2565</v>
      </c>
      <c r="B26" s="70" t="s">
        <v>2714</v>
      </c>
      <c r="C26" s="2694">
        <f>B1</f>
        <v>0</v>
      </c>
      <c r="D26" s="445">
        <v>100</v>
      </c>
      <c r="E26" s="444"/>
      <c r="F26" s="446">
        <f>SUMIF(79:79,E26,80:80)-SUMIF(79:79,C26,80:80)+100</f>
        <v>100</v>
      </c>
      <c r="G26" s="444"/>
      <c r="H26" s="445">
        <f>SUMIF(79:79,G26,80:80)-SUMIF(79:79,C26,80:80)+100</f>
        <v>100</v>
      </c>
      <c r="I26" s="444"/>
      <c r="J26" s="445">
        <f>SUMIF(79:79,I26,80:80)-SUMIF(79:79,C26,80:80)+100</f>
        <v>100</v>
      </c>
      <c r="K26" s="607"/>
      <c r="L26" s="1138"/>
      <c r="M26" s="1129"/>
      <c r="N26" s="1129"/>
      <c r="O26" s="1129"/>
      <c r="P26" s="3404" t="s">
        <v>2567</v>
      </c>
      <c r="Q26" s="1807" t="str">
        <f t="shared" si="11"/>
        <v>配套类型</v>
      </c>
      <c r="R26" s="769" t="s">
        <v>17</v>
      </c>
      <c r="S26" s="770">
        <f t="shared" ref="S26:S36" si="12">F26</f>
        <v>100</v>
      </c>
      <c r="T26" s="769" t="s">
        <v>17</v>
      </c>
      <c r="U26" s="770">
        <f t="shared" ref="U26:U36" si="13">H26</f>
        <v>100</v>
      </c>
      <c r="V26" s="769" t="s">
        <v>17</v>
      </c>
      <c r="W26" s="770">
        <f t="shared" ref="W26:W36" si="14">J26</f>
        <v>100</v>
      </c>
      <c r="X26" s="1810"/>
      <c r="Y26" s="3322" t="s">
        <v>2567</v>
      </c>
      <c r="Z26" s="1811" t="str">
        <f t="shared" ref="Z26:Z36" si="15">Q26</f>
        <v>配套类型</v>
      </c>
      <c r="AA26" s="1808">
        <f t="shared" si="3"/>
        <v>1</v>
      </c>
      <c r="AB26" s="1808">
        <f t="shared" si="4"/>
        <v>1</v>
      </c>
      <c r="AC26" s="1808">
        <f t="shared" si="5"/>
        <v>1</v>
      </c>
    </row>
    <row r="27" spans="1:29" s="466" customFormat="1" ht="15">
      <c r="A27" s="648"/>
      <c r="B27" s="649" t="s">
        <v>2715</v>
      </c>
      <c r="C27" s="650"/>
      <c r="D27" s="133">
        <v>100</v>
      </c>
      <c r="E27" s="650"/>
      <c r="F27" s="458">
        <f>SUMIF(81:81,E27,82:82)-SUMIF(81:81,C27,82:82)+100</f>
        <v>100</v>
      </c>
      <c r="G27" s="650"/>
      <c r="H27" s="432">
        <f>SUMIF(81:81,G27,82:82)-SUMIF(81:81,C27,82:82)+100</f>
        <v>100</v>
      </c>
      <c r="I27" s="650"/>
      <c r="J27" s="432">
        <f>SUMIF(81:81,I27,82:82)-SUMIF(81:81,C27,82:82)+100</f>
        <v>100</v>
      </c>
      <c r="K27" s="608"/>
      <c r="L27" s="1136"/>
      <c r="M27" s="1139"/>
      <c r="N27" s="1139"/>
      <c r="O27" s="1139"/>
      <c r="P27" s="3322"/>
      <c r="Q27" s="771" t="str">
        <f t="shared" si="11"/>
        <v>项目停车位配比</v>
      </c>
      <c r="R27" s="772" t="s">
        <v>17</v>
      </c>
      <c r="S27" s="773">
        <f t="shared" si="12"/>
        <v>100</v>
      </c>
      <c r="T27" s="772" t="s">
        <v>17</v>
      </c>
      <c r="U27" s="773">
        <f t="shared" si="13"/>
        <v>100</v>
      </c>
      <c r="V27" s="772" t="s">
        <v>17</v>
      </c>
      <c r="W27" s="773">
        <f t="shared" si="14"/>
        <v>100</v>
      </c>
      <c r="X27" s="774"/>
      <c r="Y27" s="3322"/>
      <c r="Z27" s="775" t="str">
        <f t="shared" si="15"/>
        <v>项目停车位配比</v>
      </c>
      <c r="AA27" s="1808">
        <f t="shared" si="3"/>
        <v>1</v>
      </c>
      <c r="AB27" s="1808">
        <f t="shared" si="4"/>
        <v>1</v>
      </c>
      <c r="AC27" s="1808">
        <f t="shared" si="5"/>
        <v>1</v>
      </c>
    </row>
    <row r="28" spans="1:29" ht="15">
      <c r="A28" s="651"/>
      <c r="B28" s="649" t="s">
        <v>2716</v>
      </c>
      <c r="C28" s="457"/>
      <c r="D28" s="432">
        <v>100</v>
      </c>
      <c r="E28" s="457"/>
      <c r="F28" s="458">
        <f>SUMIF(83:83,E28,84:84)-SUMIF(83:83,C28,84:84)+100</f>
        <v>100</v>
      </c>
      <c r="G28" s="457"/>
      <c r="H28" s="432">
        <f>SUMIF(83:83,G28,84:84)-SUMIF(83:83,C28,84:84)+100</f>
        <v>100</v>
      </c>
      <c r="I28" s="457"/>
      <c r="J28" s="432">
        <f>SUMIF(83:83,I28,84:84)-SUMIF(83:83,C28,84:84)+100</f>
        <v>100</v>
      </c>
      <c r="K28" s="607"/>
      <c r="L28" s="1138"/>
      <c r="M28" s="1129"/>
      <c r="N28" s="1129"/>
      <c r="O28" s="1129"/>
      <c r="P28" s="3322"/>
      <c r="Q28" s="1807" t="str">
        <f t="shared" si="11"/>
        <v>公共部分装修</v>
      </c>
      <c r="R28" s="769" t="s">
        <v>17</v>
      </c>
      <c r="S28" s="770">
        <f t="shared" si="12"/>
        <v>100</v>
      </c>
      <c r="T28" s="769" t="s">
        <v>17</v>
      </c>
      <c r="U28" s="770">
        <f t="shared" si="13"/>
        <v>100</v>
      </c>
      <c r="V28" s="769" t="s">
        <v>17</v>
      </c>
      <c r="W28" s="770">
        <f t="shared" si="14"/>
        <v>100</v>
      </c>
      <c r="X28" s="1810"/>
      <c r="Y28" s="3322"/>
      <c r="Z28" s="1811" t="str">
        <f t="shared" si="15"/>
        <v>公共部分装修</v>
      </c>
      <c r="AA28" s="1808">
        <f t="shared" si="3"/>
        <v>1</v>
      </c>
      <c r="AB28" s="1808">
        <f t="shared" si="4"/>
        <v>1</v>
      </c>
      <c r="AC28" s="1808">
        <f t="shared" si="5"/>
        <v>1</v>
      </c>
    </row>
    <row r="29" spans="1:29" ht="15">
      <c r="A29" s="651"/>
      <c r="B29" s="649" t="s">
        <v>2717</v>
      </c>
      <c r="C29" s="464"/>
      <c r="D29" s="432">
        <v>100</v>
      </c>
      <c r="E29" s="469"/>
      <c r="F29" s="458" t="e">
        <f>LOOKUP(E29,86:86,87:87)-LOOKUP(C29,86:86,87:87)+100</f>
        <v>#N/A</v>
      </c>
      <c r="G29" s="469"/>
      <c r="H29" s="458" t="e">
        <f>LOOKUP(G29,86:86,87:87)-LOOKUP(C29,86:86,87:87)+100</f>
        <v>#N/A</v>
      </c>
      <c r="I29" s="469"/>
      <c r="J29" s="432" t="e">
        <f>LOOKUP(I29,86:86,87:87)-LOOKUP(C29,86:86,87:87)+100</f>
        <v>#N/A</v>
      </c>
      <c r="K29" s="607"/>
      <c r="L29" s="1138"/>
      <c r="M29" s="1129"/>
      <c r="N29" s="1129"/>
      <c r="O29" s="1129"/>
      <c r="P29" s="3322"/>
      <c r="Q29" s="1807" t="str">
        <f t="shared" si="11"/>
        <v>成新率</v>
      </c>
      <c r="R29" s="769" t="s">
        <v>17</v>
      </c>
      <c r="S29" s="770" t="e">
        <f t="shared" si="12"/>
        <v>#N/A</v>
      </c>
      <c r="T29" s="769" t="s">
        <v>17</v>
      </c>
      <c r="U29" s="770" t="e">
        <f t="shared" si="13"/>
        <v>#N/A</v>
      </c>
      <c r="V29" s="769" t="s">
        <v>17</v>
      </c>
      <c r="W29" s="770" t="e">
        <f t="shared" si="14"/>
        <v>#N/A</v>
      </c>
      <c r="X29" s="1810"/>
      <c r="Y29" s="3322"/>
      <c r="Z29" s="1811" t="str">
        <f t="shared" si="15"/>
        <v>成新率</v>
      </c>
      <c r="AA29" s="1808" t="e">
        <f t="shared" si="3"/>
        <v>#N/A</v>
      </c>
      <c r="AB29" s="1808" t="e">
        <f t="shared" si="4"/>
        <v>#N/A</v>
      </c>
      <c r="AC29" s="1808" t="e">
        <f t="shared" si="5"/>
        <v>#N/A</v>
      </c>
    </row>
    <row r="30" spans="1:29" ht="15">
      <c r="A30" s="651"/>
      <c r="B30" s="649" t="s">
        <v>2718</v>
      </c>
      <c r="C30" s="652"/>
      <c r="D30" s="432">
        <v>100</v>
      </c>
      <c r="E30" s="652"/>
      <c r="F30" s="458">
        <f>SUMIF(88:88,E30,89:89)-SUMIF(88:88,C30,89:89)+100</f>
        <v>100</v>
      </c>
      <c r="G30" s="652"/>
      <c r="H30" s="432">
        <f>SUMIF(88:88,E30,89:89)-SUMIF(88:88,C30,89:89)+100</f>
        <v>100</v>
      </c>
      <c r="I30" s="652"/>
      <c r="J30" s="432">
        <f>SUMIF(88:88,E30,89:89)-SUMIF(88:88,C30,89:89)+100</f>
        <v>100</v>
      </c>
      <c r="K30" s="607"/>
      <c r="L30" s="1138"/>
      <c r="M30" s="1129"/>
      <c r="N30" s="1129"/>
      <c r="O30" s="1129"/>
      <c r="P30" s="3322"/>
      <c r="Q30" s="1807" t="str">
        <f t="shared" si="11"/>
        <v>物业等级</v>
      </c>
      <c r="R30" s="769" t="s">
        <v>17</v>
      </c>
      <c r="S30" s="770">
        <f t="shared" si="12"/>
        <v>100</v>
      </c>
      <c r="T30" s="769" t="s">
        <v>17</v>
      </c>
      <c r="U30" s="770">
        <f t="shared" si="13"/>
        <v>100</v>
      </c>
      <c r="V30" s="769" t="s">
        <v>17</v>
      </c>
      <c r="W30" s="770">
        <f t="shared" si="14"/>
        <v>100</v>
      </c>
      <c r="X30" s="1810"/>
      <c r="Y30" s="3322"/>
      <c r="Z30" s="1811" t="str">
        <f t="shared" si="15"/>
        <v>物业等级</v>
      </c>
      <c r="AA30" s="1808">
        <f t="shared" si="3"/>
        <v>1</v>
      </c>
      <c r="AB30" s="1808">
        <f t="shared" si="4"/>
        <v>1</v>
      </c>
      <c r="AC30" s="1808">
        <f t="shared" si="5"/>
        <v>1</v>
      </c>
    </row>
    <row r="31" spans="1:29" s="116" customFormat="1" ht="15">
      <c r="A31" s="653"/>
      <c r="B31" s="649" t="s">
        <v>2719</v>
      </c>
      <c r="C31" s="464"/>
      <c r="D31" s="133">
        <v>100</v>
      </c>
      <c r="E31" s="464"/>
      <c r="F31" s="458" t="e">
        <f>LOOKUP(E31,91:91,92:92)-LOOKUP(C31,91:91,92:92)+100</f>
        <v>#N/A</v>
      </c>
      <c r="G31" s="464"/>
      <c r="H31" s="432" t="e">
        <f>LOOKUP(G31,91:91,92:92)-LOOKUP(C31,91:91,92:92)+100</f>
        <v>#N/A</v>
      </c>
      <c r="I31" s="464"/>
      <c r="J31" s="432" t="e">
        <f>LOOKUP(I31,91:91,92:92)-LOOKUP(C31,91:91,92:92)+100</f>
        <v>#N/A</v>
      </c>
      <c r="K31" s="607"/>
      <c r="L31" s="1130"/>
      <c r="M31" s="1131"/>
      <c r="N31" s="1131"/>
      <c r="O31" s="1131"/>
      <c r="P31" s="3322"/>
      <c r="Q31" s="1792" t="str">
        <f t="shared" si="11"/>
        <v>停车位面积</v>
      </c>
      <c r="R31" s="765" t="s">
        <v>17</v>
      </c>
      <c r="S31" s="766" t="e">
        <f t="shared" si="12"/>
        <v>#N/A</v>
      </c>
      <c r="T31" s="765" t="s">
        <v>17</v>
      </c>
      <c r="U31" s="766" t="e">
        <f t="shared" si="13"/>
        <v>#N/A</v>
      </c>
      <c r="V31" s="765" t="s">
        <v>17</v>
      </c>
      <c r="W31" s="766" t="e">
        <f t="shared" si="14"/>
        <v>#N/A</v>
      </c>
      <c r="X31" s="767"/>
      <c r="Y31" s="3322"/>
      <c r="Z31" s="55" t="str">
        <f t="shared" si="15"/>
        <v>停车位面积</v>
      </c>
      <c r="AA31" s="768" t="e">
        <f t="shared" si="3"/>
        <v>#N/A</v>
      </c>
      <c r="AB31" s="768" t="e">
        <f t="shared" si="4"/>
        <v>#N/A</v>
      </c>
      <c r="AC31" s="768" t="e">
        <f t="shared" si="5"/>
        <v>#N/A</v>
      </c>
    </row>
    <row r="32" spans="1:29" ht="15">
      <c r="A32" s="651"/>
      <c r="B32" s="649" t="s">
        <v>2720</v>
      </c>
      <c r="C32" s="457"/>
      <c r="D32" s="432">
        <v>100</v>
      </c>
      <c r="E32" s="457"/>
      <c r="F32" s="458">
        <f>SUMIF(93:93,E32,94:94)-SUMIF(93:93,C32,94:94)+100</f>
        <v>100</v>
      </c>
      <c r="G32" s="457"/>
      <c r="H32" s="432">
        <f>SUMIF(93:93,G32,94:94)-SUMIF(93:93,C32,94:94)+100</f>
        <v>100</v>
      </c>
      <c r="I32" s="457"/>
      <c r="J32" s="432">
        <f>SUMIF(93:93,I32,94:94)-SUMIF(93:93,C32,94:94)+100</f>
        <v>100</v>
      </c>
      <c r="K32" s="607"/>
      <c r="L32" s="1138"/>
      <c r="M32" s="1129"/>
      <c r="N32" s="1129"/>
      <c r="O32" s="1129"/>
      <c r="P32" s="3322" t="s">
        <v>2567</v>
      </c>
      <c r="Q32" s="1807" t="str">
        <f t="shared" si="11"/>
        <v>车位类型</v>
      </c>
      <c r="R32" s="769" t="s">
        <v>17</v>
      </c>
      <c r="S32" s="770">
        <f t="shared" si="12"/>
        <v>100</v>
      </c>
      <c r="T32" s="769" t="s">
        <v>17</v>
      </c>
      <c r="U32" s="770">
        <f t="shared" si="13"/>
        <v>100</v>
      </c>
      <c r="V32" s="769" t="s">
        <v>17</v>
      </c>
      <c r="W32" s="770">
        <f t="shared" si="14"/>
        <v>100</v>
      </c>
      <c r="X32" s="1810"/>
      <c r="Y32" s="3322" t="s">
        <v>2567</v>
      </c>
      <c r="Z32" s="1811" t="str">
        <f t="shared" si="15"/>
        <v>车位类型</v>
      </c>
      <c r="AA32" s="1808">
        <f t="shared" si="3"/>
        <v>1</v>
      </c>
      <c r="AB32" s="1808">
        <f t="shared" si="4"/>
        <v>1</v>
      </c>
      <c r="AC32" s="1808">
        <f t="shared" si="5"/>
        <v>1</v>
      </c>
    </row>
    <row r="33" spans="1:29" ht="15">
      <c r="A33" s="651"/>
      <c r="B33" s="649" t="s">
        <v>2721</v>
      </c>
      <c r="C33" s="457"/>
      <c r="D33" s="432">
        <v>100</v>
      </c>
      <c r="E33" s="457"/>
      <c r="F33" s="458">
        <f>SUMIF(95:95,E33,96:96)-SUMIF(95:95,C33,96:96)+100</f>
        <v>100</v>
      </c>
      <c r="G33" s="457"/>
      <c r="H33" s="432">
        <f>SUMIF(95:95,G33,96:96)-SUMIF(95:95,C33,96:96)+100</f>
        <v>100</v>
      </c>
      <c r="I33" s="457"/>
      <c r="J33" s="432">
        <f>SUMIF(95:95,I33,96:96)-SUMIF(95:95,C33,96:96)+100</f>
        <v>100</v>
      </c>
      <c r="K33" s="607"/>
      <c r="L33" s="1138"/>
      <c r="M33" s="1129"/>
      <c r="N33" s="1129"/>
      <c r="O33" s="1129"/>
      <c r="P33" s="3322"/>
      <c r="Q33" s="1807" t="str">
        <f t="shared" si="11"/>
        <v>是否直接入户</v>
      </c>
      <c r="R33" s="769" t="s">
        <v>17</v>
      </c>
      <c r="S33" s="770">
        <f t="shared" si="12"/>
        <v>100</v>
      </c>
      <c r="T33" s="769" t="s">
        <v>17</v>
      </c>
      <c r="U33" s="770">
        <f t="shared" si="13"/>
        <v>100</v>
      </c>
      <c r="V33" s="769" t="s">
        <v>17</v>
      </c>
      <c r="W33" s="770">
        <f t="shared" si="14"/>
        <v>100</v>
      </c>
      <c r="X33" s="1810"/>
      <c r="Y33" s="3322"/>
      <c r="Z33" s="1811" t="str">
        <f t="shared" si="15"/>
        <v>是否直接入户</v>
      </c>
      <c r="AA33" s="1808">
        <f t="shared" si="3"/>
        <v>1</v>
      </c>
      <c r="AB33" s="1808">
        <f t="shared" si="4"/>
        <v>1</v>
      </c>
      <c r="AC33" s="1808">
        <f t="shared" si="5"/>
        <v>1</v>
      </c>
    </row>
    <row r="34" spans="1:29" ht="15">
      <c r="A34" s="651"/>
      <c r="B34" s="643">
        <v>111</v>
      </c>
      <c r="C34" s="429"/>
      <c r="D34" s="432">
        <v>100</v>
      </c>
      <c r="E34" s="429"/>
      <c r="F34" s="458">
        <f>SUMIF(97:97,E34,98:98)-SUMIF(97:97,C34,98:98)+100</f>
        <v>100</v>
      </c>
      <c r="G34" s="429"/>
      <c r="H34" s="432">
        <f>SUMIF(97:97,G34,98:98)-SUMIF(97:97,C34,98:98)+100</f>
        <v>100</v>
      </c>
      <c r="I34" s="429"/>
      <c r="J34" s="432">
        <f>SUMIF(97:97,I34,98:98)-SUMIF(97:97,C34,98:98)+100</f>
        <v>100</v>
      </c>
      <c r="K34" s="608"/>
      <c r="L34" s="1138"/>
      <c r="M34" s="1129"/>
      <c r="N34" s="1129"/>
      <c r="O34" s="1129"/>
      <c r="P34" s="3322"/>
      <c r="Q34" s="1807">
        <f t="shared" si="11"/>
        <v>111</v>
      </c>
      <c r="R34" s="769" t="s">
        <v>17</v>
      </c>
      <c r="S34" s="770">
        <f t="shared" si="12"/>
        <v>100</v>
      </c>
      <c r="T34" s="769" t="s">
        <v>17</v>
      </c>
      <c r="U34" s="770">
        <f t="shared" si="13"/>
        <v>100</v>
      </c>
      <c r="V34" s="769" t="s">
        <v>17</v>
      </c>
      <c r="W34" s="770">
        <f t="shared" si="14"/>
        <v>100</v>
      </c>
      <c r="X34" s="1810"/>
      <c r="Y34" s="3322"/>
      <c r="Z34" s="1811">
        <f t="shared" si="15"/>
        <v>111</v>
      </c>
      <c r="AA34" s="1808">
        <f t="shared" si="3"/>
        <v>1</v>
      </c>
      <c r="AB34" s="1808">
        <f t="shared" si="4"/>
        <v>1</v>
      </c>
      <c r="AC34" s="1808">
        <f t="shared" si="5"/>
        <v>1</v>
      </c>
    </row>
    <row r="35" spans="1:29" s="466" customFormat="1" ht="15">
      <c r="A35" s="648"/>
      <c r="B35" s="643">
        <v>111</v>
      </c>
      <c r="C35" s="429"/>
      <c r="D35" s="432">
        <v>100</v>
      </c>
      <c r="E35" s="429"/>
      <c r="F35" s="458">
        <f>SUMIF(99:99,E35,100:100)-SUMIF(99:99,C35,100:100)+100</f>
        <v>100</v>
      </c>
      <c r="G35" s="429"/>
      <c r="H35" s="432">
        <f>SUMIF(99:99,G35,100:100)-SUMIF(99:99,C35,100:100)+100</f>
        <v>100</v>
      </c>
      <c r="I35" s="429"/>
      <c r="J35" s="432">
        <f>SUMIF(99:99,I35,100:100)-SUMIF(99:99,C35,100:100)+100</f>
        <v>100</v>
      </c>
      <c r="K35" s="608"/>
      <c r="L35" s="1136"/>
      <c r="M35" s="1139"/>
      <c r="N35" s="1139"/>
      <c r="O35" s="1139"/>
      <c r="P35" s="3322"/>
      <c r="Q35" s="771">
        <f t="shared" si="11"/>
        <v>111</v>
      </c>
      <c r="R35" s="772" t="s">
        <v>17</v>
      </c>
      <c r="S35" s="773">
        <f t="shared" si="12"/>
        <v>100</v>
      </c>
      <c r="T35" s="772" t="s">
        <v>17</v>
      </c>
      <c r="U35" s="773">
        <f t="shared" si="13"/>
        <v>100</v>
      </c>
      <c r="V35" s="772" t="s">
        <v>17</v>
      </c>
      <c r="W35" s="773">
        <f t="shared" si="14"/>
        <v>100</v>
      </c>
      <c r="X35" s="774"/>
      <c r="Y35" s="3322"/>
      <c r="Z35" s="775">
        <f t="shared" si="15"/>
        <v>111</v>
      </c>
      <c r="AA35" s="1808">
        <f t="shared" si="3"/>
        <v>1</v>
      </c>
      <c r="AB35" s="1808">
        <f t="shared" si="4"/>
        <v>1</v>
      </c>
      <c r="AC35" s="1808">
        <f t="shared" si="5"/>
        <v>1</v>
      </c>
    </row>
    <row r="36" spans="1:29" ht="15.75" thickBot="1">
      <c r="A36" s="654"/>
      <c r="B36" s="630">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08"/>
      <c r="L36" s="1138"/>
      <c r="M36" s="1129"/>
      <c r="N36" s="1129"/>
      <c r="O36" s="1129"/>
      <c r="P36" s="3322"/>
      <c r="Q36" s="1807">
        <f t="shared" si="11"/>
        <v>111</v>
      </c>
      <c r="R36" s="769" t="s">
        <v>17</v>
      </c>
      <c r="S36" s="770">
        <f t="shared" si="12"/>
        <v>100</v>
      </c>
      <c r="T36" s="769" t="s">
        <v>17</v>
      </c>
      <c r="U36" s="770">
        <f t="shared" si="13"/>
        <v>100</v>
      </c>
      <c r="V36" s="769" t="s">
        <v>17</v>
      </c>
      <c r="W36" s="770">
        <f t="shared" si="14"/>
        <v>100</v>
      </c>
      <c r="X36" s="1810"/>
      <c r="Y36" s="3322"/>
      <c r="Z36" s="1811">
        <f t="shared" si="15"/>
        <v>111</v>
      </c>
      <c r="AA36" s="1808">
        <f t="shared" si="3"/>
        <v>1</v>
      </c>
      <c r="AB36" s="1808">
        <f t="shared" si="4"/>
        <v>1</v>
      </c>
      <c r="AC36" s="1808">
        <f t="shared" si="5"/>
        <v>1</v>
      </c>
    </row>
    <row r="37" spans="1:29" ht="15">
      <c r="A37" s="474" t="s">
        <v>2722</v>
      </c>
      <c r="B37" s="2695" t="s">
        <v>2723</v>
      </c>
      <c r="C37" s="1404" t="s">
        <v>1</v>
      </c>
      <c r="D37" s="1405"/>
      <c r="E37" s="1406"/>
      <c r="F37" s="1407"/>
      <c r="G37" s="1408"/>
      <c r="H37" s="1409"/>
      <c r="I37" s="1406"/>
      <c r="J37" s="1409"/>
      <c r="K37" s="614"/>
      <c r="L37" s="1141"/>
      <c r="M37" s="1142"/>
      <c r="N37" s="1129"/>
      <c r="O37" s="1142"/>
      <c r="P37" s="3315" t="str">
        <f>A37</f>
        <v>成交单价</v>
      </c>
      <c r="Q37" s="3315"/>
      <c r="R37" s="3316">
        <f>E37</f>
        <v>0</v>
      </c>
      <c r="S37" s="3316"/>
      <c r="T37" s="3316">
        <f>G37</f>
        <v>0</v>
      </c>
      <c r="U37" s="3316"/>
      <c r="V37" s="3316">
        <f>I37</f>
        <v>0</v>
      </c>
      <c r="W37" s="3316"/>
      <c r="X37" s="754"/>
      <c r="Y37" s="776"/>
      <c r="Z37" s="754"/>
      <c r="AA37" s="754"/>
      <c r="AB37" s="754"/>
      <c r="AC37" s="754"/>
    </row>
    <row r="38" spans="1:29" ht="15.75" thickBot="1">
      <c r="A38" s="481" t="s">
        <v>2724</v>
      </c>
      <c r="B38" s="482" t="str">
        <f>B37</f>
        <v>元/车位</v>
      </c>
      <c r="C38" s="1410" t="e">
        <f>R39</f>
        <v>#DIV/0!</v>
      </c>
      <c r="D38" s="1411"/>
      <c r="E38" s="1412" t="e">
        <f>R38</f>
        <v>#DIV/0!</v>
      </c>
      <c r="F38" s="1412"/>
      <c r="G38" s="1410" t="e">
        <f>T38</f>
        <v>#DIV/0!</v>
      </c>
      <c r="H38" s="1411"/>
      <c r="I38" s="1412" t="e">
        <f>V38</f>
        <v>#DIV/0!</v>
      </c>
      <c r="J38" s="1411"/>
      <c r="K38" s="615"/>
      <c r="L38" s="1141"/>
      <c r="M38" s="1142"/>
      <c r="N38" s="1142"/>
      <c r="O38" s="1142"/>
      <c r="P38" s="3315" t="str">
        <f>A38</f>
        <v>比较价值（元/平方米）</v>
      </c>
      <c r="Q38" s="3315"/>
      <c r="R38" s="3316" t="e">
        <f>IF(F1="售价",ROUND(PRODUCT(R37,AA7:AA36),0),ROUND(PRODUCT(R37,AA7:AA36),1))</f>
        <v>#DIV/0!</v>
      </c>
      <c r="S38" s="3316"/>
      <c r="T38" s="3316" t="e">
        <f>IF(F1="售价",ROUND(PRODUCT(T37,AB7:AB36),0),ROUND(PRODUCT(T37,AB7:AB36),1))</f>
        <v>#DIV/0!</v>
      </c>
      <c r="U38" s="3316"/>
      <c r="V38" s="3316" t="e">
        <f>IF(F1="售价",ROUND(PRODUCT(V37,AC7:AC36),0),ROUND(PRODUCT(V37,AC7:AC36),1))</f>
        <v>#DIV/0!</v>
      </c>
      <c r="W38" s="3316"/>
      <c r="X38" s="754"/>
      <c r="Y38" s="754"/>
      <c r="Z38" s="754"/>
      <c r="AA38" s="754"/>
      <c r="AB38" s="754"/>
      <c r="AC38" s="754"/>
    </row>
    <row r="39" spans="1:29" ht="15.75" thickBot="1">
      <c r="A39" s="487" t="s">
        <v>2725</v>
      </c>
      <c r="B39" s="488"/>
      <c r="C39" s="1414" t="e">
        <f>R39</f>
        <v>#DIV/0!</v>
      </c>
      <c r="D39" s="1414"/>
      <c r="E39" s="1414"/>
      <c r="F39" s="1414"/>
      <c r="G39" s="1414"/>
      <c r="H39" s="1414"/>
      <c r="I39" s="1414"/>
      <c r="J39" s="1414"/>
      <c r="K39" s="616"/>
      <c r="L39" s="1141"/>
      <c r="M39" s="1142"/>
      <c r="N39" s="1142"/>
      <c r="O39" s="1142"/>
      <c r="P39" s="3312" t="str">
        <f>A39</f>
        <v>估价对象XX用房的比较价值（楼面单价，元/平方米）</v>
      </c>
      <c r="Q39" s="3313"/>
      <c r="R39" s="3314" t="e">
        <f>IF(F1="售价",ROUND(AVERAGE(R38:V38),0),ROUND(AVERAGE(R38:V38),1))</f>
        <v>#DIV/0!</v>
      </c>
      <c r="S39" s="3314"/>
      <c r="T39" s="3314"/>
      <c r="U39" s="3314"/>
      <c r="V39" s="3314"/>
      <c r="W39" s="3314"/>
      <c r="X39" s="754"/>
      <c r="Y39" s="754"/>
      <c r="Z39" s="754"/>
      <c r="AA39" s="754"/>
      <c r="AB39" s="754"/>
      <c r="AC39" s="754"/>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2" t="s">
        <v>2726</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2" t="s">
        <v>2727</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497" customFormat="1" ht="13.5" customHeight="1">
      <c r="A44" s="1143"/>
      <c r="B44" s="1143"/>
      <c r="C44" s="492" t="s">
        <v>2728</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497"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2729</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3" customFormat="1" ht="15">
      <c r="A48" s="500" t="s">
        <v>2730</v>
      </c>
      <c r="B48" s="501"/>
      <c r="C48" s="1571" t="str">
        <f>YEAR(C7)&amp;"-"&amp;MONTH(C7)</f>
        <v>2019-6</v>
      </c>
      <c r="D48" s="1572">
        <f>EDATE(C48,-1)</f>
        <v>43586</v>
      </c>
      <c r="E48" s="1572">
        <f t="shared" ref="E48:O48" si="16">EDATE(D48,-1)</f>
        <v>43556</v>
      </c>
      <c r="F48" s="1572">
        <f t="shared" si="16"/>
        <v>43525</v>
      </c>
      <c r="G48" s="1572">
        <f t="shared" si="16"/>
        <v>43497</v>
      </c>
      <c r="H48" s="1572">
        <f t="shared" si="16"/>
        <v>43466</v>
      </c>
      <c r="I48" s="1572">
        <f t="shared" si="16"/>
        <v>43435</v>
      </c>
      <c r="J48" s="1572">
        <f t="shared" si="16"/>
        <v>43405</v>
      </c>
      <c r="K48" s="1572">
        <f t="shared" si="16"/>
        <v>43374</v>
      </c>
      <c r="L48" s="1572">
        <f t="shared" si="16"/>
        <v>43344</v>
      </c>
      <c r="M48" s="1572">
        <f t="shared" si="16"/>
        <v>43313</v>
      </c>
      <c r="N48" s="1572">
        <f t="shared" si="16"/>
        <v>43282</v>
      </c>
      <c r="O48" s="1572">
        <f t="shared" si="16"/>
        <v>43252</v>
      </c>
      <c r="P48" s="1435"/>
      <c r="Q48" s="1436"/>
      <c r="R48" s="1436"/>
      <c r="S48" s="1436"/>
      <c r="T48" s="1436"/>
      <c r="U48" s="1436"/>
      <c r="V48" s="1436"/>
      <c r="W48" s="1436"/>
      <c r="X48" s="1436"/>
      <c r="Y48" s="1436"/>
      <c r="Z48" s="1436"/>
      <c r="AA48" s="1436"/>
      <c r="AB48" s="1436"/>
      <c r="AC48" s="1436"/>
    </row>
    <row r="49" spans="1:29" s="116" customFormat="1" ht="15">
      <c r="A49" s="504"/>
      <c r="B49" s="505"/>
      <c r="C49" s="1563">
        <v>100</v>
      </c>
      <c r="D49" s="507"/>
      <c r="E49" s="507"/>
      <c r="F49" s="507"/>
      <c r="G49" s="507"/>
      <c r="H49" s="507"/>
      <c r="I49" s="507"/>
      <c r="J49" s="507"/>
      <c r="K49" s="507"/>
      <c r="L49" s="507"/>
      <c r="M49" s="508"/>
      <c r="N49" s="507"/>
      <c r="O49" s="508"/>
      <c r="P49" s="1425"/>
      <c r="Q49" s="1424"/>
      <c r="R49" s="1424"/>
      <c r="S49" s="1424"/>
      <c r="T49" s="1424"/>
      <c r="U49" s="1424"/>
      <c r="V49" s="1424"/>
      <c r="W49" s="1424"/>
      <c r="X49" s="1424"/>
      <c r="Y49" s="1424"/>
      <c r="Z49" s="1424"/>
      <c r="AA49" s="1424"/>
      <c r="AB49" s="1424"/>
      <c r="AC49" s="1424"/>
    </row>
    <row r="50" spans="1:29" s="116" customFormat="1" ht="15.75" thickBot="1">
      <c r="A50" s="510" t="s">
        <v>2587</v>
      </c>
      <c r="B50" s="511"/>
      <c r="C50" s="512"/>
      <c r="D50" s="513"/>
      <c r="E50" s="513"/>
      <c r="F50" s="513"/>
      <c r="G50" s="513"/>
      <c r="H50" s="513"/>
      <c r="I50" s="513"/>
      <c r="J50" s="513"/>
      <c r="K50" s="513"/>
      <c r="L50" s="513"/>
      <c r="M50" s="514"/>
      <c r="N50" s="513"/>
      <c r="O50" s="514"/>
      <c r="P50" s="1425"/>
      <c r="Q50" s="1420"/>
      <c r="R50" s="1424"/>
      <c r="S50" s="1424"/>
      <c r="T50" s="1424"/>
      <c r="U50" s="1424"/>
      <c r="V50" s="1424"/>
      <c r="W50" s="1424"/>
      <c r="X50" s="1424"/>
      <c r="Y50" s="1424"/>
      <c r="Z50" s="1424"/>
      <c r="AA50" s="1424"/>
      <c r="AB50" s="1424"/>
      <c r="AC50" s="1424"/>
    </row>
    <row r="51" spans="1:29" s="116" customFormat="1" ht="15">
      <c r="A51" s="516" t="s">
        <v>2552</v>
      </c>
      <c r="B51" s="505"/>
      <c r="C51" s="517" t="s">
        <v>2654</v>
      </c>
      <c r="D51" s="518"/>
      <c r="E51" s="518"/>
      <c r="F51" s="518"/>
      <c r="G51" s="518"/>
      <c r="H51" s="518"/>
      <c r="I51" s="518"/>
      <c r="J51" s="518"/>
      <c r="K51" s="518"/>
      <c r="L51" s="519"/>
      <c r="M51" s="520"/>
      <c r="N51" s="1149"/>
      <c r="O51" s="1149"/>
      <c r="P51" s="1423"/>
      <c r="Q51" s="1420"/>
      <c r="R51" s="1424"/>
      <c r="S51" s="1424"/>
      <c r="T51" s="1424"/>
      <c r="U51" s="1424"/>
      <c r="V51" s="1424"/>
      <c r="W51" s="1424"/>
      <c r="X51" s="1424"/>
      <c r="Y51" s="1424"/>
      <c r="Z51" s="1424"/>
      <c r="AA51" s="1424"/>
      <c r="AB51" s="1424"/>
      <c r="AC51" s="1424"/>
    </row>
    <row r="52" spans="1:29" s="116" customFormat="1" ht="15.75" thickBot="1">
      <c r="A52" s="516"/>
      <c r="B52" s="505"/>
      <c r="C52" s="634">
        <v>100</v>
      </c>
      <c r="D52" s="507"/>
      <c r="E52" s="507"/>
      <c r="F52" s="507"/>
      <c r="G52" s="507"/>
      <c r="H52" s="507"/>
      <c r="I52" s="507"/>
      <c r="J52" s="507"/>
      <c r="K52" s="507"/>
      <c r="L52" s="507"/>
      <c r="M52" s="509"/>
      <c r="N52" s="1149"/>
      <c r="O52" s="1149"/>
      <c r="P52" s="1425"/>
      <c r="Q52" s="1420"/>
      <c r="R52" s="1424"/>
      <c r="S52" s="1424"/>
      <c r="T52" s="1424"/>
      <c r="U52" s="1424"/>
      <c r="V52" s="1424"/>
      <c r="W52" s="1424"/>
      <c r="X52" s="1424"/>
      <c r="Y52" s="1424"/>
      <c r="Z52" s="1424"/>
      <c r="AA52" s="1424"/>
      <c r="AB52" s="1424"/>
      <c r="AC52" s="1424"/>
    </row>
    <row r="53" spans="1:29">
      <c r="A53" s="522" t="s">
        <v>2590</v>
      </c>
      <c r="B53" s="523" t="s">
        <v>2556</v>
      </c>
      <c r="C53" s="524">
        <f>C9</f>
        <v>0</v>
      </c>
      <c r="D53" s="525"/>
      <c r="E53" s="525"/>
      <c r="F53" s="525"/>
      <c r="G53" s="525"/>
      <c r="H53" s="525"/>
      <c r="I53" s="525"/>
      <c r="J53" s="525"/>
      <c r="K53" s="526"/>
      <c r="L53" s="527"/>
      <c r="M53" s="528"/>
      <c r="N53" s="1150"/>
      <c r="O53" s="1150"/>
      <c r="P53" s="1426"/>
      <c r="Q53" s="1420"/>
      <c r="R53" s="1142"/>
      <c r="S53" s="1142"/>
      <c r="T53" s="1142"/>
      <c r="U53" s="1142"/>
      <c r="V53" s="1142"/>
      <c r="W53" s="1142"/>
      <c r="X53" s="1142"/>
      <c r="Y53" s="1142"/>
      <c r="Z53" s="1142"/>
      <c r="AA53" s="1142"/>
      <c r="AB53" s="1142"/>
      <c r="AC53" s="1142"/>
    </row>
    <row r="54" spans="1:29" ht="15.75" thickBot="1">
      <c r="A54" s="529"/>
      <c r="B54" s="530"/>
      <c r="C54" s="531">
        <v>100</v>
      </c>
      <c r="D54" s="531"/>
      <c r="E54" s="531"/>
      <c r="F54" s="531"/>
      <c r="G54" s="531"/>
      <c r="H54" s="531"/>
      <c r="I54" s="531"/>
      <c r="J54" s="531"/>
      <c r="K54" s="531"/>
      <c r="L54" s="531"/>
      <c r="M54" s="532"/>
      <c r="N54" s="1151"/>
      <c r="O54" s="1151"/>
      <c r="P54" s="1426"/>
      <c r="Q54" s="1420"/>
      <c r="R54" s="1142"/>
      <c r="S54" s="1142"/>
      <c r="T54" s="1142"/>
      <c r="U54" s="1142"/>
      <c r="V54" s="1142"/>
      <c r="W54" s="1142"/>
      <c r="X54" s="1142"/>
      <c r="Y54" s="1142"/>
      <c r="Z54" s="1142"/>
      <c r="AA54" s="1142"/>
      <c r="AB54" s="1142"/>
      <c r="AC54" s="1142"/>
    </row>
    <row r="55" spans="1:29" ht="27.75" thickTop="1">
      <c r="A55" s="529"/>
      <c r="B55" s="533" t="s">
        <v>2559</v>
      </c>
      <c r="C55" s="534" t="s">
        <v>2591</v>
      </c>
      <c r="D55" s="534" t="s">
        <v>2592</v>
      </c>
      <c r="E55" s="534" t="s">
        <v>2593</v>
      </c>
      <c r="F55" s="534" t="s">
        <v>2594</v>
      </c>
      <c r="G55" s="534" t="s">
        <v>2595</v>
      </c>
      <c r="H55" s="534" t="s">
        <v>2596</v>
      </c>
      <c r="I55" s="534" t="s">
        <v>2597</v>
      </c>
      <c r="J55" s="534"/>
      <c r="K55" s="535"/>
      <c r="L55" s="536"/>
      <c r="M55" s="537"/>
      <c r="N55" s="1150"/>
      <c r="O55" s="1150"/>
      <c r="P55" s="1426"/>
      <c r="Q55" s="1420"/>
      <c r="R55" s="1142"/>
      <c r="S55" s="1142"/>
      <c r="T55" s="1142"/>
      <c r="U55" s="1142"/>
      <c r="V55" s="1142"/>
      <c r="W55" s="1142"/>
      <c r="X55" s="1142"/>
      <c r="Y55" s="1142"/>
      <c r="Z55" s="1142"/>
      <c r="AA55" s="1142"/>
      <c r="AB55" s="1142"/>
      <c r="AC55" s="1142"/>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51"/>
      <c r="O56" s="1151"/>
      <c r="P56" s="1426"/>
      <c r="Q56" s="1420"/>
      <c r="R56" s="1142"/>
      <c r="S56" s="1142"/>
      <c r="T56" s="1142"/>
      <c r="U56" s="1142"/>
      <c r="V56" s="1142"/>
      <c r="W56" s="1142"/>
      <c r="X56" s="1142"/>
      <c r="Y56" s="1142"/>
      <c r="Z56" s="1142"/>
      <c r="AA56" s="1142"/>
      <c r="AB56" s="1142"/>
      <c r="AC56" s="1142"/>
    </row>
    <row r="57" spans="1:29" ht="15.75" thickTop="1">
      <c r="A57" s="529"/>
      <c r="B57" s="655">
        <f>B11</f>
        <v>111</v>
      </c>
      <c r="C57" s="544"/>
      <c r="D57" s="544"/>
      <c r="E57" s="544"/>
      <c r="F57" s="544"/>
      <c r="G57" s="544"/>
      <c r="H57" s="544"/>
      <c r="I57" s="544"/>
      <c r="J57" s="544"/>
      <c r="K57" s="545"/>
      <c r="L57" s="546"/>
      <c r="M57" s="547"/>
      <c r="N57" s="1150"/>
      <c r="O57" s="1150"/>
      <c r="P57" s="1426"/>
      <c r="Q57" s="1420"/>
      <c r="R57" s="1142"/>
      <c r="S57" s="1142"/>
      <c r="T57" s="1142"/>
      <c r="U57" s="1142"/>
      <c r="V57" s="1142"/>
      <c r="W57" s="1142"/>
      <c r="X57" s="1142"/>
      <c r="Y57" s="1142"/>
      <c r="Z57" s="1142"/>
      <c r="AA57" s="1142"/>
      <c r="AB57" s="1142"/>
      <c r="AC57" s="1142"/>
    </row>
    <row r="58" spans="1:29" ht="15.75" thickBot="1">
      <c r="A58" s="529"/>
      <c r="B58" s="530"/>
      <c r="C58" s="555"/>
      <c r="D58" s="531"/>
      <c r="E58" s="531"/>
      <c r="F58" s="531"/>
      <c r="G58" s="531"/>
      <c r="H58" s="531"/>
      <c r="I58" s="531"/>
      <c r="J58" s="531"/>
      <c r="K58" s="531"/>
      <c r="L58" s="531"/>
      <c r="M58" s="532"/>
      <c r="N58" s="1151"/>
      <c r="O58" s="1151"/>
      <c r="P58" s="1426"/>
      <c r="Q58" s="1420"/>
      <c r="R58" s="1142"/>
      <c r="S58" s="1142"/>
      <c r="T58" s="1142"/>
      <c r="U58" s="1142"/>
      <c r="V58" s="1142"/>
      <c r="W58" s="1142"/>
      <c r="X58" s="1142"/>
      <c r="Y58" s="1142"/>
      <c r="Z58" s="1142"/>
      <c r="AA58" s="1142"/>
      <c r="AB58" s="1142"/>
      <c r="AC58" s="1142"/>
    </row>
    <row r="59" spans="1:29" s="466" customFormat="1" ht="15.75" thickTop="1">
      <c r="A59" s="548"/>
      <c r="B59" s="533">
        <f>B12</f>
        <v>111</v>
      </c>
      <c r="C59" s="544"/>
      <c r="D59" s="544"/>
      <c r="E59" s="544"/>
      <c r="F59" s="544"/>
      <c r="G59" s="549"/>
      <c r="H59" s="550"/>
      <c r="I59" s="550"/>
      <c r="J59" s="550"/>
      <c r="K59" s="550"/>
      <c r="L59" s="551"/>
      <c r="M59" s="552"/>
      <c r="N59" s="1152"/>
      <c r="O59" s="1152"/>
      <c r="P59" s="1427"/>
      <c r="Q59" s="1428"/>
      <c r="R59" s="1429"/>
      <c r="S59" s="1429"/>
      <c r="T59" s="1429"/>
      <c r="U59" s="1429"/>
      <c r="V59" s="1429"/>
      <c r="W59" s="1429"/>
      <c r="X59" s="1429"/>
      <c r="Y59" s="1429"/>
      <c r="Z59" s="1429"/>
      <c r="AA59" s="1429"/>
      <c r="AB59" s="1429"/>
      <c r="AC59" s="1429"/>
    </row>
    <row r="60" spans="1:29" s="466" customFormat="1" ht="15.75" thickBot="1">
      <c r="A60" s="548"/>
      <c r="B60" s="538"/>
      <c r="C60" s="555"/>
      <c r="D60" s="531"/>
      <c r="E60" s="531"/>
      <c r="F60" s="531"/>
      <c r="G60" s="531"/>
      <c r="H60" s="531"/>
      <c r="I60" s="531"/>
      <c r="J60" s="531"/>
      <c r="K60" s="531"/>
      <c r="L60" s="531"/>
      <c r="M60" s="532"/>
      <c r="N60" s="1151"/>
      <c r="O60" s="1151"/>
      <c r="P60" s="1427"/>
      <c r="Q60" s="1428"/>
      <c r="R60" s="1429"/>
      <c r="S60" s="1429"/>
      <c r="T60" s="1429"/>
      <c r="U60" s="1429"/>
      <c r="V60" s="1429"/>
      <c r="W60" s="1429"/>
      <c r="X60" s="1429"/>
      <c r="Y60" s="1429"/>
      <c r="Z60" s="1429"/>
      <c r="AA60" s="1429"/>
      <c r="AB60" s="1429"/>
      <c r="AC60" s="1429"/>
    </row>
    <row r="61" spans="1:29" s="466" customFormat="1" ht="15.75" thickTop="1">
      <c r="A61" s="548"/>
      <c r="B61" s="533">
        <f>B13</f>
        <v>111</v>
      </c>
      <c r="C61" s="549"/>
      <c r="D61" s="549"/>
      <c r="E61" s="549"/>
      <c r="F61" s="549"/>
      <c r="G61" s="549"/>
      <c r="H61" s="550"/>
      <c r="I61" s="550"/>
      <c r="J61" s="550"/>
      <c r="K61" s="550"/>
      <c r="L61" s="551"/>
      <c r="M61" s="552"/>
      <c r="N61" s="1152"/>
      <c r="O61" s="1152"/>
      <c r="P61" s="1430"/>
      <c r="Q61" s="1431"/>
      <c r="R61" s="1429"/>
      <c r="S61" s="1429"/>
      <c r="T61" s="1429"/>
      <c r="U61" s="1429"/>
      <c r="V61" s="1429"/>
      <c r="W61" s="1429"/>
      <c r="X61" s="1429"/>
      <c r="Y61" s="1429"/>
      <c r="Z61" s="1429"/>
      <c r="AA61" s="1429"/>
      <c r="AB61" s="1429"/>
      <c r="AC61" s="1429"/>
    </row>
    <row r="62" spans="1:29" s="466" customFormat="1" ht="15.75" thickBot="1">
      <c r="A62" s="548"/>
      <c r="B62" s="538"/>
      <c r="C62" s="555"/>
      <c r="D62" s="555"/>
      <c r="E62" s="555"/>
      <c r="F62" s="555"/>
      <c r="G62" s="555"/>
      <c r="H62" s="557"/>
      <c r="I62" s="557"/>
      <c r="J62" s="557"/>
      <c r="K62" s="557"/>
      <c r="L62" s="557"/>
      <c r="M62" s="558"/>
      <c r="N62" s="1152"/>
      <c r="O62" s="1152"/>
      <c r="P62" s="1427"/>
      <c r="Q62" s="1428"/>
      <c r="R62" s="1429"/>
      <c r="S62" s="1429"/>
      <c r="T62" s="1429"/>
      <c r="U62" s="1429"/>
      <c r="V62" s="1429"/>
      <c r="W62" s="1429"/>
      <c r="X62" s="1429"/>
      <c r="Y62" s="1429"/>
      <c r="Z62" s="1429"/>
      <c r="AA62" s="1429"/>
      <c r="AB62" s="1429"/>
      <c r="AC62" s="1429"/>
    </row>
    <row r="63" spans="1:29" ht="15" thickTop="1">
      <c r="A63" s="522" t="s">
        <v>2561</v>
      </c>
      <c r="B63" s="523" t="s">
        <v>2604</v>
      </c>
      <c r="C63" s="568" t="s">
        <v>2599</v>
      </c>
      <c r="D63" s="568" t="s">
        <v>2600</v>
      </c>
      <c r="E63" s="568" t="s">
        <v>2601</v>
      </c>
      <c r="F63" s="568" t="s">
        <v>2602</v>
      </c>
      <c r="G63" s="568" t="s">
        <v>2603</v>
      </c>
      <c r="H63" s="524"/>
      <c r="I63" s="524"/>
      <c r="J63" s="524"/>
      <c r="K63" s="569"/>
      <c r="L63" s="570"/>
      <c r="M63" s="571"/>
      <c r="N63" s="1150"/>
      <c r="O63" s="1150"/>
      <c r="P63" s="1432"/>
      <c r="Q63" s="1420"/>
      <c r="R63" s="1142"/>
      <c r="S63" s="1142"/>
      <c r="T63" s="1142"/>
      <c r="U63" s="1142"/>
      <c r="V63" s="1142"/>
      <c r="W63" s="1142"/>
      <c r="X63" s="1142"/>
      <c r="Y63" s="1142"/>
      <c r="Z63" s="1142"/>
      <c r="AA63" s="1142"/>
      <c r="AB63" s="1142"/>
      <c r="AC63" s="1142"/>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51"/>
      <c r="O64" s="1151"/>
      <c r="P64" s="1426"/>
      <c r="Q64" s="1420"/>
      <c r="R64" s="1142"/>
      <c r="S64" s="1142"/>
      <c r="T64" s="1142"/>
      <c r="U64" s="1142"/>
      <c r="V64" s="1142"/>
      <c r="W64" s="1142"/>
      <c r="X64" s="1142"/>
      <c r="Y64" s="1142"/>
      <c r="Z64" s="1142"/>
      <c r="AA64" s="1142"/>
      <c r="AB64" s="1142"/>
      <c r="AC64" s="1142"/>
    </row>
    <row r="65" spans="1:29" ht="15.75" thickTop="1">
      <c r="A65" s="529"/>
      <c r="B65" s="533" t="s">
        <v>2605</v>
      </c>
      <c r="C65" s="573" t="s">
        <v>2599</v>
      </c>
      <c r="D65" s="573" t="s">
        <v>2600</v>
      </c>
      <c r="E65" s="573" t="s">
        <v>2601</v>
      </c>
      <c r="F65" s="573" t="s">
        <v>2602</v>
      </c>
      <c r="G65" s="573" t="s">
        <v>2603</v>
      </c>
      <c r="H65" s="534"/>
      <c r="I65" s="534"/>
      <c r="J65" s="534"/>
      <c r="K65" s="535"/>
      <c r="L65" s="536"/>
      <c r="M65" s="537"/>
      <c r="N65" s="1150"/>
      <c r="O65" s="1150"/>
      <c r="P65" s="1426"/>
      <c r="Q65" s="1420"/>
      <c r="R65" s="1142"/>
      <c r="S65" s="1142"/>
      <c r="T65" s="1142"/>
      <c r="U65" s="1142"/>
      <c r="V65" s="1142"/>
      <c r="W65" s="1142"/>
      <c r="X65" s="1142"/>
      <c r="Y65" s="1142"/>
      <c r="Z65" s="1142"/>
      <c r="AA65" s="1142"/>
      <c r="AB65" s="1142"/>
      <c r="AC65" s="1142"/>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51"/>
      <c r="O66" s="1151"/>
      <c r="P66" s="1426"/>
      <c r="Q66" s="1420"/>
      <c r="R66" s="1142"/>
      <c r="S66" s="1142"/>
      <c r="T66" s="1142"/>
      <c r="U66" s="1142"/>
      <c r="V66" s="1142"/>
      <c r="W66" s="1142"/>
      <c r="X66" s="1142"/>
      <c r="Y66" s="1142"/>
      <c r="Z66" s="1142"/>
      <c r="AA66" s="1142"/>
      <c r="AB66" s="1142"/>
      <c r="AC66" s="1142"/>
    </row>
    <row r="67" spans="1:29" ht="15.75" thickTop="1">
      <c r="A67" s="529"/>
      <c r="B67" s="541" t="s">
        <v>2691</v>
      </c>
      <c r="C67" s="655" t="s">
        <v>2677</v>
      </c>
      <c r="D67" s="655" t="s">
        <v>2678</v>
      </c>
      <c r="E67" s="655" t="s">
        <v>2679</v>
      </c>
      <c r="F67" s="655" t="s">
        <v>2680</v>
      </c>
      <c r="G67" s="655" t="s">
        <v>2681</v>
      </c>
      <c r="H67" s="534"/>
      <c r="I67" s="534"/>
      <c r="J67" s="534"/>
      <c r="K67" s="534"/>
      <c r="L67" s="534"/>
      <c r="M67" s="1380"/>
      <c r="N67" s="1151"/>
      <c r="O67" s="1151"/>
      <c r="P67" s="1426"/>
      <c r="Q67" s="1420"/>
      <c r="R67" s="1142"/>
      <c r="S67" s="1142"/>
      <c r="T67" s="1142"/>
      <c r="U67" s="1142"/>
      <c r="V67" s="1142"/>
      <c r="W67" s="1142"/>
      <c r="X67" s="1142"/>
      <c r="Y67" s="1142"/>
      <c r="Z67" s="1142"/>
      <c r="AA67" s="1142"/>
      <c r="AB67" s="1142"/>
      <c r="AC67" s="1142"/>
    </row>
    <row r="68" spans="1:29" ht="15.75" thickBot="1">
      <c r="A68" s="529"/>
      <c r="B68" s="541"/>
      <c r="C68" s="539">
        <v>100</v>
      </c>
      <c r="D68" s="539">
        <f>C68-$K18</f>
        <v>100</v>
      </c>
      <c r="E68" s="539">
        <f>D68-$K18</f>
        <v>100</v>
      </c>
      <c r="F68" s="539">
        <f>E68-$K18</f>
        <v>100</v>
      </c>
      <c r="G68" s="539">
        <f>F68-$K18</f>
        <v>100</v>
      </c>
      <c r="H68" s="655"/>
      <c r="I68" s="655"/>
      <c r="J68" s="655"/>
      <c r="K68" s="655"/>
      <c r="L68" s="655"/>
      <c r="M68" s="447"/>
      <c r="N68" s="1151"/>
      <c r="O68" s="1151"/>
      <c r="P68" s="1426"/>
      <c r="Q68" s="1420"/>
      <c r="R68" s="1142"/>
      <c r="S68" s="1142"/>
      <c r="T68" s="1142"/>
      <c r="U68" s="1142"/>
      <c r="V68" s="1142"/>
      <c r="W68" s="1142"/>
      <c r="X68" s="1142"/>
      <c r="Y68" s="1142"/>
      <c r="Z68" s="1142"/>
      <c r="AA68" s="1142"/>
      <c r="AB68" s="1142"/>
      <c r="AC68" s="1142"/>
    </row>
    <row r="69" spans="1:29" ht="15.75" thickTop="1">
      <c r="A69" s="529"/>
      <c r="B69" s="533" t="s">
        <v>2611</v>
      </c>
      <c r="C69" s="573" t="s">
        <v>2599</v>
      </c>
      <c r="D69" s="573" t="s">
        <v>2600</v>
      </c>
      <c r="E69" s="573" t="s">
        <v>2601</v>
      </c>
      <c r="F69" s="573" t="s">
        <v>2602</v>
      </c>
      <c r="G69" s="573" t="s">
        <v>2603</v>
      </c>
      <c r="H69" s="534"/>
      <c r="I69" s="534"/>
      <c r="J69" s="534"/>
      <c r="K69" s="535"/>
      <c r="L69" s="536"/>
      <c r="M69" s="537"/>
      <c r="N69" s="1150"/>
      <c r="O69" s="1150"/>
      <c r="P69" s="1426"/>
      <c r="Q69" s="1420"/>
      <c r="R69" s="1142"/>
      <c r="S69" s="1142"/>
      <c r="T69" s="1142"/>
      <c r="U69" s="1142"/>
      <c r="V69" s="1142"/>
      <c r="W69" s="1142"/>
      <c r="X69" s="1142"/>
      <c r="Y69" s="1142"/>
      <c r="Z69" s="1142"/>
      <c r="AA69" s="1142"/>
      <c r="AB69" s="1142"/>
      <c r="AC69" s="1142"/>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51"/>
      <c r="O70" s="1151"/>
      <c r="P70" s="1426"/>
      <c r="Q70" s="1420"/>
      <c r="R70" s="1142"/>
      <c r="S70" s="1142"/>
      <c r="T70" s="1142"/>
      <c r="U70" s="1142"/>
      <c r="V70" s="1142"/>
      <c r="W70" s="1142"/>
      <c r="X70" s="1142"/>
      <c r="Y70" s="1142"/>
      <c r="Z70" s="1142"/>
      <c r="AA70" s="1142"/>
      <c r="AB70" s="1142"/>
      <c r="AC70" s="1142"/>
    </row>
    <row r="71" spans="1:29" ht="15.75" thickTop="1">
      <c r="A71" s="529"/>
      <c r="B71" s="533" t="s">
        <v>2731</v>
      </c>
      <c r="C71" s="549"/>
      <c r="D71" s="549"/>
      <c r="E71" s="549"/>
      <c r="F71" s="549"/>
      <c r="G71" s="549"/>
      <c r="H71" s="578"/>
      <c r="I71" s="578"/>
      <c r="J71" s="578"/>
      <c r="K71" s="579"/>
      <c r="L71" s="580"/>
      <c r="M71" s="581"/>
      <c r="N71" s="1150"/>
      <c r="O71" s="1150"/>
      <c r="P71" s="1426"/>
      <c r="Q71" s="1420"/>
      <c r="R71" s="1142"/>
      <c r="S71" s="1142"/>
      <c r="T71" s="1142"/>
      <c r="U71" s="1142"/>
      <c r="V71" s="1142"/>
      <c r="W71" s="1142"/>
      <c r="X71" s="1142"/>
      <c r="Y71" s="1142"/>
      <c r="Z71" s="1142"/>
      <c r="AA71" s="1142"/>
      <c r="AB71" s="1142"/>
      <c r="AC71" s="1142"/>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51"/>
      <c r="O72" s="1151"/>
      <c r="P72" s="1426"/>
      <c r="Q72" s="1420"/>
      <c r="R72" s="1142"/>
      <c r="S72" s="1142"/>
      <c r="T72" s="1142"/>
      <c r="U72" s="1142"/>
      <c r="V72" s="1142"/>
      <c r="W72" s="1142"/>
      <c r="X72" s="1142"/>
      <c r="Y72" s="1142"/>
      <c r="Z72" s="1142"/>
      <c r="AA72" s="1142"/>
      <c r="AB72" s="1142"/>
      <c r="AC72" s="1142"/>
    </row>
    <row r="73" spans="1:29" s="116" customFormat="1" ht="15.75" thickTop="1">
      <c r="A73" s="574"/>
      <c r="B73" s="533">
        <f>B23</f>
        <v>111</v>
      </c>
      <c r="C73" s="544"/>
      <c r="D73" s="544"/>
      <c r="E73" s="544"/>
      <c r="F73" s="544"/>
      <c r="G73" s="549"/>
      <c r="H73" s="549"/>
      <c r="I73" s="549"/>
      <c r="J73" s="549"/>
      <c r="K73" s="549"/>
      <c r="L73" s="575"/>
      <c r="M73" s="576"/>
      <c r="N73" s="1149"/>
      <c r="O73" s="1149"/>
      <c r="P73" s="1426"/>
      <c r="Q73" s="1420"/>
      <c r="R73" s="1424"/>
      <c r="S73" s="1424"/>
      <c r="T73" s="1424"/>
      <c r="U73" s="1424"/>
      <c r="V73" s="1424"/>
      <c r="W73" s="1424"/>
      <c r="X73" s="1424"/>
      <c r="Y73" s="1424"/>
      <c r="Z73" s="1424"/>
      <c r="AA73" s="1424"/>
      <c r="AB73" s="1424"/>
      <c r="AC73" s="1424"/>
    </row>
    <row r="74" spans="1:29" s="116" customFormat="1" ht="15.75" thickBot="1">
      <c r="A74" s="574"/>
      <c r="B74" s="538"/>
      <c r="C74" s="555"/>
      <c r="D74" s="531"/>
      <c r="E74" s="531"/>
      <c r="F74" s="531"/>
      <c r="G74" s="531"/>
      <c r="H74" s="531"/>
      <c r="I74" s="531"/>
      <c r="J74" s="531"/>
      <c r="K74" s="531"/>
      <c r="L74" s="531"/>
      <c r="M74" s="532"/>
      <c r="N74" s="1151"/>
      <c r="O74" s="1151"/>
      <c r="P74" s="1426"/>
      <c r="Q74" s="1420"/>
      <c r="R74" s="1424"/>
      <c r="S74" s="1424"/>
      <c r="T74" s="1424"/>
      <c r="U74" s="1424"/>
      <c r="V74" s="1424"/>
      <c r="W74" s="1424"/>
      <c r="X74" s="1424"/>
      <c r="Y74" s="1424"/>
      <c r="Z74" s="1424"/>
      <c r="AA74" s="1424"/>
      <c r="AB74" s="1424"/>
      <c r="AC74" s="1424"/>
    </row>
    <row r="75" spans="1:29" s="116" customFormat="1" ht="15.75" thickTop="1">
      <c r="A75" s="574"/>
      <c r="B75" s="533">
        <f>B24</f>
        <v>111</v>
      </c>
      <c r="C75" s="544"/>
      <c r="D75" s="544"/>
      <c r="E75" s="544"/>
      <c r="F75" s="544"/>
      <c r="G75" s="549"/>
      <c r="H75" s="549"/>
      <c r="I75" s="549"/>
      <c r="J75" s="549"/>
      <c r="K75" s="549"/>
      <c r="L75" s="549"/>
      <c r="M75" s="576"/>
      <c r="N75" s="1149"/>
      <c r="O75" s="1149"/>
      <c r="P75" s="1426"/>
      <c r="Q75" s="1420"/>
      <c r="R75" s="1424"/>
      <c r="S75" s="1424"/>
      <c r="T75" s="1424"/>
      <c r="U75" s="1424"/>
      <c r="V75" s="1424"/>
      <c r="W75" s="1424"/>
      <c r="X75" s="1424"/>
      <c r="Y75" s="1424"/>
      <c r="Z75" s="1424"/>
      <c r="AA75" s="1424"/>
      <c r="AB75" s="1424"/>
      <c r="AC75" s="1424"/>
    </row>
    <row r="76" spans="1:29" s="116" customFormat="1" ht="15.75" thickBot="1">
      <c r="A76" s="574"/>
      <c r="B76" s="538"/>
      <c r="C76" s="555"/>
      <c r="D76" s="531"/>
      <c r="E76" s="531"/>
      <c r="F76" s="531"/>
      <c r="G76" s="531"/>
      <c r="H76" s="531"/>
      <c r="I76" s="531"/>
      <c r="J76" s="531"/>
      <c r="K76" s="531"/>
      <c r="L76" s="531"/>
      <c r="M76" s="532"/>
      <c r="N76" s="1151"/>
      <c r="O76" s="1151"/>
      <c r="P76" s="1426"/>
      <c r="Q76" s="1420"/>
      <c r="R76" s="1424"/>
      <c r="S76" s="1424"/>
      <c r="T76" s="1424"/>
      <c r="U76" s="1424"/>
      <c r="V76" s="1424"/>
      <c r="W76" s="1424"/>
      <c r="X76" s="1424"/>
      <c r="Y76" s="1424"/>
      <c r="Z76" s="1424"/>
      <c r="AA76" s="1424"/>
      <c r="AB76" s="1424"/>
      <c r="AC76" s="1424"/>
    </row>
    <row r="77" spans="1:29" s="466" customFormat="1" ht="15.75" thickTop="1">
      <c r="A77" s="548"/>
      <c r="B77" s="533">
        <f>B25</f>
        <v>111</v>
      </c>
      <c r="C77" s="549"/>
      <c r="D77" s="549"/>
      <c r="E77" s="549"/>
      <c r="F77" s="549"/>
      <c r="G77" s="549"/>
      <c r="H77" s="550"/>
      <c r="I77" s="550"/>
      <c r="J77" s="550"/>
      <c r="K77" s="550"/>
      <c r="L77" s="551"/>
      <c r="M77" s="552"/>
      <c r="N77" s="1152"/>
      <c r="O77" s="1152"/>
      <c r="P77" s="1427"/>
      <c r="Q77" s="1428"/>
      <c r="R77" s="1429"/>
      <c r="S77" s="1429"/>
      <c r="T77" s="1429"/>
      <c r="U77" s="1429"/>
      <c r="V77" s="1429"/>
      <c r="W77" s="1429"/>
      <c r="X77" s="1429"/>
      <c r="Y77" s="1429"/>
      <c r="Z77" s="1429"/>
      <c r="AA77" s="1429"/>
      <c r="AB77" s="1429"/>
      <c r="AC77" s="1429"/>
    </row>
    <row r="78" spans="1:29" s="466" customFormat="1" ht="15.75" thickBot="1">
      <c r="A78" s="548"/>
      <c r="B78" s="538"/>
      <c r="C78" s="555"/>
      <c r="D78" s="555"/>
      <c r="E78" s="555"/>
      <c r="F78" s="555"/>
      <c r="G78" s="531"/>
      <c r="H78" s="531"/>
      <c r="I78" s="531"/>
      <c r="J78" s="531"/>
      <c r="K78" s="531"/>
      <c r="L78" s="531"/>
      <c r="M78" s="532"/>
      <c r="N78" s="1152"/>
      <c r="O78" s="1152"/>
      <c r="P78" s="1427"/>
      <c r="Q78" s="1428"/>
      <c r="R78" s="1429"/>
      <c r="S78" s="1429"/>
      <c r="T78" s="1429"/>
      <c r="U78" s="1429"/>
      <c r="V78" s="1429"/>
      <c r="W78" s="1429"/>
      <c r="X78" s="1429"/>
      <c r="Y78" s="1429"/>
      <c r="Z78" s="1429"/>
      <c r="AA78" s="1429"/>
      <c r="AB78" s="1429"/>
      <c r="AC78" s="1429"/>
    </row>
    <row r="79" spans="1:29" ht="27.75" thickTop="1">
      <c r="A79" s="522" t="s">
        <v>2565</v>
      </c>
      <c r="B79" s="523" t="s">
        <v>2732</v>
      </c>
      <c r="C79" s="524">
        <f>C26</f>
        <v>0</v>
      </c>
      <c r="D79" s="525"/>
      <c r="E79" s="525"/>
      <c r="F79" s="525"/>
      <c r="G79" s="525"/>
      <c r="H79" s="525"/>
      <c r="I79" s="525"/>
      <c r="J79" s="525"/>
      <c r="K79" s="526"/>
      <c r="L79" s="527"/>
      <c r="M79" s="528"/>
      <c r="N79" s="1150"/>
      <c r="O79" s="1150"/>
      <c r="P79" s="1426"/>
      <c r="Q79" s="1420"/>
      <c r="R79" s="1142"/>
      <c r="S79" s="1142"/>
      <c r="T79" s="1142"/>
      <c r="U79" s="1142"/>
      <c r="V79" s="1142"/>
      <c r="W79" s="1142"/>
      <c r="X79" s="1142"/>
      <c r="Y79" s="1142"/>
      <c r="Z79" s="1142"/>
      <c r="AA79" s="1142"/>
      <c r="AB79" s="1142"/>
      <c r="AC79" s="1142"/>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29"/>
      <c r="B81" s="533" t="s">
        <v>2733</v>
      </c>
      <c r="C81" s="656"/>
      <c r="D81" s="656"/>
      <c r="E81" s="656"/>
      <c r="F81" s="656"/>
      <c r="G81" s="656"/>
      <c r="H81" s="656"/>
      <c r="I81" s="656"/>
      <c r="J81" s="656"/>
      <c r="K81" s="657"/>
      <c r="L81" s="658"/>
      <c r="M81" s="659"/>
      <c r="N81" s="1149"/>
      <c r="O81" s="1149"/>
      <c r="P81" s="1426"/>
      <c r="Q81" s="1420"/>
      <c r="R81" s="1142"/>
      <c r="S81" s="1142"/>
      <c r="T81" s="1142"/>
      <c r="U81" s="1142"/>
      <c r="V81" s="1142"/>
      <c r="W81" s="1142"/>
      <c r="X81" s="1142"/>
      <c r="Y81" s="1142"/>
      <c r="Z81" s="1142"/>
      <c r="AA81" s="1142"/>
      <c r="AB81" s="1142"/>
      <c r="AC81" s="1142"/>
    </row>
    <row r="82" spans="1:29" s="466" customFormat="1" ht="15.75" thickBot="1">
      <c r="A82" s="548"/>
      <c r="B82" s="538"/>
      <c r="C82" s="555"/>
      <c r="D82" s="531"/>
      <c r="E82" s="531"/>
      <c r="F82" s="531"/>
      <c r="G82" s="531"/>
      <c r="H82" s="531"/>
      <c r="I82" s="531"/>
      <c r="J82" s="531"/>
      <c r="K82" s="531"/>
      <c r="L82" s="531"/>
      <c r="M82" s="532"/>
      <c r="N82" s="1151"/>
      <c r="O82" s="1151"/>
      <c r="P82" s="1427"/>
      <c r="Q82" s="1428"/>
      <c r="R82" s="1429"/>
      <c r="S82" s="1429"/>
      <c r="T82" s="1429"/>
      <c r="U82" s="1429"/>
      <c r="V82" s="1429"/>
      <c r="W82" s="1429"/>
      <c r="X82" s="1429"/>
      <c r="Y82" s="1429"/>
      <c r="Z82" s="1429"/>
      <c r="AA82" s="1429"/>
      <c r="AB82" s="1429"/>
      <c r="AC82" s="1429"/>
    </row>
    <row r="83" spans="1:29" ht="15" thickTop="1">
      <c r="A83" s="594"/>
      <c r="B83" s="533" t="s">
        <v>2618</v>
      </c>
      <c r="C83" s="549"/>
      <c r="D83" s="549"/>
      <c r="E83" s="578"/>
      <c r="F83" s="578"/>
      <c r="G83" s="578"/>
      <c r="H83" s="578"/>
      <c r="I83" s="578"/>
      <c r="J83" s="578"/>
      <c r="K83" s="579"/>
      <c r="L83" s="580"/>
      <c r="M83" s="581"/>
      <c r="N83" s="1150"/>
      <c r="O83" s="1150"/>
      <c r="P83" s="1426"/>
      <c r="Q83" s="1420"/>
      <c r="R83" s="1142"/>
      <c r="S83" s="1142"/>
      <c r="T83" s="1142"/>
      <c r="U83" s="1142"/>
      <c r="V83" s="1142"/>
      <c r="W83" s="1142"/>
      <c r="X83" s="1142"/>
      <c r="Y83" s="1142"/>
      <c r="Z83" s="1142"/>
      <c r="AA83" s="1142"/>
      <c r="AB83" s="1142"/>
      <c r="AC83" s="1142"/>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4"/>
      <c r="B85" s="533" t="s">
        <v>2734</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50"/>
      <c r="O85" s="1150"/>
      <c r="P85" s="1426"/>
      <c r="Q85" s="1420"/>
      <c r="R85" s="1142"/>
      <c r="S85" s="1142"/>
      <c r="T85" s="1142"/>
      <c r="U85" s="1142"/>
      <c r="V85" s="1142"/>
      <c r="W85" s="1142"/>
      <c r="X85" s="1142"/>
      <c r="Y85" s="1142"/>
      <c r="Z85" s="1142"/>
      <c r="AA85" s="1142"/>
      <c r="AB85" s="1142"/>
      <c r="AC85" s="1142"/>
    </row>
    <row r="86" spans="1:29">
      <c r="A86" s="594"/>
      <c r="B86" s="541"/>
      <c r="C86" s="598">
        <v>0.5</v>
      </c>
      <c r="D86" s="598">
        <v>0.6</v>
      </c>
      <c r="E86" s="598">
        <v>0.7</v>
      </c>
      <c r="F86" s="598">
        <v>0.8</v>
      </c>
      <c r="G86" s="598">
        <v>0.9</v>
      </c>
      <c r="H86" s="598">
        <v>1.0001</v>
      </c>
      <c r="I86" s="618"/>
      <c r="J86" s="618"/>
      <c r="K86" s="619"/>
      <c r="L86" s="620"/>
      <c r="M86" s="621"/>
      <c r="N86" s="1150"/>
      <c r="O86" s="1150"/>
      <c r="P86" s="1426"/>
      <c r="Q86" s="1420"/>
      <c r="R86" s="1142"/>
      <c r="S86" s="1142"/>
      <c r="T86" s="1142"/>
      <c r="U86" s="1142"/>
      <c r="V86" s="1142"/>
      <c r="W86" s="1142"/>
      <c r="X86" s="1142"/>
      <c r="Y86" s="1142"/>
      <c r="Z86" s="1142"/>
      <c r="AA86" s="1142"/>
      <c r="AB86" s="1142"/>
      <c r="AC86" s="1142"/>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4"/>
      <c r="B88" s="541" t="s">
        <v>2735</v>
      </c>
      <c r="C88" s="525"/>
      <c r="D88" s="525"/>
      <c r="E88" s="525"/>
      <c r="F88" s="525"/>
      <c r="G88" s="525"/>
      <c r="H88" s="525"/>
      <c r="I88" s="525"/>
      <c r="J88" s="525"/>
      <c r="K88" s="526"/>
      <c r="L88" s="527"/>
      <c r="M88" s="528"/>
      <c r="N88" s="1150"/>
      <c r="O88" s="1150"/>
      <c r="P88" s="1426"/>
      <c r="Q88" s="1420"/>
      <c r="R88" s="1142"/>
      <c r="S88" s="1142"/>
      <c r="T88" s="1142"/>
      <c r="U88" s="1142"/>
      <c r="V88" s="1142"/>
      <c r="W88" s="1142"/>
      <c r="X88" s="1142"/>
      <c r="Y88" s="1142"/>
      <c r="Z88" s="1142"/>
      <c r="AA88" s="1142"/>
      <c r="AB88" s="1142"/>
      <c r="AC88" s="1142"/>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51"/>
      <c r="O89" s="1151"/>
      <c r="P89" s="1426"/>
      <c r="Q89" s="1420"/>
      <c r="R89" s="1142"/>
      <c r="S89" s="1142"/>
      <c r="T89" s="1142"/>
      <c r="U89" s="1142"/>
      <c r="V89" s="1142"/>
      <c r="W89" s="1142"/>
      <c r="X89" s="1142"/>
      <c r="Y89" s="1142"/>
      <c r="Z89" s="1142"/>
      <c r="AA89" s="1142"/>
      <c r="AB89" s="1142"/>
      <c r="AC89" s="1142"/>
    </row>
    <row r="90" spans="1:29" s="466" customFormat="1" ht="15" thickTop="1">
      <c r="A90" s="588"/>
      <c r="B90" s="533" t="s">
        <v>2736</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52"/>
      <c r="O90" s="1152"/>
      <c r="P90" s="1427"/>
      <c r="Q90" s="1428"/>
      <c r="R90" s="1429"/>
      <c r="S90" s="1429"/>
      <c r="T90" s="1429"/>
      <c r="U90" s="1429"/>
      <c r="V90" s="1429"/>
      <c r="W90" s="1429"/>
      <c r="X90" s="1429"/>
      <c r="Y90" s="1429"/>
      <c r="Z90" s="1429"/>
      <c r="AA90" s="1429"/>
      <c r="AB90" s="1429"/>
      <c r="AC90" s="1429"/>
    </row>
    <row r="91" spans="1:29" s="466" customFormat="1">
      <c r="A91" s="588"/>
      <c r="B91" s="541"/>
      <c r="C91" s="590"/>
      <c r="D91" s="590"/>
      <c r="E91" s="590"/>
      <c r="F91" s="590"/>
      <c r="G91" s="590"/>
      <c r="H91" s="590"/>
      <c r="I91" s="590"/>
      <c r="J91" s="591"/>
      <c r="K91" s="591"/>
      <c r="L91" s="592"/>
      <c r="M91" s="593"/>
      <c r="N91" s="1152"/>
      <c r="O91" s="1152"/>
      <c r="P91" s="1427"/>
      <c r="Q91" s="1428"/>
      <c r="R91" s="1429"/>
      <c r="S91" s="1429"/>
      <c r="T91" s="1429"/>
      <c r="U91" s="1429"/>
      <c r="V91" s="1429"/>
      <c r="W91" s="1429"/>
      <c r="X91" s="1429"/>
      <c r="Y91" s="1429"/>
      <c r="Z91" s="1429"/>
      <c r="AA91" s="1429"/>
      <c r="AB91" s="1429"/>
      <c r="AC91" s="1429"/>
    </row>
    <row r="92" spans="1:29" s="466" customFormat="1" ht="15.75" thickBot="1">
      <c r="A92" s="548"/>
      <c r="B92" s="538"/>
      <c r="C92" s="555"/>
      <c r="D92" s="531"/>
      <c r="E92" s="531"/>
      <c r="F92" s="531"/>
      <c r="G92" s="531"/>
      <c r="H92" s="531"/>
      <c r="I92" s="531"/>
      <c r="J92" s="531"/>
      <c r="K92" s="531"/>
      <c r="L92" s="531"/>
      <c r="M92" s="532"/>
      <c r="N92" s="1152"/>
      <c r="O92" s="1152"/>
      <c r="P92" s="1427"/>
      <c r="Q92" s="1428"/>
      <c r="R92" s="1429"/>
      <c r="S92" s="1429"/>
      <c r="T92" s="1429"/>
      <c r="U92" s="1429"/>
      <c r="V92" s="1429"/>
      <c r="W92" s="1429"/>
      <c r="X92" s="1429"/>
      <c r="Y92" s="1429"/>
      <c r="Z92" s="1429"/>
      <c r="AA92" s="1429"/>
      <c r="AB92" s="1429"/>
      <c r="AC92" s="1429"/>
    </row>
    <row r="93" spans="1:29" ht="15" thickTop="1">
      <c r="A93" s="594"/>
      <c r="B93" s="533" t="s">
        <v>2737</v>
      </c>
      <c r="C93" s="549"/>
      <c r="D93" s="549"/>
      <c r="E93" s="578"/>
      <c r="F93" s="578"/>
      <c r="G93" s="578"/>
      <c r="H93" s="578"/>
      <c r="I93" s="578"/>
      <c r="J93" s="578"/>
      <c r="K93" s="579"/>
      <c r="L93" s="580"/>
      <c r="M93" s="581"/>
      <c r="N93" s="1150"/>
      <c r="O93" s="1150"/>
      <c r="P93" s="1426"/>
      <c r="Q93" s="1420"/>
      <c r="R93" s="1142"/>
      <c r="S93" s="1142"/>
      <c r="T93" s="1142"/>
      <c r="U93" s="1142"/>
      <c r="V93" s="1142"/>
      <c r="W93" s="1142"/>
      <c r="X93" s="1142"/>
      <c r="Y93" s="1142"/>
      <c r="Z93" s="1142"/>
      <c r="AA93" s="1142"/>
      <c r="AB93" s="1142"/>
      <c r="AC93" s="1142"/>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4"/>
      <c r="B95" s="533" t="s">
        <v>2738</v>
      </c>
      <c r="C95" s="525"/>
      <c r="D95" s="525"/>
      <c r="E95" s="525"/>
      <c r="F95" s="525"/>
      <c r="G95" s="525"/>
      <c r="H95" s="525"/>
      <c r="I95" s="525"/>
      <c r="J95" s="525"/>
      <c r="K95" s="526"/>
      <c r="L95" s="527"/>
      <c r="M95" s="528"/>
      <c r="N95" s="1150"/>
      <c r="O95" s="1150"/>
      <c r="P95" s="1426"/>
      <c r="Q95" s="1420"/>
      <c r="R95" s="1142"/>
      <c r="S95" s="1142"/>
      <c r="T95" s="1142"/>
      <c r="U95" s="1142"/>
      <c r="V95" s="1142"/>
      <c r="W95" s="1142"/>
      <c r="X95" s="1142"/>
      <c r="Y95" s="1142"/>
      <c r="Z95" s="1142"/>
      <c r="AA95" s="1142"/>
      <c r="AB95" s="1142"/>
      <c r="AC95" s="1142"/>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51"/>
      <c r="O96" s="1151"/>
      <c r="P96" s="1426"/>
      <c r="Q96" s="1420"/>
      <c r="R96" s="1142"/>
      <c r="S96" s="1142"/>
      <c r="T96" s="1142"/>
      <c r="U96" s="1142"/>
      <c r="V96" s="1142"/>
      <c r="W96" s="1142"/>
      <c r="X96" s="1142"/>
      <c r="Y96" s="1142"/>
      <c r="Z96" s="1142"/>
      <c r="AA96" s="1142"/>
      <c r="AB96" s="1142"/>
      <c r="AC96" s="1142"/>
    </row>
    <row r="97" spans="1:29" ht="15" thickTop="1">
      <c r="A97" s="594"/>
      <c r="B97" s="631">
        <f>B34</f>
        <v>111</v>
      </c>
      <c r="C97" s="544"/>
      <c r="D97" s="544"/>
      <c r="E97" s="544"/>
      <c r="F97" s="544"/>
      <c r="G97" s="549"/>
      <c r="H97" s="550"/>
      <c r="I97" s="550"/>
      <c r="J97" s="550"/>
      <c r="K97" s="550"/>
      <c r="L97" s="551"/>
      <c r="M97" s="552"/>
      <c r="N97" s="1151"/>
      <c r="O97" s="1151"/>
      <c r="P97" s="1433"/>
      <c r="Q97" s="1434"/>
      <c r="R97" s="1142"/>
      <c r="S97" s="1142"/>
      <c r="T97" s="1142"/>
      <c r="U97" s="1142"/>
      <c r="V97" s="1142"/>
      <c r="W97" s="1142"/>
      <c r="X97" s="1142"/>
      <c r="Y97" s="1142"/>
      <c r="Z97" s="1142"/>
      <c r="AA97" s="1142"/>
      <c r="AB97" s="1142"/>
      <c r="AC97" s="1142"/>
    </row>
    <row r="98" spans="1:29" ht="15.75" thickBot="1">
      <c r="A98" s="529"/>
      <c r="B98" s="538"/>
      <c r="C98" s="555"/>
      <c r="D98" s="531"/>
      <c r="E98" s="531"/>
      <c r="F98" s="531"/>
      <c r="G98" s="555"/>
      <c r="H98" s="557"/>
      <c r="I98" s="557"/>
      <c r="J98" s="557"/>
      <c r="K98" s="557"/>
      <c r="L98" s="557"/>
      <c r="M98" s="558"/>
      <c r="N98" s="1151"/>
      <c r="O98" s="1151"/>
      <c r="P98" s="1426"/>
      <c r="Q98" s="1420"/>
      <c r="R98" s="1142"/>
      <c r="S98" s="1142"/>
      <c r="T98" s="1142"/>
      <c r="U98" s="1142"/>
      <c r="V98" s="1142"/>
      <c r="W98" s="1142"/>
      <c r="X98" s="1142"/>
      <c r="Y98" s="1142"/>
      <c r="Z98" s="1142"/>
      <c r="AA98" s="1142"/>
      <c r="AB98" s="1142"/>
      <c r="AC98" s="1142"/>
    </row>
    <row r="99" spans="1:29" s="466" customFormat="1" ht="15" thickTop="1">
      <c r="A99" s="588"/>
      <c r="B99" s="533">
        <f>B35</f>
        <v>111</v>
      </c>
      <c r="C99" s="544"/>
      <c r="D99" s="544"/>
      <c r="E99" s="544"/>
      <c r="F99" s="544"/>
      <c r="G99" s="549"/>
      <c r="H99" s="550"/>
      <c r="I99" s="550"/>
      <c r="J99" s="550"/>
      <c r="K99" s="550"/>
      <c r="L99" s="551"/>
      <c r="M99" s="552"/>
      <c r="N99" s="1152"/>
      <c r="O99" s="1152"/>
      <c r="P99" s="1427"/>
      <c r="Q99" s="1428"/>
      <c r="R99" s="1429"/>
      <c r="S99" s="1429"/>
      <c r="T99" s="1429"/>
      <c r="U99" s="1429"/>
      <c r="V99" s="1429"/>
      <c r="W99" s="1429"/>
      <c r="X99" s="1429"/>
      <c r="Y99" s="1429"/>
      <c r="Z99" s="1429"/>
      <c r="AA99" s="1429"/>
      <c r="AB99" s="1429"/>
      <c r="AC99" s="1429"/>
    </row>
    <row r="100" spans="1:29" s="466" customFormat="1" ht="15.75" thickBot="1">
      <c r="A100" s="548"/>
      <c r="B100" s="530"/>
      <c r="C100" s="555"/>
      <c r="D100" s="531"/>
      <c r="E100" s="531"/>
      <c r="F100" s="531"/>
      <c r="G100" s="555"/>
      <c r="H100" s="557"/>
      <c r="I100" s="557"/>
      <c r="J100" s="557"/>
      <c r="K100" s="557"/>
      <c r="L100" s="557"/>
      <c r="M100" s="558"/>
      <c r="N100" s="1152"/>
      <c r="O100" s="1152"/>
      <c r="P100" s="1427"/>
      <c r="Q100" s="1428"/>
      <c r="R100" s="1429"/>
      <c r="S100" s="1429"/>
      <c r="T100" s="1429"/>
      <c r="U100" s="1429"/>
      <c r="V100" s="1429"/>
      <c r="W100" s="1429"/>
      <c r="X100" s="1429"/>
      <c r="Y100" s="1429"/>
      <c r="Z100" s="1429"/>
      <c r="AA100" s="1429"/>
      <c r="AB100" s="1429"/>
      <c r="AC100" s="1429"/>
    </row>
    <row r="101" spans="1:29" ht="15" thickTop="1">
      <c r="A101" s="594"/>
      <c r="B101" s="533">
        <f>B36</f>
        <v>111</v>
      </c>
      <c r="C101" s="549"/>
      <c r="D101" s="549"/>
      <c r="E101" s="549"/>
      <c r="F101" s="549"/>
      <c r="G101" s="549"/>
      <c r="H101" s="550"/>
      <c r="I101" s="550"/>
      <c r="J101" s="550"/>
      <c r="K101" s="550"/>
      <c r="L101" s="551"/>
      <c r="M101" s="552"/>
      <c r="N101" s="1150"/>
      <c r="O101" s="1150"/>
      <c r="P101" s="1426"/>
      <c r="Q101" s="1420"/>
      <c r="R101" s="1142"/>
      <c r="S101" s="1142"/>
      <c r="T101" s="1142"/>
      <c r="U101" s="1142"/>
      <c r="V101" s="1142"/>
      <c r="W101" s="1142"/>
      <c r="X101" s="1142"/>
      <c r="Y101" s="1142"/>
      <c r="Z101" s="1142"/>
      <c r="AA101" s="1142"/>
      <c r="AB101" s="1142"/>
      <c r="AC101" s="1142"/>
    </row>
    <row r="102" spans="1:29" ht="15.75" thickBot="1">
      <c r="A102" s="529"/>
      <c r="B102" s="538"/>
      <c r="C102" s="555"/>
      <c r="D102" s="555"/>
      <c r="E102" s="555"/>
      <c r="F102" s="555"/>
      <c r="G102" s="555"/>
      <c r="H102" s="557"/>
      <c r="I102" s="557"/>
      <c r="J102" s="557"/>
      <c r="K102" s="557"/>
      <c r="L102" s="557"/>
      <c r="M102" s="558"/>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2709</v>
      </c>
      <c r="B1" s="1616"/>
      <c r="C1" s="1617" t="s">
        <v>2533</v>
      </c>
      <c r="D1" s="1618"/>
      <c r="E1" s="1627"/>
      <c r="F1" s="2584"/>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2330</v>
      </c>
      <c r="B2" s="1415" t="e">
        <f ca="1">IF(C2="——",ROUND(C37*D3/10000,0),ROUND(C37*D3/10000,0)-D2)</f>
        <v>#DIV/0!</v>
      </c>
      <c r="C2" s="2586"/>
      <c r="D2" s="1122" t="e">
        <f ca="1">SUMIF(INDIRECT("'"&amp;F2&amp;"'"&amp;"!A:A"),"承租人权益价值",INDIRECT("'"&amp;F2&amp;"'"&amp;"!c:c"))</f>
        <v>#REF!</v>
      </c>
      <c r="E2" s="2587" t="s">
        <v>2331</v>
      </c>
      <c r="F2" s="2588"/>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5" customFormat="1" ht="28.5" customHeight="1" thickBot="1">
      <c r="A3" s="244" t="s">
        <v>2332</v>
      </c>
      <c r="B3" s="604" t="e">
        <f ca="1">IF(C2="——",C37,ROUND(B2*10000/D3,0))</f>
        <v>#DIV/0!</v>
      </c>
      <c r="C3" s="397" t="s">
        <v>2646</v>
      </c>
      <c r="D3" s="396">
        <f>SUMIF('数据-汇总表'!$C19:$C33,D1,'数据-汇总表'!$E19:$E33)</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8" t="s">
        <v>2647</v>
      </c>
      <c r="B4" s="399"/>
      <c r="C4" s="3330" t="s">
        <v>2648</v>
      </c>
      <c r="D4" s="3331"/>
      <c r="E4" s="3332" t="s">
        <v>2649</v>
      </c>
      <c r="F4" s="3333"/>
      <c r="G4" s="3330" t="s">
        <v>2650</v>
      </c>
      <c r="H4" s="3331"/>
      <c r="I4" s="3330" t="s">
        <v>2651</v>
      </c>
      <c r="J4" s="3331"/>
      <c r="K4" s="605" t="s">
        <v>2652</v>
      </c>
      <c r="L4" s="1128"/>
      <c r="M4" s="1129"/>
      <c r="N4" s="1129"/>
      <c r="O4" s="1129"/>
      <c r="P4" s="3334" t="s">
        <v>2653</v>
      </c>
      <c r="Q4" s="3335"/>
      <c r="R4" s="3340" t="s">
        <v>2649</v>
      </c>
      <c r="S4" s="3341"/>
      <c r="T4" s="3340" t="s">
        <v>2650</v>
      </c>
      <c r="U4" s="3341"/>
      <c r="V4" s="3346" t="s">
        <v>2651</v>
      </c>
      <c r="W4" s="3346"/>
      <c r="X4" s="1810"/>
      <c r="Y4" s="3340" t="s">
        <v>2653</v>
      </c>
      <c r="Z4" s="3341"/>
      <c r="AA4" s="3327" t="s">
        <v>2649</v>
      </c>
      <c r="AB4" s="3328" t="s">
        <v>2650</v>
      </c>
      <c r="AC4" s="3327" t="s">
        <v>2651</v>
      </c>
    </row>
    <row r="5" spans="1:29" ht="15">
      <c r="A5" s="401"/>
      <c r="B5" s="402"/>
      <c r="C5" s="3386" t="s">
        <v>2544</v>
      </c>
      <c r="D5" s="3355"/>
      <c r="E5" s="3388" t="s">
        <v>2545</v>
      </c>
      <c r="F5" s="3350"/>
      <c r="G5" s="3386" t="s">
        <v>2546</v>
      </c>
      <c r="H5" s="3355"/>
      <c r="I5" s="3386" t="s">
        <v>2547</v>
      </c>
      <c r="J5" s="3355"/>
      <c r="K5" s="605"/>
      <c r="L5" s="1128"/>
      <c r="M5" s="1129"/>
      <c r="N5" s="1129"/>
      <c r="O5" s="1129"/>
      <c r="P5" s="3336"/>
      <c r="Q5" s="3337"/>
      <c r="R5" s="3342"/>
      <c r="S5" s="3343"/>
      <c r="T5" s="3342"/>
      <c r="U5" s="3343"/>
      <c r="V5" s="3346"/>
      <c r="W5" s="3346"/>
      <c r="X5" s="1810"/>
      <c r="Y5" s="3342"/>
      <c r="Z5" s="3343"/>
      <c r="AA5" s="3328"/>
      <c r="AB5" s="3328"/>
      <c r="AC5" s="3328"/>
    </row>
    <row r="6" spans="1:29" ht="15.75" thickBot="1">
      <c r="A6" s="403"/>
      <c r="B6" s="404"/>
      <c r="C6" s="3385" t="s">
        <v>2548</v>
      </c>
      <c r="D6" s="3357"/>
      <c r="E6" s="3387" t="s">
        <v>2548</v>
      </c>
      <c r="F6" s="3348"/>
      <c r="G6" s="3385" t="s">
        <v>2548</v>
      </c>
      <c r="H6" s="3357"/>
      <c r="I6" s="3385" t="s">
        <v>2548</v>
      </c>
      <c r="J6" s="3357"/>
      <c r="K6" s="605" t="s">
        <v>2549</v>
      </c>
      <c r="L6" s="1128"/>
      <c r="M6" s="1129"/>
      <c r="N6" s="1129"/>
      <c r="O6" s="1129"/>
      <c r="P6" s="3338"/>
      <c r="Q6" s="3339"/>
      <c r="R6" s="3342"/>
      <c r="S6" s="3343"/>
      <c r="T6" s="3344"/>
      <c r="U6" s="3345"/>
      <c r="V6" s="3346"/>
      <c r="W6" s="3346"/>
      <c r="X6" s="1810"/>
      <c r="Y6" s="3344"/>
      <c r="Z6" s="3345"/>
      <c r="AA6" s="3329"/>
      <c r="AB6" s="3329"/>
      <c r="AC6" s="3329"/>
    </row>
    <row r="7" spans="1:29" s="116" customFormat="1" ht="15.75" thickBot="1">
      <c r="A7" s="405" t="s">
        <v>2550</v>
      </c>
      <c r="B7" s="406"/>
      <c r="C7" s="407">
        <f>'数据-取费表'!B2</f>
        <v>43621</v>
      </c>
      <c r="D7" s="408">
        <v>100</v>
      </c>
      <c r="E7" s="409"/>
      <c r="F7" s="410">
        <f>SUMIF(46:46,YEAR(E7)&amp;"-"&amp;MONTH(E7),47:47)</f>
        <v>0</v>
      </c>
      <c r="G7" s="2696"/>
      <c r="H7" s="408">
        <f>SUMIF(46:46,YEAR(G7)&amp;"-"&amp;MONTH(G7),47:47)</f>
        <v>0</v>
      </c>
      <c r="I7" s="409"/>
      <c r="J7" s="408">
        <f>SUMIF(46:46,YEAR(I7)&amp;"-"&amp;MONTH(I7),47:47)</f>
        <v>0</v>
      </c>
      <c r="K7" s="606"/>
      <c r="L7" s="1130"/>
      <c r="M7" s="1131"/>
      <c r="N7" s="1131"/>
      <c r="O7" s="1131"/>
      <c r="P7" s="3351" t="s">
        <v>2551</v>
      </c>
      <c r="Q7" s="3353"/>
      <c r="R7" s="765" t="s">
        <v>17</v>
      </c>
      <c r="S7" s="766">
        <f t="shared" ref="S7:S14" si="0">F7</f>
        <v>0</v>
      </c>
      <c r="T7" s="765" t="s">
        <v>17</v>
      </c>
      <c r="U7" s="766">
        <f t="shared" ref="U7:U14" si="1">H7</f>
        <v>0</v>
      </c>
      <c r="V7" s="765" t="s">
        <v>17</v>
      </c>
      <c r="W7" s="766">
        <f t="shared" ref="W7:W14" si="2">J7</f>
        <v>0</v>
      </c>
      <c r="X7" s="767"/>
      <c r="Y7" s="3351" t="s">
        <v>2551</v>
      </c>
      <c r="Z7" s="3352"/>
      <c r="AA7" s="768" t="e">
        <f>D7/F7</f>
        <v>#DIV/0!</v>
      </c>
      <c r="AB7" s="768" t="e">
        <f>D7/H7</f>
        <v>#DIV/0!</v>
      </c>
      <c r="AC7" s="768" t="e">
        <f>D7/J7</f>
        <v>#DIV/0!</v>
      </c>
    </row>
    <row r="8" spans="1:29" s="116" customFormat="1" ht="15.75" thickBot="1">
      <c r="A8" s="405" t="s">
        <v>2552</v>
      </c>
      <c r="B8" s="406"/>
      <c r="C8" s="411" t="s">
        <v>2654</v>
      </c>
      <c r="D8" s="408">
        <v>100</v>
      </c>
      <c r="E8" s="411"/>
      <c r="F8" s="410">
        <f>SUMIF(49:49,E8,50:50)-SUMIF(49:49,C8,50:50)+100</f>
        <v>0</v>
      </c>
      <c r="G8" s="411"/>
      <c r="H8" s="408">
        <f>SUMIF(49:49,G8,50:50)-SUMIF(49:49,C8,50:50)+100</f>
        <v>0</v>
      </c>
      <c r="I8" s="411"/>
      <c r="J8" s="408">
        <f>SUMIF(49:49,I8,50:50)-SUMIF(49:49,C8,50:50)+100</f>
        <v>0</v>
      </c>
      <c r="K8" s="606"/>
      <c r="L8" s="1130"/>
      <c r="M8" s="1131"/>
      <c r="N8" s="1131"/>
      <c r="O8" s="1131"/>
      <c r="P8" s="3351" t="s">
        <v>2554</v>
      </c>
      <c r="Q8" s="3352"/>
      <c r="R8" s="765" t="s">
        <v>17</v>
      </c>
      <c r="S8" s="766">
        <f t="shared" si="0"/>
        <v>0</v>
      </c>
      <c r="T8" s="765" t="s">
        <v>17</v>
      </c>
      <c r="U8" s="766">
        <f t="shared" si="1"/>
        <v>0</v>
      </c>
      <c r="V8" s="765" t="s">
        <v>17</v>
      </c>
      <c r="W8" s="766">
        <f t="shared" si="2"/>
        <v>0</v>
      </c>
      <c r="X8" s="767"/>
      <c r="Y8" s="3351" t="s">
        <v>2554</v>
      </c>
      <c r="Z8" s="3352"/>
      <c r="AA8" s="768" t="e">
        <f t="shared" ref="AA8:AA34" si="3">D8/F8</f>
        <v>#DIV/0!</v>
      </c>
      <c r="AB8" s="768" t="e">
        <f t="shared" ref="AB8:AB34" si="4">D8/H8</f>
        <v>#DIV/0!</v>
      </c>
      <c r="AC8" s="768" t="e">
        <f t="shared" ref="AC8:AC34" si="5">D8/J8</f>
        <v>#DIV/0!</v>
      </c>
    </row>
    <row r="9" spans="1:29" s="116" customFormat="1">
      <c r="A9" s="412" t="s">
        <v>2555</v>
      </c>
      <c r="B9" s="71" t="s">
        <v>2556</v>
      </c>
      <c r="C9" s="413"/>
      <c r="D9" s="132">
        <v>100</v>
      </c>
      <c r="E9" s="416"/>
      <c r="F9" s="415">
        <f>SUMIF(51:51,E9,52:52)-SUMIF(51:51,C9,52:52)+100</f>
        <v>100</v>
      </c>
      <c r="G9" s="416"/>
      <c r="H9" s="132">
        <f>SUMIF(51:51,G9,52:52)-SUMIF(51:51,C9,52:52)+100</f>
        <v>100</v>
      </c>
      <c r="I9" s="416"/>
      <c r="J9" s="132">
        <f>SUMIF(51:51,I9,52:52)-SUMIF(51:51,C9,52:52)+100</f>
        <v>100</v>
      </c>
      <c r="K9" s="606"/>
      <c r="L9" s="1130"/>
      <c r="M9" s="1131"/>
      <c r="N9" s="1131"/>
      <c r="O9" s="1132"/>
      <c r="P9" s="3315" t="s">
        <v>2557</v>
      </c>
      <c r="Q9" s="1792" t="str">
        <f t="shared" ref="Q9:Q14" si="6">B9</f>
        <v>用途</v>
      </c>
      <c r="R9" s="765" t="s">
        <v>17</v>
      </c>
      <c r="S9" s="766">
        <f t="shared" si="0"/>
        <v>100</v>
      </c>
      <c r="T9" s="765" t="s">
        <v>17</v>
      </c>
      <c r="U9" s="766">
        <f t="shared" si="1"/>
        <v>100</v>
      </c>
      <c r="V9" s="765" t="s">
        <v>17</v>
      </c>
      <c r="W9" s="766">
        <f t="shared" si="2"/>
        <v>100</v>
      </c>
      <c r="X9" s="767"/>
      <c r="Y9" s="3167" t="s">
        <v>2558</v>
      </c>
      <c r="Z9" s="55" t="str">
        <f t="shared" ref="Z9:Z14" si="7">Q9</f>
        <v>用途</v>
      </c>
      <c r="AA9" s="768">
        <f t="shared" si="3"/>
        <v>1</v>
      </c>
      <c r="AB9" s="768">
        <f t="shared" si="4"/>
        <v>1</v>
      </c>
      <c r="AC9" s="768">
        <f t="shared" si="5"/>
        <v>1</v>
      </c>
    </row>
    <row r="10" spans="1:29" s="424" customFormat="1" ht="27">
      <c r="A10" s="418"/>
      <c r="B10" s="419" t="s">
        <v>2559</v>
      </c>
      <c r="C10" s="420"/>
      <c r="D10" s="133">
        <v>100</v>
      </c>
      <c r="E10" s="420"/>
      <c r="F10" s="422">
        <f>SUMIF(53:53,E10,54:54)-SUMIF(53:53,C10,54:54)+100</f>
        <v>100</v>
      </c>
      <c r="G10" s="420"/>
      <c r="H10" s="133">
        <f>SUMIF(53:53,G10,54:54)-SUMIF(53:53,C10,54:54)+100</f>
        <v>100</v>
      </c>
      <c r="I10" s="420"/>
      <c r="J10" s="133">
        <f>SUMIF(53:53,I10,54:54)-SUMIF(53:53,C10,54:54)+100</f>
        <v>100</v>
      </c>
      <c r="K10" s="607"/>
      <c r="L10" s="1133"/>
      <c r="M10" s="1134"/>
      <c r="N10" s="1134"/>
      <c r="O10" s="1135"/>
      <c r="P10" s="3315"/>
      <c r="Q10" s="1792" t="str">
        <f t="shared" si="6"/>
        <v>土地使用年限（年）</v>
      </c>
      <c r="R10" s="765" t="s">
        <v>17</v>
      </c>
      <c r="S10" s="766">
        <f t="shared" si="0"/>
        <v>100</v>
      </c>
      <c r="T10" s="765" t="s">
        <v>17</v>
      </c>
      <c r="U10" s="766">
        <f t="shared" si="1"/>
        <v>100</v>
      </c>
      <c r="V10" s="765" t="s">
        <v>17</v>
      </c>
      <c r="W10" s="766">
        <f t="shared" si="2"/>
        <v>100</v>
      </c>
      <c r="X10" s="767"/>
      <c r="Y10" s="3167"/>
      <c r="Z10" s="55" t="str">
        <f t="shared" si="7"/>
        <v>土地使用年限（年）</v>
      </c>
      <c r="AA10" s="768">
        <f t="shared" si="3"/>
        <v>1</v>
      </c>
      <c r="AB10" s="768">
        <f t="shared" si="4"/>
        <v>1</v>
      </c>
      <c r="AC10" s="768">
        <f t="shared" si="5"/>
        <v>1</v>
      </c>
    </row>
    <row r="11" spans="1:29" ht="15">
      <c r="A11" s="425"/>
      <c r="B11" s="2600">
        <v>111</v>
      </c>
      <c r="C11" s="429"/>
      <c r="D11" s="133">
        <v>100</v>
      </c>
      <c r="E11" s="464"/>
      <c r="F11" s="422">
        <f>SUMIF(55:55,E11,56:56)-SUMIF(55:55,C11,56:56)+100</f>
        <v>100</v>
      </c>
      <c r="G11" s="464"/>
      <c r="H11" s="133">
        <f>SUMIF(55:55,G11,56:56)-SUMIF(55:55,C11,56:56)+100</f>
        <v>100</v>
      </c>
      <c r="I11" s="464"/>
      <c r="J11" s="133">
        <f>SUMIF(55:55,I11,56:56)-SUMIF(55:55,C11,56:56)+100</f>
        <v>100</v>
      </c>
      <c r="K11" s="608"/>
      <c r="L11" s="1136"/>
      <c r="M11" s="1129"/>
      <c r="N11" s="1129"/>
      <c r="O11" s="1137"/>
      <c r="P11" s="3315"/>
      <c r="Q11" s="1792">
        <f t="shared" si="6"/>
        <v>111</v>
      </c>
      <c r="R11" s="765" t="s">
        <v>17</v>
      </c>
      <c r="S11" s="766">
        <f t="shared" si="0"/>
        <v>100</v>
      </c>
      <c r="T11" s="765" t="s">
        <v>17</v>
      </c>
      <c r="U11" s="766">
        <f t="shared" si="1"/>
        <v>100</v>
      </c>
      <c r="V11" s="765" t="s">
        <v>17</v>
      </c>
      <c r="W11" s="766">
        <f t="shared" si="2"/>
        <v>100</v>
      </c>
      <c r="X11" s="767"/>
      <c r="Y11" s="3167"/>
      <c r="Z11" s="55">
        <f t="shared" si="7"/>
        <v>111</v>
      </c>
      <c r="AA11" s="768">
        <f t="shared" si="3"/>
        <v>1</v>
      </c>
      <c r="AB11" s="768">
        <f t="shared" si="4"/>
        <v>1</v>
      </c>
      <c r="AC11" s="768">
        <f t="shared" si="5"/>
        <v>1</v>
      </c>
    </row>
    <row r="12" spans="1:29" s="116" customFormat="1" ht="15">
      <c r="A12" s="428"/>
      <c r="B12" s="2600">
        <v>111</v>
      </c>
      <c r="C12" s="429"/>
      <c r="D12" s="430">
        <v>100</v>
      </c>
      <c r="E12" s="464"/>
      <c r="F12" s="422">
        <f>SUMIF(57:57,E12,58:58)-SUMIF(57:57,C12,58:58)+100</f>
        <v>100</v>
      </c>
      <c r="G12" s="464"/>
      <c r="H12" s="133">
        <f>SUMIF(57:57,G12,58:58)-SUMIF(57:57,C12,58:58)+100</f>
        <v>100</v>
      </c>
      <c r="I12" s="464"/>
      <c r="J12" s="133">
        <f>SUMIF(57:57,I12,58:58)-SUMIF(57:57,C12,58:58)+100</f>
        <v>100</v>
      </c>
      <c r="K12" s="608"/>
      <c r="L12" s="1130"/>
      <c r="M12" s="1131"/>
      <c r="N12" s="1131"/>
      <c r="O12" s="1132"/>
      <c r="P12" s="3315"/>
      <c r="Q12" s="1792">
        <f t="shared" si="6"/>
        <v>111</v>
      </c>
      <c r="R12" s="765" t="s">
        <v>17</v>
      </c>
      <c r="S12" s="766">
        <f t="shared" si="0"/>
        <v>100</v>
      </c>
      <c r="T12" s="765" t="s">
        <v>17</v>
      </c>
      <c r="U12" s="766">
        <f t="shared" si="1"/>
        <v>100</v>
      </c>
      <c r="V12" s="765" t="s">
        <v>17</v>
      </c>
      <c r="W12" s="766">
        <f t="shared" si="2"/>
        <v>100</v>
      </c>
      <c r="X12" s="767"/>
      <c r="Y12" s="3167"/>
      <c r="Z12" s="55">
        <f t="shared" si="7"/>
        <v>111</v>
      </c>
      <c r="AA12" s="768">
        <f>D12/F12</f>
        <v>1</v>
      </c>
      <c r="AB12" s="768">
        <f>D12/H12</f>
        <v>1</v>
      </c>
      <c r="AC12" s="768">
        <f>D12/J12</f>
        <v>1</v>
      </c>
    </row>
    <row r="13" spans="1:29" ht="15.75" thickBot="1">
      <c r="A13" s="425"/>
      <c r="B13" s="2600">
        <v>111</v>
      </c>
      <c r="C13" s="431"/>
      <c r="D13" s="432">
        <v>100</v>
      </c>
      <c r="E13" s="464"/>
      <c r="F13" s="422">
        <f>SUMIF(59:59,E13,60:60)-SUMIF(59:59,C13,60:60)+100</f>
        <v>100</v>
      </c>
      <c r="G13" s="2697"/>
      <c r="H13" s="435">
        <f>SUMIF(59:59,G13,60:60)-SUMIF(59:59,C13,60:60)+100</f>
        <v>100</v>
      </c>
      <c r="I13" s="464"/>
      <c r="J13" s="432">
        <f>SUMIF(59:59,I13,60:60)-SUMIF(59:59,C13,60:60)+100</f>
        <v>100</v>
      </c>
      <c r="K13" s="608"/>
      <c r="L13" s="1138"/>
      <c r="M13" s="1129"/>
      <c r="N13" s="1129"/>
      <c r="O13" s="1137"/>
      <c r="P13" s="3315"/>
      <c r="Q13" s="1792">
        <f t="shared" si="6"/>
        <v>111</v>
      </c>
      <c r="R13" s="765" t="s">
        <v>17</v>
      </c>
      <c r="S13" s="766">
        <f t="shared" si="0"/>
        <v>100</v>
      </c>
      <c r="T13" s="765" t="s">
        <v>17</v>
      </c>
      <c r="U13" s="766">
        <f t="shared" si="1"/>
        <v>100</v>
      </c>
      <c r="V13" s="765" t="s">
        <v>17</v>
      </c>
      <c r="W13" s="766">
        <f t="shared" si="2"/>
        <v>100</v>
      </c>
      <c r="X13" s="767"/>
      <c r="Y13" s="3167"/>
      <c r="Z13" s="55">
        <f t="shared" si="7"/>
        <v>111</v>
      </c>
      <c r="AA13" s="768">
        <f t="shared" si="3"/>
        <v>1</v>
      </c>
      <c r="AB13" s="768">
        <f t="shared" si="4"/>
        <v>1</v>
      </c>
      <c r="AC13" s="768">
        <f t="shared" si="5"/>
        <v>1</v>
      </c>
    </row>
    <row r="14" spans="1:29" ht="185.25">
      <c r="A14" s="437" t="s">
        <v>2561</v>
      </c>
      <c r="B14" s="69" t="s">
        <v>2711</v>
      </c>
      <c r="C14" s="2693"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8">
        <v>100</v>
      </c>
      <c r="E14" s="439"/>
      <c r="F14" s="440">
        <f>SUMIF(61:61,E15,62:62)-SUMIF(61:61,C15,62:62)+100</f>
        <v>100</v>
      </c>
      <c r="G14" s="441"/>
      <c r="H14" s="438">
        <f>SUMIF(61:61,G15,62:62)-SUMIF(61:61,C15,62:62)+100</f>
        <v>100</v>
      </c>
      <c r="I14" s="439"/>
      <c r="J14" s="438">
        <f>SUMIF(61:61,I15,62:62)-SUMIF(61:61,C15,62:62)+100</f>
        <v>100</v>
      </c>
      <c r="K14" s="609"/>
      <c r="L14" s="1138"/>
      <c r="M14" s="1129"/>
      <c r="N14" s="1129"/>
      <c r="O14" s="1137"/>
      <c r="P14" s="3317" t="s">
        <v>2562</v>
      </c>
      <c r="Q14" s="1807" t="str">
        <f t="shared" si="6"/>
        <v>交通便捷度</v>
      </c>
      <c r="R14" s="769" t="s">
        <v>17</v>
      </c>
      <c r="S14" s="770">
        <f t="shared" si="0"/>
        <v>100</v>
      </c>
      <c r="T14" s="769" t="s">
        <v>17</v>
      </c>
      <c r="U14" s="770">
        <f t="shared" si="1"/>
        <v>100</v>
      </c>
      <c r="V14" s="769" t="s">
        <v>17</v>
      </c>
      <c r="W14" s="770">
        <f t="shared" si="2"/>
        <v>100</v>
      </c>
      <c r="X14" s="1810"/>
      <c r="Y14" s="3317" t="s">
        <v>2562</v>
      </c>
      <c r="Z14" s="1811" t="str">
        <f t="shared" si="7"/>
        <v>交通便捷度</v>
      </c>
      <c r="AA14" s="1808">
        <f t="shared" si="3"/>
        <v>1</v>
      </c>
      <c r="AB14" s="1808">
        <f t="shared" si="4"/>
        <v>1</v>
      </c>
      <c r="AC14" s="1808">
        <f t="shared" si="5"/>
        <v>1</v>
      </c>
    </row>
    <row r="15" spans="1:29" ht="15">
      <c r="A15" s="425"/>
      <c r="B15" s="443"/>
      <c r="C15" s="444"/>
      <c r="D15" s="445"/>
      <c r="E15" s="444"/>
      <c r="F15" s="446"/>
      <c r="G15" s="444"/>
      <c r="H15" s="447"/>
      <c r="I15" s="444"/>
      <c r="J15" s="445"/>
      <c r="K15" s="610"/>
      <c r="L15" s="1138"/>
      <c r="M15" s="1129"/>
      <c r="N15" s="1129"/>
      <c r="O15" s="1137"/>
      <c r="P15" s="3318"/>
      <c r="Q15" s="1807"/>
      <c r="R15" s="769"/>
      <c r="S15" s="770"/>
      <c r="T15" s="769"/>
      <c r="U15" s="770"/>
      <c r="V15" s="769"/>
      <c r="W15" s="770"/>
      <c r="X15" s="1810"/>
      <c r="Y15" s="3318"/>
      <c r="Z15" s="1811"/>
      <c r="AA15" s="1808">
        <v>1</v>
      </c>
      <c r="AB15" s="1808">
        <v>1</v>
      </c>
      <c r="AC15" s="1808">
        <v>1</v>
      </c>
    </row>
    <row r="16" spans="1:29" ht="142.5">
      <c r="A16" s="425"/>
      <c r="B16" s="448" t="s">
        <v>2690</v>
      </c>
      <c r="C16" s="2607" t="str">
        <f>IF(B1="工业",估价对象房地状况!G5,估价对象房地状况!C7)</f>
        <v>估价对象周边有教育机构（育鹰小学、西二旗小学）、医疗设施（清河社区卫生服务站）、金融机构（农商银行、建设银行）等，公共配套设施状况一般。</v>
      </c>
      <c r="D16" s="452">
        <v>100</v>
      </c>
      <c r="E16" s="454"/>
      <c r="F16" s="455">
        <f>SUMIF(63:63,E17,64:64)-SUMIF(63:63,C17,64:64)+100</f>
        <v>100</v>
      </c>
      <c r="G16" s="456"/>
      <c r="H16" s="452">
        <f>SUMIF(63:63,G17,64:64)-SUMIF(63:63,C17,64:64)+100</f>
        <v>100</v>
      </c>
      <c r="I16" s="454"/>
      <c r="J16" s="452">
        <f>SUMIF(63:63,I17,64:64)-SUMIF(63:63,C17,64:64)+100</f>
        <v>100</v>
      </c>
      <c r="K16" s="609"/>
      <c r="L16" s="1138"/>
      <c r="M16" s="1129"/>
      <c r="N16" s="1129"/>
      <c r="O16" s="1137"/>
      <c r="P16" s="3318"/>
      <c r="Q16" s="1807" t="str">
        <f>B16</f>
        <v>公共配套设施</v>
      </c>
      <c r="R16" s="769" t="s">
        <v>17</v>
      </c>
      <c r="S16" s="770">
        <f>F16</f>
        <v>100</v>
      </c>
      <c r="T16" s="769" t="s">
        <v>17</v>
      </c>
      <c r="U16" s="770">
        <f>H16</f>
        <v>100</v>
      </c>
      <c r="V16" s="769" t="s">
        <v>17</v>
      </c>
      <c r="W16" s="770">
        <f>J16</f>
        <v>100</v>
      </c>
      <c r="X16" s="1810"/>
      <c r="Y16" s="3318"/>
      <c r="Z16" s="1811" t="str">
        <f>Q16</f>
        <v>公共配套设施</v>
      </c>
      <c r="AA16" s="1808">
        <f t="shared" si="3"/>
        <v>1</v>
      </c>
      <c r="AB16" s="1808">
        <f t="shared" si="4"/>
        <v>1</v>
      </c>
      <c r="AC16" s="1808">
        <f t="shared" si="5"/>
        <v>1</v>
      </c>
    </row>
    <row r="17" spans="1:29" ht="15">
      <c r="A17" s="425"/>
      <c r="B17" s="453"/>
      <c r="C17" s="2608"/>
      <c r="D17" s="445"/>
      <c r="E17" s="444"/>
      <c r="F17" s="446"/>
      <c r="G17" s="444"/>
      <c r="H17" s="445"/>
      <c r="I17" s="444"/>
      <c r="J17" s="445"/>
      <c r="K17" s="610"/>
      <c r="L17" s="1138"/>
      <c r="M17" s="1129"/>
      <c r="N17" s="1129"/>
      <c r="O17" s="1137"/>
      <c r="P17" s="3318"/>
      <c r="Q17" s="1807"/>
      <c r="R17" s="769"/>
      <c r="S17" s="770"/>
      <c r="T17" s="769"/>
      <c r="U17" s="770"/>
      <c r="V17" s="769"/>
      <c r="W17" s="770"/>
      <c r="X17" s="1810"/>
      <c r="Y17" s="3318"/>
      <c r="Z17" s="1811"/>
      <c r="AA17" s="1808">
        <v>1</v>
      </c>
      <c r="AB17" s="1808">
        <v>1</v>
      </c>
      <c r="AC17" s="1808">
        <v>1</v>
      </c>
    </row>
    <row r="18" spans="1:29" ht="42.75">
      <c r="A18" s="425"/>
      <c r="B18" s="1382" t="s">
        <v>2691</v>
      </c>
      <c r="C18" s="2607" t="str">
        <f>IF(B1="工业",估价对象房地状况!G6,估价对象房地状况!C8)</f>
        <v>估价对象所在区域基础设施水平为五通一平</v>
      </c>
      <c r="D18" s="452">
        <v>100</v>
      </c>
      <c r="E18" s="449"/>
      <c r="F18" s="455">
        <f>SUMIF(65:65,E19,66:66)-SUMIF(65:65,C19,66:66)+100</f>
        <v>100</v>
      </c>
      <c r="G18" s="451"/>
      <c r="H18" s="452">
        <f>SUMIF(65:65,G19,66:66)-SUMIF(65:65,C19,66:66)+100</f>
        <v>100</v>
      </c>
      <c r="I18" s="454"/>
      <c r="J18" s="452">
        <f>SUMIF(65:65,I19,66:66)-SUMIF(65:65,C19,66:66)+100</f>
        <v>100</v>
      </c>
      <c r="K18" s="609"/>
      <c r="L18" s="1138"/>
      <c r="M18" s="1129"/>
      <c r="N18" s="1129"/>
      <c r="O18" s="1137"/>
      <c r="P18" s="3318"/>
      <c r="Q18" s="1807" t="str">
        <f>B18</f>
        <v>基础设施水平</v>
      </c>
      <c r="R18" s="769" t="s">
        <v>17</v>
      </c>
      <c r="S18" s="770">
        <f>F18</f>
        <v>100</v>
      </c>
      <c r="T18" s="769" t="s">
        <v>17</v>
      </c>
      <c r="U18" s="770">
        <f>H18</f>
        <v>100</v>
      </c>
      <c r="V18" s="769" t="s">
        <v>17</v>
      </c>
      <c r="W18" s="770">
        <f>J18</f>
        <v>100</v>
      </c>
      <c r="X18" s="1810"/>
      <c r="Y18" s="3318"/>
      <c r="Z18" s="1811" t="str">
        <f>Q18</f>
        <v>基础设施水平</v>
      </c>
      <c r="AA18" s="1808">
        <f t="shared" ref="AA18" si="8">D18/F18</f>
        <v>1</v>
      </c>
      <c r="AB18" s="1808">
        <f t="shared" ref="AB18" si="9">D18/H18</f>
        <v>1</v>
      </c>
      <c r="AC18" s="1808">
        <f t="shared" ref="AC18" si="10">D18/J18</f>
        <v>1</v>
      </c>
    </row>
    <row r="19" spans="1:29" ht="15">
      <c r="A19" s="425"/>
      <c r="B19" s="1382"/>
      <c r="C19" s="2608"/>
      <c r="D19" s="447"/>
      <c r="E19" s="2608"/>
      <c r="F19" s="450"/>
      <c r="G19" s="2608"/>
      <c r="H19" s="445"/>
      <c r="I19" s="444"/>
      <c r="J19" s="445"/>
      <c r="K19" s="1381"/>
      <c r="L19" s="1138"/>
      <c r="M19" s="1129"/>
      <c r="N19" s="1129"/>
      <c r="O19" s="1137"/>
      <c r="P19" s="3318"/>
      <c r="Q19" s="1807"/>
      <c r="R19" s="769"/>
      <c r="S19" s="770"/>
      <c r="T19" s="769"/>
      <c r="U19" s="770"/>
      <c r="V19" s="769"/>
      <c r="W19" s="770"/>
      <c r="X19" s="1810"/>
      <c r="Y19" s="3318"/>
      <c r="Z19" s="1811"/>
      <c r="AA19" s="1808">
        <v>1</v>
      </c>
      <c r="AB19" s="1808">
        <v>1</v>
      </c>
      <c r="AC19" s="1808">
        <v>1</v>
      </c>
    </row>
    <row r="20" spans="1:29" ht="114">
      <c r="A20" s="425"/>
      <c r="B20" s="448" t="s">
        <v>2712</v>
      </c>
      <c r="C20" s="2607" t="str">
        <f>IF(B1="工业",估价对象房地状况!G7,估价对象房地状况!C9)</f>
        <v>估价对象西北侧隔路有加油站；周边2公里范围内无大型绿化及博物馆、高等教育学校等人文设施；综合评价环境状况较差。</v>
      </c>
      <c r="D20" s="452">
        <v>100</v>
      </c>
      <c r="E20" s="454"/>
      <c r="F20" s="455">
        <f>SUMIF(67:67,E21,68:68)-SUMIF(67:67,C21,68:68)+100</f>
        <v>100</v>
      </c>
      <c r="G20" s="456"/>
      <c r="H20" s="447">
        <f>SUMIF(67:67,G21,68:68)-SUMIF(67:67,C21,68:68)+100</f>
        <v>100</v>
      </c>
      <c r="I20" s="449"/>
      <c r="J20" s="447">
        <f>SUMIF(67:67,I21,68:68)-SUMIF(67:67,C21,68:68)+100</f>
        <v>100</v>
      </c>
      <c r="K20" s="609"/>
      <c r="L20" s="1138"/>
      <c r="M20" s="1129"/>
      <c r="N20" s="1129"/>
      <c r="O20" s="1137"/>
      <c r="P20" s="3318"/>
      <c r="Q20" s="1807" t="str">
        <f>B20</f>
        <v>自然及人文环境</v>
      </c>
      <c r="R20" s="769" t="s">
        <v>17</v>
      </c>
      <c r="S20" s="770">
        <f>F20</f>
        <v>100</v>
      </c>
      <c r="T20" s="769" t="s">
        <v>17</v>
      </c>
      <c r="U20" s="770">
        <f>H20</f>
        <v>100</v>
      </c>
      <c r="V20" s="769" t="s">
        <v>17</v>
      </c>
      <c r="W20" s="770">
        <f>J20</f>
        <v>100</v>
      </c>
      <c r="X20" s="1810"/>
      <c r="Y20" s="3318"/>
      <c r="Z20" s="1811" t="str">
        <f>Q20</f>
        <v>自然及人文环境</v>
      </c>
      <c r="AA20" s="1808">
        <f t="shared" si="3"/>
        <v>1</v>
      </c>
      <c r="AB20" s="1808">
        <f t="shared" si="4"/>
        <v>1</v>
      </c>
      <c r="AC20" s="1808">
        <f t="shared" si="5"/>
        <v>1</v>
      </c>
    </row>
    <row r="21" spans="1:29" ht="15">
      <c r="A21" s="425"/>
      <c r="B21" s="453"/>
      <c r="C21" s="444"/>
      <c r="D21" s="445"/>
      <c r="E21" s="444"/>
      <c r="F21" s="446"/>
      <c r="G21" s="444"/>
      <c r="H21" s="445"/>
      <c r="I21" s="444"/>
      <c r="J21" s="445"/>
      <c r="K21" s="610"/>
      <c r="L21" s="1138"/>
      <c r="M21" s="1129"/>
      <c r="N21" s="1129"/>
      <c r="O21" s="1137"/>
      <c r="P21" s="3318"/>
      <c r="Q21" s="1807"/>
      <c r="R21" s="769"/>
      <c r="S21" s="770"/>
      <c r="T21" s="769"/>
      <c r="U21" s="770"/>
      <c r="V21" s="769"/>
      <c r="W21" s="770"/>
      <c r="X21" s="1810"/>
      <c r="Y21" s="3318"/>
      <c r="Z21" s="1811"/>
      <c r="AA21" s="1808">
        <v>1</v>
      </c>
      <c r="AB21" s="1808">
        <v>1</v>
      </c>
      <c r="AC21" s="1808">
        <v>1</v>
      </c>
    </row>
    <row r="22" spans="1:29" ht="15">
      <c r="A22" s="425"/>
      <c r="B22" s="448" t="s">
        <v>2713</v>
      </c>
      <c r="C22" s="611"/>
      <c r="D22" s="447">
        <v>100</v>
      </c>
      <c r="E22" s="611"/>
      <c r="F22" s="458">
        <f>SUMIF(69:69,E22,70:70)-SUMIF(69:69,C22,70:70)+100</f>
        <v>100</v>
      </c>
      <c r="G22" s="611"/>
      <c r="H22" s="432">
        <f>SUMIF(69:69,G22,70:70)-SUMIF(69:69,C22,70:70)+100</f>
        <v>100</v>
      </c>
      <c r="I22" s="611"/>
      <c r="J22" s="432">
        <f>SUMIF(69:69,I22,70:70)-SUMIF(69:69,C22,70:70)+100</f>
        <v>100</v>
      </c>
      <c r="K22" s="607"/>
      <c r="L22" s="1138"/>
      <c r="M22" s="1129"/>
      <c r="N22" s="1129"/>
      <c r="O22" s="1137"/>
      <c r="P22" s="3318"/>
      <c r="Q22" s="1807" t="str">
        <f>B22</f>
        <v>楼层</v>
      </c>
      <c r="R22" s="769" t="s">
        <v>17</v>
      </c>
      <c r="S22" s="770">
        <f>F22</f>
        <v>100</v>
      </c>
      <c r="T22" s="769" t="s">
        <v>17</v>
      </c>
      <c r="U22" s="770">
        <f>H22</f>
        <v>100</v>
      </c>
      <c r="V22" s="769" t="s">
        <v>17</v>
      </c>
      <c r="W22" s="770">
        <f>J22</f>
        <v>100</v>
      </c>
      <c r="X22" s="1810"/>
      <c r="Y22" s="3318"/>
      <c r="Z22" s="1811" t="str">
        <f>Q22</f>
        <v>楼层</v>
      </c>
      <c r="AA22" s="1808">
        <f t="shared" si="3"/>
        <v>1</v>
      </c>
      <c r="AB22" s="1808">
        <f t="shared" si="4"/>
        <v>1</v>
      </c>
      <c r="AC22" s="1808">
        <f t="shared" si="5"/>
        <v>1</v>
      </c>
    </row>
    <row r="23" spans="1:29" ht="15">
      <c r="A23" s="401"/>
      <c r="B23" s="2600">
        <v>111</v>
      </c>
      <c r="C23" s="429"/>
      <c r="D23" s="432">
        <v>100</v>
      </c>
      <c r="E23" s="431"/>
      <c r="F23" s="458">
        <f>SUMIF(71:71,E23,72:72)-SUMIF(71:71,C23,72:72)+100</f>
        <v>100</v>
      </c>
      <c r="G23" s="431"/>
      <c r="H23" s="432">
        <f>SUMIF(71:71,G23,72:72)-SUMIF(71:71,C23,72:72)+100</f>
        <v>100</v>
      </c>
      <c r="I23" s="431"/>
      <c r="J23" s="432">
        <f>SUMIF(71:71,I23,72:72)-SUMIF(71:71,C23,72:72)+100</f>
        <v>100</v>
      </c>
      <c r="K23" s="608"/>
      <c r="L23" s="1138"/>
      <c r="M23" s="1129"/>
      <c r="N23" s="1129"/>
      <c r="O23" s="1137"/>
      <c r="P23" s="3318"/>
      <c r="Q23" s="1807">
        <f>B23</f>
        <v>111</v>
      </c>
      <c r="R23" s="769" t="s">
        <v>17</v>
      </c>
      <c r="S23" s="770">
        <f>F23</f>
        <v>100</v>
      </c>
      <c r="T23" s="769" t="s">
        <v>17</v>
      </c>
      <c r="U23" s="770">
        <f>H23</f>
        <v>100</v>
      </c>
      <c r="V23" s="769" t="s">
        <v>17</v>
      </c>
      <c r="W23" s="770">
        <f>J23</f>
        <v>100</v>
      </c>
      <c r="X23" s="1810"/>
      <c r="Y23" s="3318"/>
      <c r="Z23" s="1811">
        <f>Q23</f>
        <v>111</v>
      </c>
      <c r="AA23" s="1808">
        <f t="shared" si="3"/>
        <v>1</v>
      </c>
      <c r="AB23" s="1808">
        <f t="shared" si="4"/>
        <v>1</v>
      </c>
      <c r="AC23" s="1808">
        <f t="shared" si="5"/>
        <v>1</v>
      </c>
    </row>
    <row r="24" spans="1:29" ht="15">
      <c r="A24" s="425"/>
      <c r="B24" s="2600">
        <v>111</v>
      </c>
      <c r="C24" s="429"/>
      <c r="D24" s="432">
        <v>100</v>
      </c>
      <c r="E24" s="431"/>
      <c r="F24" s="458">
        <f>SUMIF(73:73,E24,74:74)-SUMIF(73:73,C24,74:74)+100</f>
        <v>100</v>
      </c>
      <c r="G24" s="431"/>
      <c r="H24" s="432">
        <f>SUMIF(73:73,G24,74:74)-SUMIF(73:73,C24,74:74)+100</f>
        <v>100</v>
      </c>
      <c r="I24" s="431"/>
      <c r="J24" s="432">
        <f>SUMIF(73:73,I24,74:74)-SUMIF(73:73,C24,74:74)+100</f>
        <v>100</v>
      </c>
      <c r="K24" s="608"/>
      <c r="L24" s="1138"/>
      <c r="M24" s="1129"/>
      <c r="N24" s="1129"/>
      <c r="O24" s="1137"/>
      <c r="P24" s="3318"/>
      <c r="Q24" s="1807">
        <f t="shared" ref="Q24:Q34" si="11">B24</f>
        <v>111</v>
      </c>
      <c r="R24" s="769" t="s">
        <v>17</v>
      </c>
      <c r="S24" s="770">
        <f>F24</f>
        <v>100</v>
      </c>
      <c r="T24" s="769" t="s">
        <v>17</v>
      </c>
      <c r="U24" s="770">
        <f>H24</f>
        <v>100</v>
      </c>
      <c r="V24" s="769" t="s">
        <v>17</v>
      </c>
      <c r="W24" s="770">
        <f>J24</f>
        <v>100</v>
      </c>
      <c r="X24" s="1810"/>
      <c r="Y24" s="3318"/>
      <c r="Z24" s="1811">
        <f>Q24</f>
        <v>111</v>
      </c>
      <c r="AA24" s="1808">
        <f t="shared" si="3"/>
        <v>1</v>
      </c>
      <c r="AB24" s="1808">
        <f t="shared" si="4"/>
        <v>1</v>
      </c>
      <c r="AC24" s="1808">
        <f t="shared" si="5"/>
        <v>1</v>
      </c>
    </row>
    <row r="25" spans="1:29" s="116" customFormat="1" ht="15.75" thickBot="1">
      <c r="A25" s="428"/>
      <c r="B25" s="2600">
        <v>111</v>
      </c>
      <c r="C25" s="2698"/>
      <c r="D25" s="660">
        <v>100</v>
      </c>
      <c r="E25" s="2698"/>
      <c r="F25" s="661">
        <f>SUMIF(75:75,E25,76:76)-SUMIF(75:75,C25,76:76)+100</f>
        <v>100</v>
      </c>
      <c r="G25" s="2698"/>
      <c r="H25" s="660">
        <f>SUMIF(75:75,G25,76:76)-SUMIF(75:75,C25,76:76)+100</f>
        <v>100</v>
      </c>
      <c r="I25" s="2698"/>
      <c r="J25" s="660">
        <f>SUMIF(75:75,I25,76:76)-SUMIF(75:75,C25,76:76)+100</f>
        <v>100</v>
      </c>
      <c r="K25" s="608"/>
      <c r="L25" s="1130"/>
      <c r="M25" s="1131"/>
      <c r="N25" s="1131"/>
      <c r="O25" s="1132"/>
      <c r="P25" s="3318"/>
      <c r="Q25" s="1792">
        <f t="shared" si="11"/>
        <v>111</v>
      </c>
      <c r="R25" s="765" t="s">
        <v>17</v>
      </c>
      <c r="S25" s="766">
        <f>F25</f>
        <v>100</v>
      </c>
      <c r="T25" s="765" t="s">
        <v>17</v>
      </c>
      <c r="U25" s="766">
        <f>H25</f>
        <v>100</v>
      </c>
      <c r="V25" s="765" t="s">
        <v>17</v>
      </c>
      <c r="W25" s="766">
        <f>J25</f>
        <v>100</v>
      </c>
      <c r="X25" s="767"/>
      <c r="Y25" s="3318"/>
      <c r="Z25" s="55">
        <f>Q25</f>
        <v>111</v>
      </c>
      <c r="AA25" s="1808">
        <f>D25/F25</f>
        <v>1</v>
      </c>
      <c r="AB25" s="1808">
        <f>D25/H25</f>
        <v>1</v>
      </c>
      <c r="AC25" s="1808">
        <f>D25/J25</f>
        <v>1</v>
      </c>
    </row>
    <row r="26" spans="1:29" ht="28.5">
      <c r="A26" s="461" t="s">
        <v>2565</v>
      </c>
      <c r="B26" s="71" t="s">
        <v>2716</v>
      </c>
      <c r="C26" s="2679"/>
      <c r="D26" s="462">
        <v>100</v>
      </c>
      <c r="E26" s="2679"/>
      <c r="F26" s="662">
        <f>SUMIF(77:77,E26,78:78)-SUMIF(77:77,C26,78:78)+100</f>
        <v>100</v>
      </c>
      <c r="G26" s="2679"/>
      <c r="H26" s="462">
        <f>SUMIF(77:77,G26,78:78)-SUMIF(77:77,C26,78:78)+100</f>
        <v>100</v>
      </c>
      <c r="I26" s="2679"/>
      <c r="J26" s="462">
        <f>SUMIF(77:77,I26,78:78)-SUMIF(77:77,C26,78:78)+100</f>
        <v>100</v>
      </c>
      <c r="K26" s="607"/>
      <c r="L26" s="1138"/>
      <c r="M26" s="1129"/>
      <c r="N26" s="1129"/>
      <c r="O26" s="1137"/>
      <c r="P26" s="3404" t="s">
        <v>2567</v>
      </c>
      <c r="Q26" s="1807" t="str">
        <f t="shared" si="11"/>
        <v>公共部分装修</v>
      </c>
      <c r="R26" s="769" t="s">
        <v>17</v>
      </c>
      <c r="S26" s="770">
        <f t="shared" ref="S26:S34" si="12">F26</f>
        <v>100</v>
      </c>
      <c r="T26" s="769" t="s">
        <v>17</v>
      </c>
      <c r="U26" s="770">
        <f t="shared" ref="U26:U34" si="13">H26</f>
        <v>100</v>
      </c>
      <c r="V26" s="769" t="s">
        <v>17</v>
      </c>
      <c r="W26" s="770">
        <f t="shared" ref="W26:W34" si="14">J26</f>
        <v>100</v>
      </c>
      <c r="X26" s="1810"/>
      <c r="Y26" s="3322" t="s">
        <v>2567</v>
      </c>
      <c r="Z26" s="1811" t="str">
        <f t="shared" ref="Z26:Z34" si="15">Q26</f>
        <v>公共部分装修</v>
      </c>
      <c r="AA26" s="1808">
        <f t="shared" si="3"/>
        <v>1</v>
      </c>
      <c r="AB26" s="1808">
        <f t="shared" si="4"/>
        <v>1</v>
      </c>
      <c r="AC26" s="1808">
        <f t="shared" si="5"/>
        <v>1</v>
      </c>
    </row>
    <row r="27" spans="1:29" s="466" customFormat="1" ht="15">
      <c r="A27" s="463"/>
      <c r="B27" s="419" t="s">
        <v>2717</v>
      </c>
      <c r="C27" s="469"/>
      <c r="D27" s="133">
        <v>100</v>
      </c>
      <c r="E27" s="470"/>
      <c r="F27" s="458" t="e">
        <f>LOOKUP(E27,80:80,81:81)-LOOKUP(C27,80:80,81:81)+100</f>
        <v>#N/A</v>
      </c>
      <c r="G27" s="471"/>
      <c r="H27" s="432" t="e">
        <f>LOOKUP(G27,80:80,81:81)-LOOKUP(C27,80:80,81:81)+100</f>
        <v>#N/A</v>
      </c>
      <c r="I27" s="471"/>
      <c r="J27" s="432" t="e">
        <f>LOOKUP(I27,80:80,81:81)-LOOKUP(C27,80:80,81:81)+100</f>
        <v>#N/A</v>
      </c>
      <c r="K27" s="607"/>
      <c r="L27" s="1136"/>
      <c r="M27" s="1139"/>
      <c r="N27" s="1139"/>
      <c r="O27" s="1140"/>
      <c r="P27" s="3322"/>
      <c r="Q27" s="771" t="str">
        <f t="shared" si="11"/>
        <v>成新率</v>
      </c>
      <c r="R27" s="772" t="s">
        <v>17</v>
      </c>
      <c r="S27" s="773" t="e">
        <f t="shared" si="12"/>
        <v>#N/A</v>
      </c>
      <c r="T27" s="772" t="s">
        <v>17</v>
      </c>
      <c r="U27" s="773" t="e">
        <f t="shared" si="13"/>
        <v>#N/A</v>
      </c>
      <c r="V27" s="772" t="s">
        <v>17</v>
      </c>
      <c r="W27" s="773" t="e">
        <f t="shared" si="14"/>
        <v>#N/A</v>
      </c>
      <c r="X27" s="774"/>
      <c r="Y27" s="3322"/>
      <c r="Z27" s="775" t="str">
        <f t="shared" si="15"/>
        <v>成新率</v>
      </c>
      <c r="AA27" s="1808" t="e">
        <f t="shared" si="3"/>
        <v>#N/A</v>
      </c>
      <c r="AB27" s="1808" t="e">
        <f t="shared" si="4"/>
        <v>#N/A</v>
      </c>
      <c r="AC27" s="1808" t="e">
        <f t="shared" si="5"/>
        <v>#N/A</v>
      </c>
    </row>
    <row r="28" spans="1:29" ht="15">
      <c r="A28" s="467"/>
      <c r="B28" s="419" t="s">
        <v>2718</v>
      </c>
      <c r="C28" s="457"/>
      <c r="D28" s="432">
        <v>100</v>
      </c>
      <c r="E28" s="457"/>
      <c r="F28" s="458">
        <f>SUMIF(82:82,E28,83:83)-SUMIF(82:82,C28,83:83)+100</f>
        <v>100</v>
      </c>
      <c r="G28" s="457"/>
      <c r="H28" s="432">
        <f>SUMIF(82:82,G28,83:83)-SUMIF(82:82,C28,83:83)+100</f>
        <v>100</v>
      </c>
      <c r="I28" s="457"/>
      <c r="J28" s="432">
        <f>SUMIF(82:82,I28,83:83)-SUMIF(82:82,C28,83:83)+100</f>
        <v>100</v>
      </c>
      <c r="K28" s="607"/>
      <c r="L28" s="1138"/>
      <c r="M28" s="1129"/>
      <c r="N28" s="1129"/>
      <c r="O28" s="1137"/>
      <c r="P28" s="3322"/>
      <c r="Q28" s="1807" t="str">
        <f t="shared" si="11"/>
        <v>物业等级</v>
      </c>
      <c r="R28" s="769" t="s">
        <v>17</v>
      </c>
      <c r="S28" s="770">
        <f t="shared" si="12"/>
        <v>100</v>
      </c>
      <c r="T28" s="769" t="s">
        <v>17</v>
      </c>
      <c r="U28" s="770">
        <f t="shared" si="13"/>
        <v>100</v>
      </c>
      <c r="V28" s="769" t="s">
        <v>17</v>
      </c>
      <c r="W28" s="770">
        <f t="shared" si="14"/>
        <v>100</v>
      </c>
      <c r="X28" s="1810"/>
      <c r="Y28" s="3322"/>
      <c r="Z28" s="1811" t="str">
        <f t="shared" si="15"/>
        <v>物业等级</v>
      </c>
      <c r="AA28" s="1808">
        <f t="shared" si="3"/>
        <v>1</v>
      </c>
      <c r="AB28" s="1808">
        <f t="shared" si="4"/>
        <v>1</v>
      </c>
      <c r="AC28" s="1808">
        <f t="shared" si="5"/>
        <v>1</v>
      </c>
    </row>
    <row r="29" spans="1:29" ht="15">
      <c r="A29" s="467"/>
      <c r="B29" s="419" t="s">
        <v>2739</v>
      </c>
      <c r="C29" s="652"/>
      <c r="D29" s="432">
        <v>100</v>
      </c>
      <c r="E29" s="652"/>
      <c r="F29" s="458">
        <f>SUMIF(84:84,E29,85:85)-SUMIF(84:84,C29,85:85)+100</f>
        <v>100</v>
      </c>
      <c r="G29" s="652"/>
      <c r="H29" s="432">
        <f>SUMIF(84:84,G29,85:85)-SUMIF(84:84,C29,85:85)+100</f>
        <v>100</v>
      </c>
      <c r="I29" s="652"/>
      <c r="J29" s="432">
        <f>SUMIF(84:84,I29,85:85)-SUMIF(84:84,C29,85:85)+100</f>
        <v>100</v>
      </c>
      <c r="K29" s="607"/>
      <c r="L29" s="1138"/>
      <c r="M29" s="1129"/>
      <c r="N29" s="1129"/>
      <c r="O29" s="1137"/>
      <c r="P29" s="3322"/>
      <c r="Q29" s="1807" t="str">
        <f t="shared" si="11"/>
        <v>有无电梯</v>
      </c>
      <c r="R29" s="769" t="s">
        <v>17</v>
      </c>
      <c r="S29" s="770">
        <f t="shared" si="12"/>
        <v>100</v>
      </c>
      <c r="T29" s="769" t="s">
        <v>17</v>
      </c>
      <c r="U29" s="770">
        <f t="shared" si="13"/>
        <v>100</v>
      </c>
      <c r="V29" s="769" t="s">
        <v>17</v>
      </c>
      <c r="W29" s="770">
        <f t="shared" si="14"/>
        <v>100</v>
      </c>
      <c r="X29" s="1810"/>
      <c r="Y29" s="3322"/>
      <c r="Z29" s="1811" t="str">
        <f t="shared" si="15"/>
        <v>有无电梯</v>
      </c>
      <c r="AA29" s="1808">
        <f t="shared" si="3"/>
        <v>1</v>
      </c>
      <c r="AB29" s="1808">
        <f t="shared" si="4"/>
        <v>1</v>
      </c>
      <c r="AC29" s="1808">
        <f t="shared" si="5"/>
        <v>1</v>
      </c>
    </row>
    <row r="30" spans="1:29" ht="15">
      <c r="A30" s="467"/>
      <c r="B30" s="419" t="s">
        <v>2740</v>
      </c>
      <c r="C30" s="464"/>
      <c r="D30" s="432">
        <v>100</v>
      </c>
      <c r="E30" s="464"/>
      <c r="F30" s="458" t="e">
        <f>LOOKUP(E30,87:87,88:88)-LOOKUP(C30,87:87,88:88)+100</f>
        <v>#N/A</v>
      </c>
      <c r="G30" s="464"/>
      <c r="H30" s="432" t="e">
        <f>LOOKUP(G30,87:87,88:88)-LOOKUP(C30,87:87,88:88)+100</f>
        <v>#N/A</v>
      </c>
      <c r="I30" s="464"/>
      <c r="J30" s="432" t="e">
        <f>LOOKUP(I30,87:87,88:88)-LOOKUP(C30,87:87,88:88)+100</f>
        <v>#N/A</v>
      </c>
      <c r="K30" s="608"/>
      <c r="L30" s="1138"/>
      <c r="M30" s="1129"/>
      <c r="N30" s="1129"/>
      <c r="O30" s="1137"/>
      <c r="P30" s="3322"/>
      <c r="Q30" s="1807" t="str">
        <f t="shared" si="11"/>
        <v>建筑面积</v>
      </c>
      <c r="R30" s="769" t="s">
        <v>17</v>
      </c>
      <c r="S30" s="770" t="e">
        <f t="shared" si="12"/>
        <v>#N/A</v>
      </c>
      <c r="T30" s="769" t="s">
        <v>17</v>
      </c>
      <c r="U30" s="770" t="e">
        <f t="shared" si="13"/>
        <v>#N/A</v>
      </c>
      <c r="V30" s="769" t="s">
        <v>17</v>
      </c>
      <c r="W30" s="770" t="e">
        <f t="shared" si="14"/>
        <v>#N/A</v>
      </c>
      <c r="X30" s="1810"/>
      <c r="Y30" s="3322"/>
      <c r="Z30" s="1811" t="str">
        <f t="shared" si="15"/>
        <v>建筑面积</v>
      </c>
      <c r="AA30" s="1808" t="e">
        <f t="shared" si="3"/>
        <v>#N/A</v>
      </c>
      <c r="AB30" s="1808" t="e">
        <f t="shared" si="4"/>
        <v>#N/A</v>
      </c>
      <c r="AC30" s="1808" t="e">
        <f t="shared" si="5"/>
        <v>#N/A</v>
      </c>
    </row>
    <row r="31" spans="1:29" s="116" customFormat="1" ht="15">
      <c r="A31" s="468"/>
      <c r="B31" s="419" t="s">
        <v>2741</v>
      </c>
      <c r="C31" s="652"/>
      <c r="D31" s="133">
        <v>100</v>
      </c>
      <c r="E31" s="652"/>
      <c r="F31" s="458">
        <f>SUMIF(89:89,E31,90:90)-SUMIF(89:89,C31,90:90)+100</f>
        <v>100</v>
      </c>
      <c r="G31" s="652"/>
      <c r="H31" s="432">
        <f>SUMIF(89:89,G31,90:90)-SUMIF(89:89,C31,90:90)+100</f>
        <v>100</v>
      </c>
      <c r="I31" s="652"/>
      <c r="J31" s="432">
        <f>SUMIF(89:89,I31,90:90)-SUMIF(89:89,C31,90:90)+100</f>
        <v>100</v>
      </c>
      <c r="K31" s="607"/>
      <c r="L31" s="1130"/>
      <c r="M31" s="1131"/>
      <c r="N31" s="1131"/>
      <c r="O31" s="1132"/>
      <c r="P31" s="3322"/>
      <c r="Q31" s="1792" t="str">
        <f t="shared" si="11"/>
        <v>是否封闭</v>
      </c>
      <c r="R31" s="765" t="s">
        <v>17</v>
      </c>
      <c r="S31" s="766">
        <f t="shared" si="12"/>
        <v>100</v>
      </c>
      <c r="T31" s="765" t="s">
        <v>17</v>
      </c>
      <c r="U31" s="766">
        <f t="shared" si="13"/>
        <v>100</v>
      </c>
      <c r="V31" s="765" t="s">
        <v>17</v>
      </c>
      <c r="W31" s="766">
        <f t="shared" si="14"/>
        <v>100</v>
      </c>
      <c r="X31" s="767"/>
      <c r="Y31" s="3322"/>
      <c r="Z31" s="55" t="str">
        <f t="shared" si="15"/>
        <v>是否封闭</v>
      </c>
      <c r="AA31" s="768">
        <f t="shared" si="3"/>
        <v>1</v>
      </c>
      <c r="AB31" s="768">
        <f t="shared" si="4"/>
        <v>1</v>
      </c>
      <c r="AC31" s="768">
        <f t="shared" si="5"/>
        <v>1</v>
      </c>
    </row>
    <row r="32" spans="1:29" ht="15">
      <c r="A32" s="467"/>
      <c r="B32" s="2600">
        <v>111</v>
      </c>
      <c r="C32" s="429"/>
      <c r="D32" s="432">
        <v>100</v>
      </c>
      <c r="E32" s="464"/>
      <c r="F32" s="458">
        <f>SUMIF(91:91,E32,92:92)-SUMIF(91:91,C32,92:92)+100</f>
        <v>100</v>
      </c>
      <c r="G32" s="464"/>
      <c r="H32" s="432">
        <f>SUMIF(91:91,G32,92:92)-SUMIF(91:91,C32,92:92)+100</f>
        <v>100</v>
      </c>
      <c r="I32" s="464"/>
      <c r="J32" s="432">
        <f>SUMIF(91:91,I32,92:92)-SUMIF(91:91,C32,92:92)+100</f>
        <v>100</v>
      </c>
      <c r="K32" s="608"/>
      <c r="L32" s="1138"/>
      <c r="M32" s="1129"/>
      <c r="N32" s="1129"/>
      <c r="O32" s="1137"/>
      <c r="P32" s="3322" t="s">
        <v>2567</v>
      </c>
      <c r="Q32" s="1807">
        <f t="shared" si="11"/>
        <v>111</v>
      </c>
      <c r="R32" s="769" t="s">
        <v>17</v>
      </c>
      <c r="S32" s="770">
        <f t="shared" si="12"/>
        <v>100</v>
      </c>
      <c r="T32" s="769" t="s">
        <v>17</v>
      </c>
      <c r="U32" s="770">
        <f t="shared" si="13"/>
        <v>100</v>
      </c>
      <c r="V32" s="769" t="s">
        <v>17</v>
      </c>
      <c r="W32" s="770">
        <f t="shared" si="14"/>
        <v>100</v>
      </c>
      <c r="X32" s="1810"/>
      <c r="Y32" s="3322" t="s">
        <v>2567</v>
      </c>
      <c r="Z32" s="1811">
        <f t="shared" si="15"/>
        <v>111</v>
      </c>
      <c r="AA32" s="1808">
        <f t="shared" si="3"/>
        <v>1</v>
      </c>
      <c r="AB32" s="1808">
        <f t="shared" si="4"/>
        <v>1</v>
      </c>
      <c r="AC32" s="1808">
        <f t="shared" si="5"/>
        <v>1</v>
      </c>
    </row>
    <row r="33" spans="1:29" ht="15">
      <c r="A33" s="467"/>
      <c r="B33" s="2600">
        <v>111</v>
      </c>
      <c r="C33" s="429"/>
      <c r="D33" s="432">
        <v>100</v>
      </c>
      <c r="E33" s="464"/>
      <c r="F33" s="458">
        <f>SUMIF(93:93,E33,94:94)-SUMIF(93:93,C33,94:94)+100</f>
        <v>100</v>
      </c>
      <c r="G33" s="464"/>
      <c r="H33" s="432">
        <f>SUMIF(93:93,G33,94:94)-SUMIF(93:93,C33,94:94)+100</f>
        <v>100</v>
      </c>
      <c r="I33" s="464"/>
      <c r="J33" s="432">
        <f>SUMIF(93:93,I33,94:94)-SUMIF(93:93,C33,94:94)+100</f>
        <v>100</v>
      </c>
      <c r="K33" s="608"/>
      <c r="L33" s="1138"/>
      <c r="M33" s="1129"/>
      <c r="N33" s="1129"/>
      <c r="O33" s="1137"/>
      <c r="P33" s="3322"/>
      <c r="Q33" s="1807">
        <f t="shared" si="11"/>
        <v>111</v>
      </c>
      <c r="R33" s="769" t="s">
        <v>17</v>
      </c>
      <c r="S33" s="770">
        <f t="shared" si="12"/>
        <v>100</v>
      </c>
      <c r="T33" s="769" t="s">
        <v>17</v>
      </c>
      <c r="U33" s="770">
        <f t="shared" si="13"/>
        <v>100</v>
      </c>
      <c r="V33" s="769" t="s">
        <v>17</v>
      </c>
      <c r="W33" s="770">
        <f t="shared" si="14"/>
        <v>100</v>
      </c>
      <c r="X33" s="1810"/>
      <c r="Y33" s="3322"/>
      <c r="Z33" s="1811">
        <f t="shared" si="15"/>
        <v>111</v>
      </c>
      <c r="AA33" s="1808">
        <f t="shared" si="3"/>
        <v>1</v>
      </c>
      <c r="AB33" s="1808">
        <f t="shared" si="4"/>
        <v>1</v>
      </c>
      <c r="AC33" s="1808">
        <f t="shared" si="5"/>
        <v>1</v>
      </c>
    </row>
    <row r="34" spans="1:29" ht="15.75" thickBot="1">
      <c r="A34" s="473"/>
      <c r="B34" s="2602">
        <v>111</v>
      </c>
      <c r="C34" s="434"/>
      <c r="D34" s="435">
        <v>100</v>
      </c>
      <c r="E34" s="2697"/>
      <c r="F34" s="436">
        <f>SUMIF(95:95,E34,96:96)-SUMIF(95:95,C34,96:96)+100</f>
        <v>100</v>
      </c>
      <c r="G34" s="2697"/>
      <c r="H34" s="435">
        <f>SUMIF(95:95,G34,96:96)-SUMIF(95:95,C34,96:96)+100</f>
        <v>100</v>
      </c>
      <c r="I34" s="2697"/>
      <c r="J34" s="435">
        <f>SUMIF(95:95,I34,96:96)-SUMIF(95:95,C34,96:96)+100</f>
        <v>100</v>
      </c>
      <c r="K34" s="608"/>
      <c r="L34" s="1138"/>
      <c r="M34" s="1129"/>
      <c r="N34" s="1129"/>
      <c r="O34" s="1137"/>
      <c r="P34" s="3322"/>
      <c r="Q34" s="1807">
        <f t="shared" si="11"/>
        <v>111</v>
      </c>
      <c r="R34" s="769" t="s">
        <v>17</v>
      </c>
      <c r="S34" s="770">
        <f t="shared" si="12"/>
        <v>100</v>
      </c>
      <c r="T34" s="769" t="s">
        <v>17</v>
      </c>
      <c r="U34" s="770">
        <f t="shared" si="13"/>
        <v>100</v>
      </c>
      <c r="V34" s="769" t="s">
        <v>17</v>
      </c>
      <c r="W34" s="770">
        <f t="shared" si="14"/>
        <v>100</v>
      </c>
      <c r="X34" s="1810"/>
      <c r="Y34" s="3322"/>
      <c r="Z34" s="1811">
        <f t="shared" si="15"/>
        <v>111</v>
      </c>
      <c r="AA34" s="1808">
        <f t="shared" si="3"/>
        <v>1</v>
      </c>
      <c r="AB34" s="1808">
        <f t="shared" si="4"/>
        <v>1</v>
      </c>
      <c r="AC34" s="1808">
        <f t="shared" si="5"/>
        <v>1</v>
      </c>
    </row>
    <row r="35" spans="1:29" ht="15">
      <c r="A35" s="474" t="s">
        <v>2579</v>
      </c>
      <c r="B35" s="475"/>
      <c r="C35" s="1404" t="s">
        <v>1</v>
      </c>
      <c r="D35" s="1405"/>
      <c r="E35" s="1406"/>
      <c r="F35" s="1407"/>
      <c r="G35" s="1408"/>
      <c r="H35" s="1409"/>
      <c r="I35" s="1406"/>
      <c r="J35" s="1409"/>
      <c r="K35" s="778"/>
      <c r="L35" s="1141"/>
      <c r="M35" s="1142"/>
      <c r="N35" s="1129"/>
      <c r="O35" s="1142"/>
      <c r="P35" s="3315" t="str">
        <f>A35</f>
        <v>成交单价（元/平方米）</v>
      </c>
      <c r="Q35" s="3315"/>
      <c r="R35" s="3316">
        <f>E35</f>
        <v>0</v>
      </c>
      <c r="S35" s="3316"/>
      <c r="T35" s="3316">
        <f>G35</f>
        <v>0</v>
      </c>
      <c r="U35" s="3316"/>
      <c r="V35" s="3316">
        <f>I35</f>
        <v>0</v>
      </c>
      <c r="W35" s="3316"/>
      <c r="X35" s="754"/>
      <c r="Y35" s="776"/>
      <c r="Z35" s="754"/>
      <c r="AA35" s="754"/>
      <c r="AB35" s="754"/>
      <c r="AC35" s="754"/>
    </row>
    <row r="36" spans="1:29" ht="15.75" thickBot="1">
      <c r="A36" s="481" t="s">
        <v>2671</v>
      </c>
      <c r="B36" s="482"/>
      <c r="C36" s="1410" t="e">
        <f>R37</f>
        <v>#DIV/0!</v>
      </c>
      <c r="D36" s="1411"/>
      <c r="E36" s="1412" t="e">
        <f>R36</f>
        <v>#DIV/0!</v>
      </c>
      <c r="F36" s="1412"/>
      <c r="G36" s="1410" t="e">
        <f>T36</f>
        <v>#DIV/0!</v>
      </c>
      <c r="H36" s="1411"/>
      <c r="I36" s="1412" t="e">
        <f>V36</f>
        <v>#DIV/0!</v>
      </c>
      <c r="J36" s="1411"/>
      <c r="K36" s="779"/>
      <c r="L36" s="1141"/>
      <c r="M36" s="1142"/>
      <c r="N36" s="1129"/>
      <c r="O36" s="1142"/>
      <c r="P36" s="3315" t="str">
        <f>A36</f>
        <v>比较价值（元/平方米）</v>
      </c>
      <c r="Q36" s="3315"/>
      <c r="R36" s="3316" t="e">
        <f>IF(F1="售价",ROUND(PRODUCT(R35,AA7:AA34),0),ROUND(PRODUCT(R35,AA7:AA34),1))</f>
        <v>#DIV/0!</v>
      </c>
      <c r="S36" s="3316"/>
      <c r="T36" s="3316" t="e">
        <f>IF(F1="售价",ROUND(PRODUCT(T35,AB7:AB34),0),ROUND(PRODUCT(T35,AB7:AB34),1))</f>
        <v>#DIV/0!</v>
      </c>
      <c r="U36" s="3316"/>
      <c r="V36" s="3316" t="e">
        <f>IF(F1="售价",ROUND(PRODUCT(V35,AC7:AC34),0),ROUND(PRODUCT(V35,AC7:AC34),1))</f>
        <v>#DIV/0!</v>
      </c>
      <c r="W36" s="3316"/>
      <c r="X36" s="754"/>
      <c r="Y36" s="754"/>
      <c r="Z36" s="754"/>
      <c r="AA36" s="754"/>
      <c r="AB36" s="754"/>
      <c r="AC36" s="754"/>
    </row>
    <row r="37" spans="1:29" ht="15.75" thickBot="1">
      <c r="A37" s="487" t="s">
        <v>2672</v>
      </c>
      <c r="B37" s="488"/>
      <c r="C37" s="1414" t="e">
        <f>R37</f>
        <v>#DIV/0!</v>
      </c>
      <c r="D37" s="1414"/>
      <c r="E37" s="1414"/>
      <c r="F37" s="1414"/>
      <c r="G37" s="1414"/>
      <c r="H37" s="1414"/>
      <c r="I37" s="1414"/>
      <c r="J37" s="1414"/>
      <c r="K37" s="780"/>
      <c r="L37" s="1141"/>
      <c r="M37" s="1142"/>
      <c r="N37" s="1142"/>
      <c r="O37" s="1142"/>
      <c r="P37" s="3312" t="str">
        <f>A37</f>
        <v>估价对象XX用房的比较价值（楼面单价，元/平方米）</v>
      </c>
      <c r="Q37" s="3313"/>
      <c r="R37" s="3314" t="e">
        <f>IF(F1="售价",ROUND(AVERAGE(R36:V36),0),ROUND(AVERAGE(R36:V36),1))</f>
        <v>#DIV/0!</v>
      </c>
      <c r="S37" s="3314"/>
      <c r="T37" s="3314"/>
      <c r="U37" s="3314"/>
      <c r="V37" s="3314"/>
      <c r="W37" s="3314"/>
      <c r="X37" s="754"/>
      <c r="Y37" s="754"/>
      <c r="Z37" s="754"/>
      <c r="AA37" s="754"/>
      <c r="AB37" s="754"/>
      <c r="AC37" s="754"/>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2" t="s">
        <v>2673</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103"/>
      <c r="L40" s="1104"/>
      <c r="M40" s="1142"/>
      <c r="N40" s="1142"/>
      <c r="O40" s="1142"/>
    </row>
    <row r="41" spans="1:29" ht="13.5" customHeight="1">
      <c r="A41" s="1142"/>
      <c r="B41" s="1142"/>
      <c r="C41" s="492" t="s">
        <v>2674</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103"/>
      <c r="L41" s="1104"/>
      <c r="M41" s="1142"/>
      <c r="N41" s="1142"/>
      <c r="O41" s="1142"/>
    </row>
    <row r="42" spans="1:29" s="497" customFormat="1" ht="13.5" customHeight="1">
      <c r="A42" s="1143"/>
      <c r="B42" s="1143"/>
      <c r="C42" s="492" t="s">
        <v>2675</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6"/>
      <c r="L42" s="1147"/>
      <c r="M42" s="1143"/>
      <c r="N42" s="1143"/>
      <c r="O42" s="1143"/>
    </row>
    <row r="43" spans="1:29" s="497"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8" t="s">
        <v>2676</v>
      </c>
      <c r="B45" s="754"/>
      <c r="C45" s="759"/>
      <c r="D45" s="759"/>
      <c r="E45" s="759"/>
      <c r="F45" s="760"/>
      <c r="G45" s="760"/>
      <c r="H45" s="759"/>
      <c r="I45" s="759"/>
      <c r="J45" s="759"/>
      <c r="K45" s="761"/>
      <c r="L45" s="762"/>
      <c r="M45" s="759"/>
      <c r="N45" s="759"/>
      <c r="O45" s="759"/>
      <c r="P45" s="498"/>
      <c r="Q45" s="499"/>
    </row>
    <row r="46" spans="1:29" s="503" customFormat="1" ht="15">
      <c r="A46" s="500" t="s">
        <v>2550</v>
      </c>
      <c r="B46" s="501"/>
      <c r="C46" s="1571" t="str">
        <f>YEAR(C7)&amp;"-"&amp;MONTH(C7)</f>
        <v>2019-6</v>
      </c>
      <c r="D46" s="1572">
        <f>EDATE(C46,-1)</f>
        <v>43586</v>
      </c>
      <c r="E46" s="1572">
        <f t="shared" ref="E46:O46" si="16">EDATE(D46,-1)</f>
        <v>43556</v>
      </c>
      <c r="F46" s="1572">
        <f t="shared" si="16"/>
        <v>43525</v>
      </c>
      <c r="G46" s="1572">
        <f t="shared" si="16"/>
        <v>43497</v>
      </c>
      <c r="H46" s="1572">
        <f t="shared" si="16"/>
        <v>43466</v>
      </c>
      <c r="I46" s="1572">
        <f t="shared" si="16"/>
        <v>43435</v>
      </c>
      <c r="J46" s="1572">
        <f t="shared" si="16"/>
        <v>43405</v>
      </c>
      <c r="K46" s="1572">
        <f t="shared" si="16"/>
        <v>43374</v>
      </c>
      <c r="L46" s="1572">
        <f t="shared" si="16"/>
        <v>43344</v>
      </c>
      <c r="M46" s="1572">
        <f t="shared" si="16"/>
        <v>43313</v>
      </c>
      <c r="N46" s="1572">
        <f t="shared" si="16"/>
        <v>43282</v>
      </c>
      <c r="O46" s="1572">
        <f t="shared" si="16"/>
        <v>43252</v>
      </c>
      <c r="P46" s="502"/>
    </row>
    <row r="47" spans="1:29" s="116" customFormat="1" ht="15">
      <c r="A47" s="504"/>
      <c r="B47" s="505"/>
      <c r="C47" s="1570">
        <v>100</v>
      </c>
      <c r="D47" s="507"/>
      <c r="E47" s="507"/>
      <c r="F47" s="507"/>
      <c r="G47" s="507"/>
      <c r="H47" s="507"/>
      <c r="I47" s="507"/>
      <c r="J47" s="507"/>
      <c r="K47" s="507"/>
      <c r="L47" s="507"/>
      <c r="M47" s="508"/>
      <c r="N47" s="507"/>
      <c r="O47" s="509"/>
      <c r="P47" s="499"/>
    </row>
    <row r="48" spans="1:29" s="116" customFormat="1" ht="15.75" thickBot="1">
      <c r="A48" s="510" t="s">
        <v>2587</v>
      </c>
      <c r="B48" s="511"/>
      <c r="C48" s="512"/>
      <c r="D48" s="513"/>
      <c r="E48" s="513"/>
      <c r="F48" s="513"/>
      <c r="G48" s="513"/>
      <c r="H48" s="513"/>
      <c r="I48" s="513"/>
      <c r="J48" s="513"/>
      <c r="K48" s="513"/>
      <c r="L48" s="513"/>
      <c r="M48" s="514"/>
      <c r="N48" s="513"/>
      <c r="O48" s="515"/>
      <c r="P48" s="499"/>
      <c r="Q48" s="499"/>
    </row>
    <row r="49" spans="1:17" s="116" customFormat="1" ht="15">
      <c r="A49" s="516" t="s">
        <v>2552</v>
      </c>
      <c r="B49" s="505"/>
      <c r="C49" s="517" t="s">
        <v>2654</v>
      </c>
      <c r="D49" s="518"/>
      <c r="E49" s="518"/>
      <c r="F49" s="518"/>
      <c r="G49" s="518"/>
      <c r="H49" s="518"/>
      <c r="I49" s="518"/>
      <c r="J49" s="518"/>
      <c r="K49" s="518"/>
      <c r="L49" s="519"/>
      <c r="M49" s="520"/>
      <c r="N49" s="1149"/>
      <c r="O49" s="1149"/>
      <c r="P49" s="521"/>
      <c r="Q49" s="499"/>
    </row>
    <row r="50" spans="1:17" s="116" customFormat="1" ht="15.75" thickBot="1">
      <c r="A50" s="516"/>
      <c r="B50" s="505"/>
      <c r="C50" s="634">
        <v>100</v>
      </c>
      <c r="D50" s="507"/>
      <c r="E50" s="507"/>
      <c r="F50" s="507"/>
      <c r="G50" s="507"/>
      <c r="H50" s="507"/>
      <c r="I50" s="507"/>
      <c r="J50" s="507"/>
      <c r="K50" s="507"/>
      <c r="L50" s="507"/>
      <c r="M50" s="509"/>
      <c r="N50" s="1149"/>
      <c r="O50" s="1149"/>
      <c r="P50" s="499"/>
      <c r="Q50" s="499"/>
    </row>
    <row r="51" spans="1:17">
      <c r="A51" s="522" t="s">
        <v>2590</v>
      </c>
      <c r="B51" s="523" t="s">
        <v>2556</v>
      </c>
      <c r="C51" s="524">
        <f>C9</f>
        <v>0</v>
      </c>
      <c r="D51" s="525"/>
      <c r="E51" s="525"/>
      <c r="F51" s="525"/>
      <c r="G51" s="525"/>
      <c r="H51" s="525"/>
      <c r="I51" s="525"/>
      <c r="J51" s="525"/>
      <c r="K51" s="526"/>
      <c r="L51" s="527"/>
      <c r="M51" s="528"/>
      <c r="N51" s="1150"/>
      <c r="O51" s="1150"/>
      <c r="P51" s="45"/>
      <c r="Q51" s="499"/>
    </row>
    <row r="52" spans="1:17" ht="15.75" thickBot="1">
      <c r="A52" s="529"/>
      <c r="B52" s="530"/>
      <c r="C52" s="531">
        <v>100</v>
      </c>
      <c r="D52" s="531"/>
      <c r="E52" s="531"/>
      <c r="F52" s="531"/>
      <c r="G52" s="531"/>
      <c r="H52" s="531"/>
      <c r="I52" s="531"/>
      <c r="J52" s="531"/>
      <c r="K52" s="531"/>
      <c r="L52" s="531"/>
      <c r="M52" s="532"/>
      <c r="N52" s="1151"/>
      <c r="O52" s="1151"/>
      <c r="P52" s="45"/>
      <c r="Q52" s="499"/>
    </row>
    <row r="53" spans="1:17" ht="27.75" thickTop="1">
      <c r="A53" s="529"/>
      <c r="B53" s="533" t="s">
        <v>2559</v>
      </c>
      <c r="C53" s="534" t="s">
        <v>2591</v>
      </c>
      <c r="D53" s="534" t="s">
        <v>2592</v>
      </c>
      <c r="E53" s="534" t="s">
        <v>2593</v>
      </c>
      <c r="F53" s="534" t="s">
        <v>2594</v>
      </c>
      <c r="G53" s="534" t="s">
        <v>2595</v>
      </c>
      <c r="H53" s="534" t="s">
        <v>2596</v>
      </c>
      <c r="I53" s="534" t="s">
        <v>2597</v>
      </c>
      <c r="J53" s="534"/>
      <c r="K53" s="535"/>
      <c r="L53" s="536"/>
      <c r="M53" s="537"/>
      <c r="N53" s="1150"/>
      <c r="O53" s="1150"/>
      <c r="P53" s="45"/>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51"/>
      <c r="O54" s="1151"/>
      <c r="P54" s="45"/>
      <c r="Q54" s="499"/>
    </row>
    <row r="55" spans="1:17" ht="15.75" thickTop="1">
      <c r="A55" s="529"/>
      <c r="B55" s="655">
        <f>B11</f>
        <v>111</v>
      </c>
      <c r="C55" s="544"/>
      <c r="D55" s="544"/>
      <c r="E55" s="544"/>
      <c r="F55" s="544"/>
      <c r="G55" s="544"/>
      <c r="H55" s="544"/>
      <c r="I55" s="544"/>
      <c r="J55" s="544"/>
      <c r="K55" s="545"/>
      <c r="L55" s="546"/>
      <c r="M55" s="547"/>
      <c r="N55" s="1150"/>
      <c r="O55" s="1150"/>
      <c r="P55" s="45"/>
      <c r="Q55" s="499"/>
    </row>
    <row r="56" spans="1:17" ht="15.75" thickBot="1">
      <c r="A56" s="529"/>
      <c r="B56" s="530"/>
      <c r="C56" s="555"/>
      <c r="D56" s="531"/>
      <c r="E56" s="531"/>
      <c r="F56" s="531"/>
      <c r="G56" s="531"/>
      <c r="H56" s="531"/>
      <c r="I56" s="531"/>
      <c r="J56" s="531"/>
      <c r="K56" s="531"/>
      <c r="L56" s="531"/>
      <c r="M56" s="532"/>
      <c r="N56" s="1151"/>
      <c r="O56" s="1151"/>
      <c r="P56" s="45"/>
      <c r="Q56" s="499"/>
    </row>
    <row r="57" spans="1:17" s="466" customFormat="1" ht="15.75" thickTop="1">
      <c r="A57" s="548"/>
      <c r="B57" s="533">
        <f>B12</f>
        <v>111</v>
      </c>
      <c r="C57" s="544"/>
      <c r="D57" s="544"/>
      <c r="E57" s="544"/>
      <c r="F57" s="544"/>
      <c r="G57" s="549"/>
      <c r="H57" s="550"/>
      <c r="I57" s="550"/>
      <c r="J57" s="550"/>
      <c r="K57" s="550"/>
      <c r="L57" s="551"/>
      <c r="M57" s="552"/>
      <c r="N57" s="1152"/>
      <c r="O57" s="1152"/>
      <c r="P57" s="553"/>
      <c r="Q57" s="554"/>
    </row>
    <row r="58" spans="1:17" s="466" customFormat="1" ht="15.75" thickBot="1">
      <c r="A58" s="548"/>
      <c r="B58" s="538"/>
      <c r="C58" s="555"/>
      <c r="D58" s="531"/>
      <c r="E58" s="531"/>
      <c r="F58" s="531"/>
      <c r="G58" s="531"/>
      <c r="H58" s="531"/>
      <c r="I58" s="531"/>
      <c r="J58" s="531"/>
      <c r="K58" s="531"/>
      <c r="L58" s="531"/>
      <c r="M58" s="532"/>
      <c r="N58" s="1151"/>
      <c r="O58" s="1151"/>
      <c r="P58" s="553"/>
      <c r="Q58" s="554"/>
    </row>
    <row r="59" spans="1:17" s="466" customFormat="1" ht="15.75" thickTop="1">
      <c r="A59" s="548"/>
      <c r="B59" s="533">
        <f>B13</f>
        <v>111</v>
      </c>
      <c r="C59" s="544"/>
      <c r="D59" s="544"/>
      <c r="E59" s="544"/>
      <c r="F59" s="544"/>
      <c r="G59" s="549"/>
      <c r="H59" s="550"/>
      <c r="I59" s="550"/>
      <c r="J59" s="550"/>
      <c r="K59" s="550"/>
      <c r="L59" s="551"/>
      <c r="M59" s="552"/>
      <c r="N59" s="1152"/>
      <c r="O59" s="1152"/>
      <c r="P59" s="465"/>
      <c r="Q59" s="556"/>
    </row>
    <row r="60" spans="1:17" s="466" customFormat="1" ht="15.75" thickBot="1">
      <c r="A60" s="548"/>
      <c r="B60" s="538"/>
      <c r="C60" s="555"/>
      <c r="D60" s="555"/>
      <c r="E60" s="555"/>
      <c r="F60" s="555"/>
      <c r="G60" s="555"/>
      <c r="H60" s="557"/>
      <c r="I60" s="557"/>
      <c r="J60" s="557"/>
      <c r="K60" s="557"/>
      <c r="L60" s="557"/>
      <c r="M60" s="558"/>
      <c r="N60" s="1152"/>
      <c r="O60" s="1152"/>
      <c r="P60" s="553"/>
      <c r="Q60" s="554"/>
    </row>
    <row r="61" spans="1:17" ht="15" thickTop="1">
      <c r="A61" s="522" t="s">
        <v>2561</v>
      </c>
      <c r="B61" s="523" t="s">
        <v>2604</v>
      </c>
      <c r="C61" s="568" t="s">
        <v>2599</v>
      </c>
      <c r="D61" s="568" t="s">
        <v>2600</v>
      </c>
      <c r="E61" s="568" t="s">
        <v>2601</v>
      </c>
      <c r="F61" s="568" t="s">
        <v>2602</v>
      </c>
      <c r="G61" s="568" t="s">
        <v>2603</v>
      </c>
      <c r="H61" s="524"/>
      <c r="I61" s="524"/>
      <c r="J61" s="524"/>
      <c r="K61" s="569"/>
      <c r="L61" s="570"/>
      <c r="M61" s="571"/>
      <c r="N61" s="1150"/>
      <c r="O61" s="1150"/>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51"/>
      <c r="O62" s="1151"/>
      <c r="P62" s="45"/>
      <c r="Q62" s="499"/>
    </row>
    <row r="63" spans="1:17" ht="27.75" thickTop="1">
      <c r="A63" s="529"/>
      <c r="B63" s="533" t="s">
        <v>2742</v>
      </c>
      <c r="C63" s="573" t="s">
        <v>2599</v>
      </c>
      <c r="D63" s="573" t="s">
        <v>2600</v>
      </c>
      <c r="E63" s="573" t="s">
        <v>2601</v>
      </c>
      <c r="F63" s="573" t="s">
        <v>2602</v>
      </c>
      <c r="G63" s="573" t="s">
        <v>2603</v>
      </c>
      <c r="H63" s="534"/>
      <c r="I63" s="534"/>
      <c r="J63" s="534"/>
      <c r="K63" s="535"/>
      <c r="L63" s="536"/>
      <c r="M63" s="537"/>
      <c r="N63" s="1150"/>
      <c r="O63" s="1150"/>
      <c r="P63" s="45"/>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51"/>
      <c r="O64" s="1151"/>
      <c r="P64" s="45"/>
      <c r="Q64" s="499"/>
    </row>
    <row r="65" spans="1:17" ht="15.75" thickTop="1">
      <c r="A65" s="529"/>
      <c r="B65" s="541" t="s">
        <v>2691</v>
      </c>
      <c r="C65" s="655" t="s">
        <v>2677</v>
      </c>
      <c r="D65" s="655" t="s">
        <v>2678</v>
      </c>
      <c r="E65" s="655" t="s">
        <v>2679</v>
      </c>
      <c r="F65" s="655" t="s">
        <v>2680</v>
      </c>
      <c r="G65" s="655" t="s">
        <v>2681</v>
      </c>
      <c r="H65" s="534"/>
      <c r="I65" s="534"/>
      <c r="J65" s="534"/>
      <c r="K65" s="534"/>
      <c r="L65" s="534"/>
      <c r="M65" s="1380"/>
      <c r="N65" s="1151"/>
      <c r="O65" s="1151"/>
      <c r="P65" s="45"/>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7"/>
      <c r="N66" s="1151"/>
      <c r="O66" s="1151"/>
      <c r="P66" s="45"/>
      <c r="Q66" s="499"/>
    </row>
    <row r="67" spans="1:17" ht="15.75" thickTop="1">
      <c r="A67" s="529"/>
      <c r="B67" s="533" t="s">
        <v>2611</v>
      </c>
      <c r="C67" s="573" t="s">
        <v>2599</v>
      </c>
      <c r="D67" s="573" t="s">
        <v>2600</v>
      </c>
      <c r="E67" s="573" t="s">
        <v>2601</v>
      </c>
      <c r="F67" s="573" t="s">
        <v>2602</v>
      </c>
      <c r="G67" s="573" t="s">
        <v>2603</v>
      </c>
      <c r="H67" s="534"/>
      <c r="I67" s="534"/>
      <c r="J67" s="534"/>
      <c r="K67" s="535"/>
      <c r="L67" s="536"/>
      <c r="M67" s="537"/>
      <c r="N67" s="1150"/>
      <c r="O67" s="1150"/>
      <c r="P67" s="45"/>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51"/>
      <c r="O68" s="1151"/>
      <c r="P68" s="45"/>
      <c r="Q68" s="499"/>
    </row>
    <row r="69" spans="1:17" ht="15.75" thickTop="1">
      <c r="A69" s="529"/>
      <c r="B69" s="533" t="s">
        <v>2731</v>
      </c>
      <c r="C69" s="549"/>
      <c r="D69" s="549"/>
      <c r="E69" s="549"/>
      <c r="F69" s="549"/>
      <c r="G69" s="549"/>
      <c r="H69" s="578"/>
      <c r="I69" s="578"/>
      <c r="J69" s="578"/>
      <c r="K69" s="579"/>
      <c r="L69" s="580"/>
      <c r="M69" s="581"/>
      <c r="N69" s="1150"/>
      <c r="O69" s="1150"/>
      <c r="P69" s="45"/>
      <c r="Q69" s="499"/>
    </row>
    <row r="70" spans="1:17" ht="15.75" thickBot="1">
      <c r="A70" s="529"/>
      <c r="B70" s="538"/>
      <c r="C70" s="539">
        <v>100</v>
      </c>
      <c r="D70" s="539">
        <f>C70-$K22</f>
        <v>100</v>
      </c>
      <c r="E70" s="539"/>
      <c r="F70" s="539"/>
      <c r="G70" s="539"/>
      <c r="H70" s="539"/>
      <c r="I70" s="539"/>
      <c r="J70" s="539"/>
      <c r="K70" s="539"/>
      <c r="L70" s="539"/>
      <c r="M70" s="540"/>
      <c r="N70" s="1151"/>
      <c r="O70" s="1151"/>
      <c r="P70" s="45"/>
      <c r="Q70" s="499"/>
    </row>
    <row r="71" spans="1:17" s="116" customFormat="1" ht="15.75" thickTop="1">
      <c r="A71" s="574"/>
      <c r="B71" s="533">
        <f>B23</f>
        <v>111</v>
      </c>
      <c r="C71" s="544"/>
      <c r="D71" s="544"/>
      <c r="E71" s="544"/>
      <c r="F71" s="544"/>
      <c r="G71" s="549"/>
      <c r="H71" s="549"/>
      <c r="I71" s="549"/>
      <c r="J71" s="549"/>
      <c r="K71" s="549"/>
      <c r="L71" s="575"/>
      <c r="M71" s="576"/>
      <c r="N71" s="1149"/>
      <c r="O71" s="1149"/>
      <c r="P71" s="45"/>
      <c r="Q71" s="499"/>
    </row>
    <row r="72" spans="1:17" s="116" customFormat="1" ht="15.75" thickBot="1">
      <c r="A72" s="574"/>
      <c r="B72" s="538"/>
      <c r="C72" s="555"/>
      <c r="D72" s="531"/>
      <c r="E72" s="531"/>
      <c r="F72" s="531"/>
      <c r="G72" s="531"/>
      <c r="H72" s="531"/>
      <c r="I72" s="531"/>
      <c r="J72" s="531"/>
      <c r="K72" s="531"/>
      <c r="L72" s="531"/>
      <c r="M72" s="532"/>
      <c r="N72" s="1151"/>
      <c r="O72" s="1151"/>
      <c r="P72" s="45"/>
      <c r="Q72" s="499"/>
    </row>
    <row r="73" spans="1:17" s="116" customFormat="1" ht="15.75" thickTop="1">
      <c r="A73" s="574"/>
      <c r="B73" s="533">
        <f>B24</f>
        <v>111</v>
      </c>
      <c r="C73" s="544"/>
      <c r="D73" s="544"/>
      <c r="E73" s="544"/>
      <c r="F73" s="544"/>
      <c r="G73" s="549"/>
      <c r="H73" s="549"/>
      <c r="I73" s="549"/>
      <c r="J73" s="549"/>
      <c r="K73" s="549"/>
      <c r="L73" s="549"/>
      <c r="M73" s="576"/>
      <c r="N73" s="1149"/>
      <c r="O73" s="1149"/>
      <c r="P73" s="45"/>
      <c r="Q73" s="499"/>
    </row>
    <row r="74" spans="1:17" s="116" customFormat="1" ht="15.75" thickBot="1">
      <c r="A74" s="574"/>
      <c r="B74" s="538"/>
      <c r="C74" s="555"/>
      <c r="D74" s="531"/>
      <c r="E74" s="531"/>
      <c r="F74" s="531"/>
      <c r="G74" s="531"/>
      <c r="H74" s="531"/>
      <c r="I74" s="531"/>
      <c r="J74" s="531"/>
      <c r="K74" s="531"/>
      <c r="L74" s="531"/>
      <c r="M74" s="532"/>
      <c r="N74" s="1151"/>
      <c r="O74" s="1151"/>
      <c r="P74" s="45"/>
      <c r="Q74" s="499"/>
    </row>
    <row r="75" spans="1:17" s="466" customFormat="1" ht="15.75" thickTop="1">
      <c r="A75" s="548"/>
      <c r="B75" s="533">
        <f>B25</f>
        <v>111</v>
      </c>
      <c r="C75" s="544"/>
      <c r="D75" s="544"/>
      <c r="E75" s="544"/>
      <c r="F75" s="544"/>
      <c r="G75" s="549"/>
      <c r="H75" s="550"/>
      <c r="I75" s="550"/>
      <c r="J75" s="550"/>
      <c r="K75" s="550"/>
      <c r="L75" s="551"/>
      <c r="M75" s="552"/>
      <c r="N75" s="1152"/>
      <c r="O75" s="1152"/>
      <c r="P75" s="553"/>
      <c r="Q75" s="554"/>
    </row>
    <row r="76" spans="1:17" s="466" customFormat="1" ht="15.75" thickBot="1">
      <c r="A76" s="548"/>
      <c r="B76" s="538"/>
      <c r="C76" s="555"/>
      <c r="D76" s="555"/>
      <c r="E76" s="555"/>
      <c r="F76" s="555"/>
      <c r="G76" s="531"/>
      <c r="H76" s="531"/>
      <c r="I76" s="531"/>
      <c r="J76" s="531"/>
      <c r="K76" s="531"/>
      <c r="L76" s="531"/>
      <c r="M76" s="532"/>
      <c r="N76" s="1152"/>
      <c r="O76" s="1152"/>
      <c r="P76" s="553"/>
      <c r="Q76" s="554"/>
    </row>
    <row r="77" spans="1:17" ht="15" thickTop="1">
      <c r="A77" s="522" t="s">
        <v>2565</v>
      </c>
      <c r="B77" s="523" t="s">
        <v>2618</v>
      </c>
      <c r="C77" s="549"/>
      <c r="D77" s="549"/>
      <c r="E77" s="525"/>
      <c r="F77" s="525"/>
      <c r="G77" s="525"/>
      <c r="H77" s="525"/>
      <c r="I77" s="525"/>
      <c r="J77" s="525"/>
      <c r="K77" s="526"/>
      <c r="L77" s="527"/>
      <c r="M77" s="528"/>
      <c r="N77" s="1150"/>
      <c r="O77" s="1150"/>
      <c r="P77" s="45"/>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51"/>
      <c r="O78" s="1151"/>
      <c r="P78" s="45"/>
      <c r="Q78" s="499"/>
    </row>
    <row r="79" spans="1:17" ht="15.75" thickTop="1">
      <c r="A79" s="529"/>
      <c r="B79" s="533" t="s">
        <v>2734</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9"/>
      <c r="O79" s="1149"/>
      <c r="P79" s="45"/>
      <c r="Q79" s="499"/>
    </row>
    <row r="80" spans="1:17" ht="15">
      <c r="A80" s="529"/>
      <c r="B80" s="541"/>
      <c r="C80" s="598">
        <v>0.5</v>
      </c>
      <c r="D80" s="598">
        <v>0.6</v>
      </c>
      <c r="E80" s="598">
        <v>0.7</v>
      </c>
      <c r="F80" s="598">
        <v>0.8</v>
      </c>
      <c r="G80" s="598">
        <v>0.9</v>
      </c>
      <c r="H80" s="598">
        <v>1.0001</v>
      </c>
      <c r="I80" s="655"/>
      <c r="J80" s="655"/>
      <c r="K80" s="663"/>
      <c r="L80" s="664"/>
      <c r="M80" s="665"/>
      <c r="N80" s="1149"/>
      <c r="O80" s="1149"/>
      <c r="P80" s="45"/>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51"/>
      <c r="O81" s="1151"/>
      <c r="P81" s="553"/>
      <c r="Q81" s="554"/>
    </row>
    <row r="82" spans="1:17" ht="15" thickTop="1">
      <c r="A82" s="594"/>
      <c r="B82" s="541" t="s">
        <v>2735</v>
      </c>
      <c r="C82" s="549"/>
      <c r="D82" s="549"/>
      <c r="E82" s="578"/>
      <c r="F82" s="578"/>
      <c r="G82" s="578"/>
      <c r="H82" s="578"/>
      <c r="I82" s="578"/>
      <c r="J82" s="578"/>
      <c r="K82" s="579"/>
      <c r="L82" s="580"/>
      <c r="M82" s="581"/>
      <c r="N82" s="1150"/>
      <c r="O82" s="1150"/>
      <c r="P82" s="45"/>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51"/>
      <c r="O83" s="1151"/>
      <c r="P83" s="45"/>
      <c r="Q83" s="499"/>
    </row>
    <row r="84" spans="1:17" ht="15" thickTop="1">
      <c r="A84" s="594"/>
      <c r="B84" s="533" t="s">
        <v>2743</v>
      </c>
      <c r="C84" s="549"/>
      <c r="D84" s="549"/>
      <c r="E84" s="549"/>
      <c r="F84" s="549"/>
      <c r="G84" s="549"/>
      <c r="H84" s="549"/>
      <c r="I84" s="578"/>
      <c r="J84" s="578"/>
      <c r="K84" s="579"/>
      <c r="L84" s="580"/>
      <c r="M84" s="581"/>
      <c r="N84" s="1150"/>
      <c r="O84" s="1150"/>
      <c r="P84" s="45"/>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51"/>
      <c r="O85" s="1151"/>
      <c r="P85" s="45"/>
      <c r="Q85" s="499"/>
    </row>
    <row r="86" spans="1:17" ht="15" thickTop="1">
      <c r="A86" s="594"/>
      <c r="B86" s="541" t="s">
        <v>2744</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50"/>
      <c r="O86" s="1150"/>
      <c r="P86" s="45"/>
      <c r="Q86" s="499"/>
    </row>
    <row r="87" spans="1:17">
      <c r="A87" s="594"/>
      <c r="B87" s="541"/>
      <c r="C87" s="590"/>
      <c r="D87" s="590"/>
      <c r="E87" s="590"/>
      <c r="F87" s="590"/>
      <c r="G87" s="590"/>
      <c r="H87" s="590"/>
      <c r="I87" s="590"/>
      <c r="J87" s="591"/>
      <c r="K87" s="591"/>
      <c r="L87" s="592"/>
      <c r="M87" s="593"/>
      <c r="N87" s="1150"/>
      <c r="O87" s="1150"/>
      <c r="P87" s="45"/>
      <c r="Q87" s="499"/>
    </row>
    <row r="88" spans="1:17" ht="15.75" thickBot="1">
      <c r="A88" s="529"/>
      <c r="B88" s="538"/>
      <c r="C88" s="555"/>
      <c r="D88" s="531"/>
      <c r="E88" s="531"/>
      <c r="F88" s="531"/>
      <c r="G88" s="531"/>
      <c r="H88" s="531"/>
      <c r="I88" s="531"/>
      <c r="J88" s="531"/>
      <c r="K88" s="531"/>
      <c r="L88" s="531"/>
      <c r="M88" s="531"/>
      <c r="N88" s="1151"/>
      <c r="O88" s="1151"/>
      <c r="P88" s="45"/>
      <c r="Q88" s="499"/>
    </row>
    <row r="89" spans="1:17" s="466" customFormat="1" ht="15" thickTop="1">
      <c r="A89" s="588"/>
      <c r="B89" s="533" t="s">
        <v>2745</v>
      </c>
      <c r="C89" s="549"/>
      <c r="D89" s="549"/>
      <c r="E89" s="549"/>
      <c r="F89" s="549"/>
      <c r="G89" s="549"/>
      <c r="H89" s="549"/>
      <c r="I89" s="549"/>
      <c r="J89" s="549"/>
      <c r="K89" s="549"/>
      <c r="L89" s="549"/>
      <c r="M89" s="576"/>
      <c r="N89" s="1152"/>
      <c r="O89" s="1152"/>
      <c r="P89" s="553"/>
      <c r="Q89" s="554"/>
    </row>
    <row r="90" spans="1:17" s="466" customFormat="1" ht="15.75" thickBot="1">
      <c r="A90" s="548"/>
      <c r="B90" s="538"/>
      <c r="C90" s="555"/>
      <c r="D90" s="531"/>
      <c r="E90" s="531"/>
      <c r="F90" s="531"/>
      <c r="G90" s="531"/>
      <c r="H90" s="531"/>
      <c r="I90" s="531"/>
      <c r="J90" s="531"/>
      <c r="K90" s="531"/>
      <c r="L90" s="531"/>
      <c r="M90" s="532"/>
      <c r="N90" s="1152"/>
      <c r="O90" s="1152"/>
      <c r="P90" s="553"/>
      <c r="Q90" s="554"/>
    </row>
    <row r="91" spans="1:17" ht="15" thickTop="1">
      <c r="A91" s="594"/>
      <c r="B91" s="533">
        <f>B32</f>
        <v>111</v>
      </c>
      <c r="C91" s="544"/>
      <c r="D91" s="544"/>
      <c r="E91" s="544"/>
      <c r="F91" s="544"/>
      <c r="G91" s="549"/>
      <c r="H91" s="550"/>
      <c r="I91" s="550"/>
      <c r="J91" s="550"/>
      <c r="K91" s="550"/>
      <c r="L91" s="551"/>
      <c r="M91" s="552"/>
      <c r="N91" s="1150"/>
      <c r="O91" s="1150"/>
      <c r="P91" s="45"/>
      <c r="Q91" s="499"/>
    </row>
    <row r="92" spans="1:17" ht="15.75" thickBot="1">
      <c r="A92" s="529"/>
      <c r="B92" s="538"/>
      <c r="C92" s="555"/>
      <c r="D92" s="531"/>
      <c r="E92" s="531"/>
      <c r="F92" s="531"/>
      <c r="G92" s="555"/>
      <c r="H92" s="557"/>
      <c r="I92" s="557"/>
      <c r="J92" s="557"/>
      <c r="K92" s="557"/>
      <c r="L92" s="557"/>
      <c r="M92" s="558"/>
      <c r="N92" s="1151"/>
      <c r="O92" s="1151"/>
      <c r="P92" s="45"/>
      <c r="Q92" s="499"/>
    </row>
    <row r="93" spans="1:17" ht="15" thickTop="1">
      <c r="A93" s="594"/>
      <c r="B93" s="533">
        <f>B33</f>
        <v>111</v>
      </c>
      <c r="C93" s="544"/>
      <c r="D93" s="544"/>
      <c r="E93" s="544"/>
      <c r="F93" s="544"/>
      <c r="G93" s="549"/>
      <c r="H93" s="550"/>
      <c r="I93" s="550"/>
      <c r="J93" s="550"/>
      <c r="K93" s="550"/>
      <c r="L93" s="551"/>
      <c r="M93" s="552"/>
      <c r="N93" s="1150"/>
      <c r="O93" s="1150"/>
      <c r="P93" s="45"/>
      <c r="Q93" s="499"/>
    </row>
    <row r="94" spans="1:17" ht="15.75" thickBot="1">
      <c r="A94" s="529"/>
      <c r="B94" s="538"/>
      <c r="C94" s="555"/>
      <c r="D94" s="531"/>
      <c r="E94" s="531"/>
      <c r="F94" s="531"/>
      <c r="G94" s="555"/>
      <c r="H94" s="557"/>
      <c r="I94" s="557"/>
      <c r="J94" s="557"/>
      <c r="K94" s="557"/>
      <c r="L94" s="557"/>
      <c r="M94" s="558"/>
      <c r="N94" s="1151"/>
      <c r="O94" s="1151"/>
      <c r="P94" s="45"/>
      <c r="Q94" s="499"/>
    </row>
    <row r="95" spans="1:17" ht="15" thickTop="1">
      <c r="A95" s="594"/>
      <c r="B95" s="631">
        <f>B34</f>
        <v>111</v>
      </c>
      <c r="C95" s="544"/>
      <c r="D95" s="544"/>
      <c r="E95" s="544"/>
      <c r="F95" s="544"/>
      <c r="G95" s="549"/>
      <c r="H95" s="550"/>
      <c r="I95" s="550"/>
      <c r="J95" s="550"/>
      <c r="K95" s="550"/>
      <c r="L95" s="551"/>
      <c r="M95" s="552"/>
      <c r="N95" s="1151"/>
      <c r="O95" s="1151"/>
      <c r="P95" s="632"/>
      <c r="Q95" s="633"/>
    </row>
    <row r="96" spans="1:17" ht="15.75" thickBot="1">
      <c r="A96" s="529"/>
      <c r="B96" s="538"/>
      <c r="C96" s="555"/>
      <c r="D96" s="555"/>
      <c r="E96" s="555"/>
      <c r="F96" s="555"/>
      <c r="G96" s="555"/>
      <c r="H96" s="557"/>
      <c r="I96" s="557"/>
      <c r="J96" s="557"/>
      <c r="K96" s="557"/>
      <c r="L96" s="557"/>
      <c r="M96" s="558"/>
      <c r="N96" s="1151"/>
      <c r="O96" s="1151"/>
      <c r="P96" s="45"/>
      <c r="Q96" s="499"/>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I56" sqref="I56"/>
    </sheetView>
  </sheetViews>
  <sheetFormatPr defaultRowHeight="14.25"/>
  <cols>
    <col min="1" max="1" width="14.375" style="400" customWidth="1"/>
    <col min="2" max="2" width="15.75" style="400" customWidth="1"/>
    <col min="3" max="3" width="17.62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2746</v>
      </c>
      <c r="B1" s="392"/>
      <c r="C1" s="393" t="s">
        <v>2747</v>
      </c>
      <c r="D1" s="750"/>
      <c r="E1" s="750"/>
      <c r="F1" s="749" t="s">
        <v>2645</v>
      </c>
      <c r="G1" s="750"/>
      <c r="H1" s="750"/>
      <c r="I1" s="750"/>
      <c r="J1" s="750"/>
      <c r="K1" s="751"/>
      <c r="L1" s="752"/>
      <c r="M1" s="753"/>
      <c r="N1" s="753"/>
      <c r="O1" s="753"/>
      <c r="P1" s="763"/>
      <c r="Q1" s="763"/>
      <c r="R1" s="763"/>
      <c r="S1" s="763"/>
      <c r="T1" s="763"/>
      <c r="U1" s="763"/>
      <c r="V1" s="763"/>
      <c r="W1" s="763"/>
      <c r="X1" s="763"/>
      <c r="Y1" s="763"/>
      <c r="Z1" s="763"/>
      <c r="AA1" s="763"/>
      <c r="AB1" s="763"/>
      <c r="AC1" s="764"/>
      <c r="AD1" s="394"/>
    </row>
    <row r="2" spans="1:30" s="395" customFormat="1" ht="28.5" customHeight="1">
      <c r="A2" s="242" t="s">
        <v>2330</v>
      </c>
      <c r="B2" s="666">
        <f>F66</f>
        <v>0</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4"/>
    </row>
    <row r="3" spans="1:30" s="395" customFormat="1" ht="28.5" customHeight="1" thickBot="1">
      <c r="A3" s="244" t="s">
        <v>2332</v>
      </c>
      <c r="B3" s="604">
        <f>ROUND(IF(D3="",B2*10000/'数据-汇总表'!E3,B2*10000/D3),0)</f>
        <v>0</v>
      </c>
      <c r="C3" s="244" t="s">
        <v>2748</v>
      </c>
      <c r="D3" s="1580">
        <v>1</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8" customHeight="1">
      <c r="A4" s="2995" t="s">
        <v>2537</v>
      </c>
      <c r="B4" s="2996"/>
      <c r="C4" s="3409" t="s">
        <v>2538</v>
      </c>
      <c r="D4" s="3410"/>
      <c r="E4" s="3411" t="s">
        <v>2539</v>
      </c>
      <c r="F4" s="3412"/>
      <c r="G4" s="3409" t="s">
        <v>2540</v>
      </c>
      <c r="H4" s="3410"/>
      <c r="I4" s="3409" t="s">
        <v>2541</v>
      </c>
      <c r="J4" s="3410"/>
      <c r="K4" s="605" t="s">
        <v>2652</v>
      </c>
      <c r="L4" s="1128"/>
      <c r="M4" s="1129"/>
      <c r="N4" s="1129"/>
      <c r="O4" s="1129"/>
      <c r="P4" s="3334" t="s">
        <v>2653</v>
      </c>
      <c r="Q4" s="3335"/>
      <c r="R4" s="3340" t="s">
        <v>2649</v>
      </c>
      <c r="S4" s="3341"/>
      <c r="T4" s="3340" t="s">
        <v>2650</v>
      </c>
      <c r="U4" s="3341"/>
      <c r="V4" s="3346" t="s">
        <v>2651</v>
      </c>
      <c r="W4" s="3346"/>
      <c r="X4" s="1810"/>
      <c r="Y4" s="3340" t="s">
        <v>2653</v>
      </c>
      <c r="Z4" s="3341"/>
      <c r="AA4" s="3327" t="s">
        <v>2649</v>
      </c>
      <c r="AB4" s="3328" t="s">
        <v>2650</v>
      </c>
      <c r="AC4" s="3327" t="s">
        <v>2651</v>
      </c>
    </row>
    <row r="5" spans="1:30" ht="54.75" customHeight="1">
      <c r="A5" s="2997"/>
      <c r="B5" s="2998"/>
      <c r="C5" s="3415" t="s">
        <v>3243</v>
      </c>
      <c r="D5" s="3416"/>
      <c r="E5" s="3419" t="str">
        <f>土地案例!H3</f>
        <v>大兴开发区北区1号地A、B组团土地一级开发项目DX00-0301-0029、0030、0039、0040、0146地块</v>
      </c>
      <c r="F5" s="3420"/>
      <c r="G5" s="3415" t="str">
        <f>土地案例!H4</f>
        <v>大兴区地铁亦庄线旧宫东站项目JG01-24等地块</v>
      </c>
      <c r="H5" s="3416"/>
      <c r="I5" s="3415" t="str">
        <f>土地案例!H7</f>
        <v>大兴区瀛海镇西区C1-C5土地一级开发项目YZ00-0803-6024、6025、6027、6028等地块</v>
      </c>
      <c r="J5" s="3416"/>
      <c r="K5" s="605"/>
      <c r="L5" s="1128"/>
      <c r="M5" s="1129"/>
      <c r="N5" s="1129"/>
      <c r="O5" s="1129"/>
      <c r="P5" s="3336"/>
      <c r="Q5" s="3337"/>
      <c r="R5" s="3342"/>
      <c r="S5" s="3343"/>
      <c r="T5" s="3342"/>
      <c r="U5" s="3343"/>
      <c r="V5" s="3346"/>
      <c r="W5" s="3346"/>
      <c r="X5" s="1810"/>
      <c r="Y5" s="3342"/>
      <c r="Z5" s="3343"/>
      <c r="AA5" s="3328"/>
      <c r="AB5" s="3328"/>
      <c r="AC5" s="3328"/>
    </row>
    <row r="6" spans="1:30" ht="15.75" thickBot="1">
      <c r="A6" s="2999"/>
      <c r="B6" s="3000"/>
      <c r="C6" s="3413"/>
      <c r="D6" s="3414"/>
      <c r="E6" s="3417"/>
      <c r="F6" s="3418"/>
      <c r="G6" s="3417"/>
      <c r="H6" s="3418"/>
      <c r="I6" s="3413"/>
      <c r="J6" s="3414"/>
      <c r="K6" s="605" t="s">
        <v>2549</v>
      </c>
      <c r="L6" s="1128"/>
      <c r="M6" s="1129"/>
      <c r="N6" s="1129"/>
      <c r="O6" s="1129"/>
      <c r="P6" s="3338"/>
      <c r="Q6" s="3339"/>
      <c r="R6" s="3342"/>
      <c r="S6" s="3343"/>
      <c r="T6" s="3344"/>
      <c r="U6" s="3345"/>
      <c r="V6" s="3346"/>
      <c r="W6" s="3346"/>
      <c r="X6" s="1810"/>
      <c r="Y6" s="3344"/>
      <c r="Z6" s="3345"/>
      <c r="AA6" s="3329"/>
      <c r="AB6" s="3329"/>
      <c r="AC6" s="3329"/>
    </row>
    <row r="7" spans="1:30" s="116" customFormat="1" ht="15.75" thickBot="1">
      <c r="A7" s="3007" t="s">
        <v>3155</v>
      </c>
      <c r="B7" s="3008"/>
      <c r="C7" s="2973">
        <f>'数据-取费表'!B2</f>
        <v>43621</v>
      </c>
      <c r="D7" s="2974">
        <v>100</v>
      </c>
      <c r="E7" s="2966">
        <v>43042</v>
      </c>
      <c r="F7" s="2975">
        <f>SUMIF(70:70,YEAR(E7)&amp;"-"&amp;INT((MONTH(E7)+2)/3),71:71)</f>
        <v>100</v>
      </c>
      <c r="G7" s="2967">
        <v>42676</v>
      </c>
      <c r="H7" s="2974">
        <f>SUMIF(70:70,YEAR(G7)&amp;"-"&amp;INT((MONTH(G7)+2)/3),71:71)</f>
        <v>100</v>
      </c>
      <c r="I7" s="2967">
        <v>42849</v>
      </c>
      <c r="J7" s="2974">
        <f>SUMIF(70:70,YEAR(I7)&amp;"-"&amp;INT((MONTH(I7)+2)/3),71:71)</f>
        <v>100</v>
      </c>
      <c r="K7" s="606"/>
      <c r="L7" s="1130"/>
      <c r="M7" s="1131"/>
      <c r="N7" s="1131"/>
      <c r="O7" s="1131"/>
      <c r="P7" s="3351" t="s">
        <v>2551</v>
      </c>
      <c r="Q7" s="3353"/>
      <c r="R7" s="765" t="s">
        <v>17</v>
      </c>
      <c r="S7" s="766">
        <f t="shared" ref="S7:S15" si="0">F7</f>
        <v>100</v>
      </c>
      <c r="T7" s="765" t="s">
        <v>17</v>
      </c>
      <c r="U7" s="766">
        <f t="shared" ref="U7:U15" si="1">H7</f>
        <v>100</v>
      </c>
      <c r="V7" s="765" t="s">
        <v>17</v>
      </c>
      <c r="W7" s="766">
        <f t="shared" ref="W7:W15" si="2">J7</f>
        <v>100</v>
      </c>
      <c r="X7" s="767"/>
      <c r="Y7" s="3351" t="s">
        <v>2551</v>
      </c>
      <c r="Z7" s="3352"/>
      <c r="AA7" s="768">
        <f>D7/F7</f>
        <v>1</v>
      </c>
      <c r="AB7" s="768">
        <f>D7/H7</f>
        <v>1</v>
      </c>
      <c r="AC7" s="768">
        <f>D7/J7</f>
        <v>1</v>
      </c>
    </row>
    <row r="8" spans="1:30" s="116" customFormat="1" ht="15.75" thickBot="1">
      <c r="A8" s="3007" t="s">
        <v>3156</v>
      </c>
      <c r="B8" s="3008"/>
      <c r="C8" s="2976" t="s">
        <v>3151</v>
      </c>
      <c r="D8" s="2974">
        <v>100</v>
      </c>
      <c r="E8" s="2976" t="s">
        <v>3064</v>
      </c>
      <c r="F8" s="2975">
        <f>SUMIF(73:73,E8,74:74)-SUMIF(73:73,C8,74:74)+100</f>
        <v>100</v>
      </c>
      <c r="G8" s="2976" t="s">
        <v>3064</v>
      </c>
      <c r="H8" s="2974">
        <f>SUMIF(73:73,G8,74:74)-SUMIF(73:73,C8,74:74)+100</f>
        <v>100</v>
      </c>
      <c r="I8" s="2976" t="s">
        <v>3064</v>
      </c>
      <c r="J8" s="2974">
        <f>SUMIF(73:73,I8,74:74)-SUMIF(73:73,C8,74:74)+100</f>
        <v>100</v>
      </c>
      <c r="K8" s="606"/>
      <c r="L8" s="1130"/>
      <c r="M8" s="1131"/>
      <c r="N8" s="1131"/>
      <c r="O8" s="1131"/>
      <c r="P8" s="3351" t="s">
        <v>2554</v>
      </c>
      <c r="Q8" s="3352"/>
      <c r="R8" s="765" t="s">
        <v>17</v>
      </c>
      <c r="S8" s="766">
        <f t="shared" si="0"/>
        <v>100</v>
      </c>
      <c r="T8" s="765" t="s">
        <v>17</v>
      </c>
      <c r="U8" s="766">
        <f t="shared" si="1"/>
        <v>100</v>
      </c>
      <c r="V8" s="765" t="s">
        <v>17</v>
      </c>
      <c r="W8" s="766">
        <f t="shared" si="2"/>
        <v>100</v>
      </c>
      <c r="X8" s="767"/>
      <c r="Y8" s="3351" t="s">
        <v>2554</v>
      </c>
      <c r="Z8" s="3352"/>
      <c r="AA8" s="768">
        <f t="shared" ref="AA8:AA45" si="3">D8/F8</f>
        <v>1</v>
      </c>
      <c r="AB8" s="768">
        <f t="shared" ref="AB8:AB45" si="4">D8/H8</f>
        <v>1</v>
      </c>
      <c r="AC8" s="768">
        <f t="shared" ref="AC8:AC45" si="5">D8/J8</f>
        <v>1</v>
      </c>
    </row>
    <row r="9" spans="1:30" s="116" customFormat="1">
      <c r="A9" s="3003" t="s">
        <v>2590</v>
      </c>
      <c r="B9" s="3009" t="s">
        <v>3157</v>
      </c>
      <c r="C9" s="2977" t="s">
        <v>3062</v>
      </c>
      <c r="D9" s="2978">
        <v>100</v>
      </c>
      <c r="E9" s="2977" t="s">
        <v>3062</v>
      </c>
      <c r="F9" s="2978">
        <f>SUMIF(75:75,E9,76:76)-SUMIF(75:75,C9,76:76)+100</f>
        <v>100</v>
      </c>
      <c r="G9" s="2977" t="s">
        <v>3062</v>
      </c>
      <c r="H9" s="2978">
        <f>SUMIF(75:75,G9,76:76)-SUMIF(75:75,C9,76:76)+100</f>
        <v>100</v>
      </c>
      <c r="I9" s="2977" t="s">
        <v>3062</v>
      </c>
      <c r="J9" s="2978">
        <f>SUMIF(75:75,I9,76:76)-SUMIF(75:75,C9,76:76)+100</f>
        <v>100</v>
      </c>
      <c r="K9" s="606"/>
      <c r="L9" s="1130"/>
      <c r="M9" s="1131"/>
      <c r="N9" s="1131"/>
      <c r="O9" s="1132"/>
      <c r="P9" s="3315" t="s">
        <v>2557</v>
      </c>
      <c r="Q9" s="1792" t="str">
        <f t="shared" ref="Q9:Q15" si="6">B9</f>
        <v>用途</v>
      </c>
      <c r="R9" s="765" t="s">
        <v>17</v>
      </c>
      <c r="S9" s="766">
        <f t="shared" si="0"/>
        <v>100</v>
      </c>
      <c r="T9" s="765" t="s">
        <v>17</v>
      </c>
      <c r="U9" s="766">
        <f t="shared" si="1"/>
        <v>100</v>
      </c>
      <c r="V9" s="765" t="s">
        <v>17</v>
      </c>
      <c r="W9" s="766">
        <f t="shared" si="2"/>
        <v>100</v>
      </c>
      <c r="X9" s="767"/>
      <c r="Y9" s="3167" t="s">
        <v>2558</v>
      </c>
      <c r="Z9" s="55" t="str">
        <f t="shared" ref="Z9:Z15" si="7">Q9</f>
        <v>用途</v>
      </c>
      <c r="AA9" s="768">
        <f t="shared" si="3"/>
        <v>1</v>
      </c>
      <c r="AB9" s="768">
        <f t="shared" si="4"/>
        <v>1</v>
      </c>
      <c r="AC9" s="768">
        <f t="shared" si="5"/>
        <v>1</v>
      </c>
    </row>
    <row r="10" spans="1:30" s="424" customFormat="1" ht="27">
      <c r="A10" s="3001"/>
      <c r="B10" s="3010" t="s">
        <v>3158</v>
      </c>
      <c r="C10" s="2968">
        <v>70</v>
      </c>
      <c r="D10" s="2979">
        <v>100</v>
      </c>
      <c r="E10" s="2969" t="s">
        <v>3065</v>
      </c>
      <c r="F10" s="2979">
        <f>ROUND(100/'数据-取费表'!G16,0)</f>
        <v>100</v>
      </c>
      <c r="G10" s="2970" t="s">
        <v>3065</v>
      </c>
      <c r="H10" s="2979">
        <f>ROUND(100/'数据-取费表'!G16,0)</f>
        <v>100</v>
      </c>
      <c r="I10" s="2970" t="s">
        <v>3065</v>
      </c>
      <c r="J10" s="2979">
        <f>ROUND(100/'数据-取费表'!G16,0)</f>
        <v>100</v>
      </c>
      <c r="K10" s="667"/>
      <c r="L10" s="1133"/>
      <c r="M10" s="1134"/>
      <c r="N10" s="1134"/>
      <c r="O10" s="1135"/>
      <c r="P10" s="3315"/>
      <c r="Q10" s="1792" t="str">
        <f t="shared" si="6"/>
        <v>土地使用年限（年）</v>
      </c>
      <c r="R10" s="765" t="s">
        <v>17</v>
      </c>
      <c r="S10" s="766">
        <f t="shared" si="0"/>
        <v>100</v>
      </c>
      <c r="T10" s="765" t="s">
        <v>17</v>
      </c>
      <c r="U10" s="766">
        <f t="shared" si="1"/>
        <v>100</v>
      </c>
      <c r="V10" s="765" t="s">
        <v>17</v>
      </c>
      <c r="W10" s="766">
        <f t="shared" si="2"/>
        <v>100</v>
      </c>
      <c r="X10" s="767"/>
      <c r="Y10" s="3167"/>
      <c r="Z10" s="55" t="str">
        <f t="shared" si="7"/>
        <v>土地使用年限（年）</v>
      </c>
      <c r="AA10" s="768">
        <f t="shared" si="3"/>
        <v>1</v>
      </c>
      <c r="AB10" s="768">
        <f t="shared" si="4"/>
        <v>1</v>
      </c>
      <c r="AC10" s="768">
        <f t="shared" si="5"/>
        <v>1</v>
      </c>
    </row>
    <row r="11" spans="1:30" ht="15.75" thickBot="1">
      <c r="A11" s="3001"/>
      <c r="B11" s="3010" t="s">
        <v>3159</v>
      </c>
      <c r="C11" s="3027" t="str">
        <f>面积汇总!G18</f>
        <v>——</v>
      </c>
      <c r="D11" s="2979">
        <v>100</v>
      </c>
      <c r="E11" s="669">
        <v>2.2000000000000002</v>
      </c>
      <c r="F11" s="2979">
        <v>100</v>
      </c>
      <c r="G11" s="472">
        <v>2.1</v>
      </c>
      <c r="H11" s="2979">
        <v>100</v>
      </c>
      <c r="I11" s="669">
        <v>1.6</v>
      </c>
      <c r="J11" s="2979">
        <v>100</v>
      </c>
      <c r="K11" s="607">
        <v>0</v>
      </c>
      <c r="L11" s="1136"/>
      <c r="M11" s="1129"/>
      <c r="N11" s="1129"/>
      <c r="O11" s="1137"/>
      <c r="P11" s="3315"/>
      <c r="Q11" s="1792" t="str">
        <f t="shared" si="6"/>
        <v>容积率</v>
      </c>
      <c r="R11" s="765" t="s">
        <v>17</v>
      </c>
      <c r="S11" s="766">
        <f t="shared" si="0"/>
        <v>100</v>
      </c>
      <c r="T11" s="765" t="s">
        <v>17</v>
      </c>
      <c r="U11" s="766">
        <f t="shared" si="1"/>
        <v>100</v>
      </c>
      <c r="V11" s="765" t="s">
        <v>17</v>
      </c>
      <c r="W11" s="766">
        <f t="shared" si="2"/>
        <v>100</v>
      </c>
      <c r="X11" s="767"/>
      <c r="Y11" s="3167"/>
      <c r="Z11" s="55" t="str">
        <f t="shared" si="7"/>
        <v>容积率</v>
      </c>
      <c r="AA11" s="768">
        <f t="shared" si="3"/>
        <v>1</v>
      </c>
      <c r="AB11" s="768">
        <f t="shared" si="4"/>
        <v>1</v>
      </c>
      <c r="AC11" s="768">
        <f t="shared" si="5"/>
        <v>1</v>
      </c>
    </row>
    <row r="12" spans="1:30" s="116" customFormat="1" ht="27" hidden="1">
      <c r="A12" s="3001"/>
      <c r="B12" s="3011" t="s">
        <v>3067</v>
      </c>
      <c r="C12" s="2968">
        <v>1</v>
      </c>
      <c r="D12" s="2980">
        <v>100</v>
      </c>
      <c r="E12" s="2971" t="s">
        <v>3152</v>
      </c>
      <c r="F12" s="2979">
        <f>SUMIF(82:82,E12,83:83)-SUMIF(82:82,C12,83:83)+100</f>
        <v>100</v>
      </c>
      <c r="G12" s="2972" t="s">
        <v>3153</v>
      </c>
      <c r="H12" s="2979">
        <f>SUMIF(82:82,G12,83:83)-SUMIF(82:82,C12,83:83)+100</f>
        <v>100</v>
      </c>
      <c r="I12" s="2971" t="s">
        <v>3154</v>
      </c>
      <c r="J12" s="2979">
        <f>SUMIF(82:82,I12,83:83)-SUMIF(82:82,C12,83:83)+100</f>
        <v>100</v>
      </c>
      <c r="K12" s="667"/>
      <c r="L12" s="1130"/>
      <c r="M12" s="1131"/>
      <c r="N12" s="1131"/>
      <c r="O12" s="1132"/>
      <c r="P12" s="3315"/>
      <c r="Q12" s="1792" t="str">
        <f t="shared" si="6"/>
        <v>土地受让方</v>
      </c>
      <c r="R12" s="765" t="s">
        <v>17</v>
      </c>
      <c r="S12" s="766">
        <f t="shared" si="0"/>
        <v>100</v>
      </c>
      <c r="T12" s="765" t="s">
        <v>17</v>
      </c>
      <c r="U12" s="766">
        <f t="shared" si="1"/>
        <v>100</v>
      </c>
      <c r="V12" s="765" t="s">
        <v>17</v>
      </c>
      <c r="W12" s="766">
        <f t="shared" si="2"/>
        <v>100</v>
      </c>
      <c r="X12" s="767"/>
      <c r="Y12" s="3167"/>
      <c r="Z12" s="55" t="str">
        <f t="shared" si="7"/>
        <v>土地受让方</v>
      </c>
      <c r="AA12" s="768">
        <f>D12/F12</f>
        <v>1</v>
      </c>
      <c r="AB12" s="768">
        <f>D12/H12</f>
        <v>1</v>
      </c>
      <c r="AC12" s="768">
        <f>D12/J12</f>
        <v>1</v>
      </c>
    </row>
    <row r="13" spans="1:30" ht="15" hidden="1">
      <c r="A13" s="3001"/>
      <c r="B13" s="2962">
        <v>111</v>
      </c>
      <c r="C13" s="431"/>
      <c r="D13" s="2979">
        <v>100</v>
      </c>
      <c r="E13" s="544"/>
      <c r="F13" s="2979">
        <f>SUMIF(84:84,E13,85:85)-SUMIF(84:84,C13,85:85)+100</f>
        <v>100</v>
      </c>
      <c r="G13" s="669"/>
      <c r="H13" s="2979">
        <f>SUMIF(84:84,G13,85:85)-SUMIF(84:84,C13,85:85)+100</f>
        <v>100</v>
      </c>
      <c r="I13" s="669"/>
      <c r="J13" s="2979">
        <f>SUMIF(84:84,I13,85:85)-SUMIF(84:84,C13,85:85)+100</f>
        <v>100</v>
      </c>
      <c r="K13" s="667"/>
      <c r="L13" s="1138"/>
      <c r="M13" s="1129"/>
      <c r="N13" s="1129"/>
      <c r="O13" s="1137"/>
      <c r="P13" s="3315"/>
      <c r="Q13" s="1792">
        <f t="shared" si="6"/>
        <v>111</v>
      </c>
      <c r="R13" s="765" t="s">
        <v>17</v>
      </c>
      <c r="S13" s="766">
        <f t="shared" si="0"/>
        <v>100</v>
      </c>
      <c r="T13" s="765" t="s">
        <v>17</v>
      </c>
      <c r="U13" s="766">
        <f t="shared" si="1"/>
        <v>100</v>
      </c>
      <c r="V13" s="765" t="s">
        <v>17</v>
      </c>
      <c r="W13" s="766">
        <f t="shared" si="2"/>
        <v>100</v>
      </c>
      <c r="X13" s="767"/>
      <c r="Y13" s="3167"/>
      <c r="Z13" s="55">
        <f t="shared" si="7"/>
        <v>111</v>
      </c>
      <c r="AA13" s="768">
        <f>D13/F13</f>
        <v>1</v>
      </c>
      <c r="AB13" s="768">
        <f>D13/H13</f>
        <v>1</v>
      </c>
      <c r="AC13" s="768">
        <f>D13/J13</f>
        <v>1</v>
      </c>
    </row>
    <row r="14" spans="1:30" ht="15.75" hidden="1" thickBot="1">
      <c r="A14" s="3002"/>
      <c r="B14" s="3012">
        <v>111</v>
      </c>
      <c r="C14" s="434"/>
      <c r="D14" s="2981">
        <v>100</v>
      </c>
      <c r="E14" s="544"/>
      <c r="F14" s="2981">
        <f>SUMIF(86:86,E14,87:87)-SUMIF(86:86,C14,87:87)+100</f>
        <v>100</v>
      </c>
      <c r="G14" s="669"/>
      <c r="H14" s="2981">
        <f>SUMIF(86:86,G14,87:87)-SUMIF(86:86,C14,87:87)+100</f>
        <v>100</v>
      </c>
      <c r="I14" s="669"/>
      <c r="J14" s="2981">
        <f>SUMIF(86:86,I14,87:87)-SUMIF(86:86,C14,87:87)+100</f>
        <v>100</v>
      </c>
      <c r="K14" s="667"/>
      <c r="L14" s="1138"/>
      <c r="M14" s="1129"/>
      <c r="N14" s="1129"/>
      <c r="O14" s="1137"/>
      <c r="P14" s="3315"/>
      <c r="Q14" s="1792">
        <f t="shared" si="6"/>
        <v>111</v>
      </c>
      <c r="R14" s="765" t="s">
        <v>17</v>
      </c>
      <c r="S14" s="766">
        <f t="shared" si="0"/>
        <v>100</v>
      </c>
      <c r="T14" s="765" t="s">
        <v>17</v>
      </c>
      <c r="U14" s="766">
        <f t="shared" si="1"/>
        <v>100</v>
      </c>
      <c r="V14" s="765" t="s">
        <v>17</v>
      </c>
      <c r="W14" s="766">
        <f t="shared" si="2"/>
        <v>100</v>
      </c>
      <c r="X14" s="767"/>
      <c r="Y14" s="3167"/>
      <c r="Z14" s="55">
        <f t="shared" si="7"/>
        <v>111</v>
      </c>
      <c r="AA14" s="768">
        <f>D14/F14</f>
        <v>1</v>
      </c>
      <c r="AB14" s="768">
        <f>D14/H14</f>
        <v>1</v>
      </c>
      <c r="AC14" s="768">
        <f>D14/J14</f>
        <v>1</v>
      </c>
    </row>
    <row r="15" spans="1:30" ht="151.5" customHeight="1">
      <c r="A15" s="3003" t="s">
        <v>2561</v>
      </c>
      <c r="B15" s="3013" t="s">
        <v>3160</v>
      </c>
      <c r="C15" s="2982" t="str">
        <f>估价对象房地状况!C15</f>
        <v>估价对象周边有安宁华庭、安宁佳园、当代城市家园等小区、居住小区规模较大，入住率较高，综合评价居住社区成熟度较好。</v>
      </c>
      <c r="D15" s="2983">
        <v>100</v>
      </c>
      <c r="E15" s="439"/>
      <c r="F15" s="2983">
        <f>SUMIF(88:88,E16,89:89)-SUMIF(88:88,C16,89:89)+100</f>
        <v>103</v>
      </c>
      <c r="G15" s="439"/>
      <c r="H15" s="2983">
        <f>SUMIF(88:88,G16,89:89)-SUMIF(88:88,C16,89:89)+100</f>
        <v>106</v>
      </c>
      <c r="I15" s="441"/>
      <c r="J15" s="2983">
        <f>SUMIF(88:88,I16,89:89)-SUMIF(88:88,C16,89:89)+100</f>
        <v>100</v>
      </c>
      <c r="K15" s="668">
        <v>3</v>
      </c>
      <c r="L15" s="1138"/>
      <c r="M15" s="1129"/>
      <c r="N15" s="1129"/>
      <c r="O15" s="1137"/>
      <c r="P15" s="3317" t="s">
        <v>2562</v>
      </c>
      <c r="Q15" s="1807" t="str">
        <f t="shared" si="6"/>
        <v>居住社区成熟度</v>
      </c>
      <c r="R15" s="769" t="s">
        <v>17</v>
      </c>
      <c r="S15" s="770">
        <f t="shared" si="0"/>
        <v>103</v>
      </c>
      <c r="T15" s="769" t="s">
        <v>17</v>
      </c>
      <c r="U15" s="770">
        <f t="shared" si="1"/>
        <v>106</v>
      </c>
      <c r="V15" s="769" t="s">
        <v>17</v>
      </c>
      <c r="W15" s="770">
        <f t="shared" si="2"/>
        <v>100</v>
      </c>
      <c r="X15" s="1810"/>
      <c r="Y15" s="3317" t="s">
        <v>2562</v>
      </c>
      <c r="Z15" s="1811" t="str">
        <f t="shared" si="7"/>
        <v>居住社区成熟度</v>
      </c>
      <c r="AA15" s="1808">
        <f t="shared" si="3"/>
        <v>0.970873786407767</v>
      </c>
      <c r="AB15" s="1808">
        <f t="shared" si="4"/>
        <v>0.94339622641509435</v>
      </c>
      <c r="AC15" s="1808">
        <f t="shared" si="5"/>
        <v>1</v>
      </c>
    </row>
    <row r="16" spans="1:30" ht="15">
      <c r="A16" s="3001"/>
      <c r="B16" s="3004"/>
      <c r="C16" s="2968" t="s">
        <v>3179</v>
      </c>
      <c r="D16" s="2984"/>
      <c r="E16" s="2970" t="s">
        <v>3072</v>
      </c>
      <c r="F16" s="2984"/>
      <c r="G16" s="2970" t="s">
        <v>3071</v>
      </c>
      <c r="H16" s="2985"/>
      <c r="I16" s="2969" t="s">
        <v>3179</v>
      </c>
      <c r="J16" s="2984"/>
      <c r="K16" s="667"/>
      <c r="L16" s="1138"/>
      <c r="M16" s="1129"/>
      <c r="N16" s="1129"/>
      <c r="O16" s="1137"/>
      <c r="P16" s="3318"/>
      <c r="Q16" s="1807"/>
      <c r="R16" s="769"/>
      <c r="S16" s="770"/>
      <c r="T16" s="769"/>
      <c r="U16" s="770"/>
      <c r="V16" s="769"/>
      <c r="W16" s="770"/>
      <c r="X16" s="1810"/>
      <c r="Y16" s="3318"/>
      <c r="Z16" s="1811"/>
      <c r="AA16" s="1808">
        <v>1</v>
      </c>
      <c r="AB16" s="1808">
        <v>1</v>
      </c>
      <c r="AC16" s="1808">
        <v>1</v>
      </c>
    </row>
    <row r="17" spans="1:29" ht="57" hidden="1">
      <c r="A17" s="3001"/>
      <c r="B17" s="3014" t="s">
        <v>3161</v>
      </c>
      <c r="C17" s="2986" t="str">
        <f>估价对象房地状况!C16</f>
        <v>估价对象位于XX商圈，周边商业氛围成熟，人流量大，商业繁华度好</v>
      </c>
      <c r="D17" s="2985">
        <v>100</v>
      </c>
      <c r="E17" s="449"/>
      <c r="F17" s="2985">
        <f>SUMIF(90:90,E18,91:91)-SUMIF(90:90,C18,91:91)+100</f>
        <v>100</v>
      </c>
      <c r="G17" s="449"/>
      <c r="H17" s="2987">
        <f>SUMIF(90:90,G18,91:91)-SUMIF(90:90,C18,91:91)+100</f>
        <v>100</v>
      </c>
      <c r="I17" s="451"/>
      <c r="J17" s="2987">
        <f>SUMIF(90:90,I18,91:91)-SUMIF(90:90,C18,91:91)+100</f>
        <v>100</v>
      </c>
      <c r="K17" s="668"/>
      <c r="L17" s="1138"/>
      <c r="M17" s="1129"/>
      <c r="N17" s="1129"/>
      <c r="O17" s="1137"/>
      <c r="P17" s="3318"/>
      <c r="Q17" s="1807" t="str">
        <f>B17</f>
        <v>商业繁华度</v>
      </c>
      <c r="R17" s="769" t="s">
        <v>17</v>
      </c>
      <c r="S17" s="770">
        <f>F17</f>
        <v>100</v>
      </c>
      <c r="T17" s="769" t="s">
        <v>17</v>
      </c>
      <c r="U17" s="770">
        <f>H17</f>
        <v>100</v>
      </c>
      <c r="V17" s="769" t="s">
        <v>17</v>
      </c>
      <c r="W17" s="770">
        <f>J17</f>
        <v>100</v>
      </c>
      <c r="X17" s="1810"/>
      <c r="Y17" s="3318"/>
      <c r="Z17" s="1811" t="str">
        <f>Q17</f>
        <v>商业繁华度</v>
      </c>
      <c r="AA17" s="1808">
        <f t="shared" si="3"/>
        <v>1</v>
      </c>
      <c r="AB17" s="1808">
        <f t="shared" si="4"/>
        <v>1</v>
      </c>
      <c r="AC17" s="1808">
        <f t="shared" si="5"/>
        <v>1</v>
      </c>
    </row>
    <row r="18" spans="1:29" ht="15" hidden="1">
      <c r="A18" s="3001"/>
      <c r="B18" s="3015"/>
      <c r="C18" s="2988" t="s">
        <v>3073</v>
      </c>
      <c r="D18" s="2985"/>
      <c r="E18" s="449" t="s">
        <v>3073</v>
      </c>
      <c r="F18" s="2985"/>
      <c r="G18" s="449" t="s">
        <v>3073</v>
      </c>
      <c r="H18" s="2984"/>
      <c r="I18" s="451" t="s">
        <v>3073</v>
      </c>
      <c r="J18" s="2984"/>
      <c r="K18" s="667"/>
      <c r="L18" s="1138"/>
      <c r="M18" s="1129"/>
      <c r="N18" s="1129"/>
      <c r="O18" s="1137"/>
      <c r="P18" s="3318"/>
      <c r="Q18" s="1807"/>
      <c r="R18" s="769"/>
      <c r="S18" s="770"/>
      <c r="T18" s="769"/>
      <c r="U18" s="770"/>
      <c r="V18" s="769"/>
      <c r="W18" s="770"/>
      <c r="X18" s="1810"/>
      <c r="Y18" s="3318"/>
      <c r="Z18" s="1811"/>
      <c r="AA18" s="1808">
        <v>1</v>
      </c>
      <c r="AB18" s="1808">
        <v>1</v>
      </c>
      <c r="AC18" s="1808">
        <v>1</v>
      </c>
    </row>
    <row r="19" spans="1:29" ht="57" hidden="1">
      <c r="A19" s="3001"/>
      <c r="B19" s="3014" t="s">
        <v>3162</v>
      </c>
      <c r="C19" s="2986" t="str">
        <f>估价对象房地状况!C17</f>
        <v>估价对象位于XX商圈，周边办公楼项目较多，入驻率高，办公集聚程度较好</v>
      </c>
      <c r="D19" s="2987">
        <v>100</v>
      </c>
      <c r="E19" s="454"/>
      <c r="F19" s="2987">
        <f>SUMIF(92:92,E20,93:93)-SUMIF(92:92,C20,93:93)+100</f>
        <v>100</v>
      </c>
      <c r="G19" s="454"/>
      <c r="H19" s="2985">
        <f>SUMIF(92:92,G20,93:93)-SUMIF(92:92,C20,93:93)+100</f>
        <v>100</v>
      </c>
      <c r="I19" s="456"/>
      <c r="J19" s="2985">
        <f>SUMIF(92:92,I20,93:93)-SUMIF(92:92,C20,93:93)+100</f>
        <v>100</v>
      </c>
      <c r="K19" s="668"/>
      <c r="L19" s="1138"/>
      <c r="M19" s="1129"/>
      <c r="N19" s="1129"/>
      <c r="O19" s="1137"/>
      <c r="P19" s="3318"/>
      <c r="Q19" s="1807" t="str">
        <f>B19</f>
        <v>办公集聚程度</v>
      </c>
      <c r="R19" s="769" t="s">
        <v>17</v>
      </c>
      <c r="S19" s="770">
        <f>F19</f>
        <v>100</v>
      </c>
      <c r="T19" s="769" t="s">
        <v>17</v>
      </c>
      <c r="U19" s="770">
        <f>H19</f>
        <v>100</v>
      </c>
      <c r="V19" s="769" t="s">
        <v>17</v>
      </c>
      <c r="W19" s="770">
        <f>J19</f>
        <v>100</v>
      </c>
      <c r="X19" s="1810"/>
      <c r="Y19" s="3318"/>
      <c r="Z19" s="1811" t="str">
        <f>Q19</f>
        <v>办公集聚程度</v>
      </c>
      <c r="AA19" s="1808">
        <f t="shared" si="3"/>
        <v>1</v>
      </c>
      <c r="AB19" s="1808">
        <f t="shared" si="4"/>
        <v>1</v>
      </c>
      <c r="AC19" s="1808">
        <f t="shared" si="5"/>
        <v>1</v>
      </c>
    </row>
    <row r="20" spans="1:29" ht="15" hidden="1">
      <c r="A20" s="3001"/>
      <c r="B20" s="3015"/>
      <c r="C20" s="2968" t="s">
        <v>3073</v>
      </c>
      <c r="D20" s="2984"/>
      <c r="E20" s="2970" t="s">
        <v>3073</v>
      </c>
      <c r="F20" s="2984"/>
      <c r="G20" s="2970" t="s">
        <v>3073</v>
      </c>
      <c r="H20" s="2984"/>
      <c r="I20" s="2969" t="s">
        <v>3073</v>
      </c>
      <c r="J20" s="2984"/>
      <c r="K20" s="667"/>
      <c r="L20" s="1138"/>
      <c r="M20" s="1129"/>
      <c r="N20" s="1129"/>
      <c r="O20" s="1137"/>
      <c r="P20" s="3318"/>
      <c r="Q20" s="1807"/>
      <c r="R20" s="769"/>
      <c r="S20" s="770"/>
      <c r="T20" s="769"/>
      <c r="U20" s="770"/>
      <c r="V20" s="769"/>
      <c r="W20" s="770"/>
      <c r="X20" s="1810"/>
      <c r="Y20" s="3318"/>
      <c r="Z20" s="1811"/>
      <c r="AA20" s="1808">
        <v>1</v>
      </c>
      <c r="AB20" s="1808">
        <v>1</v>
      </c>
      <c r="AC20" s="1808">
        <v>1</v>
      </c>
    </row>
    <row r="21" spans="1:29" ht="156.75">
      <c r="A21" s="3001"/>
      <c r="B21" s="3014" t="s">
        <v>3163</v>
      </c>
      <c r="C21" s="2989"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85">
        <v>100</v>
      </c>
      <c r="E21" s="449"/>
      <c r="F21" s="2987">
        <f>SUMIF(94:94,E22,95:95)-SUMIF(94:94,C22,95:95)+100</f>
        <v>100</v>
      </c>
      <c r="G21" s="449"/>
      <c r="H21" s="2985">
        <f>SUMIF(94:94,G22,95:95)-SUMIF(94:94,C22,95:95)+100</f>
        <v>100</v>
      </c>
      <c r="I21" s="451"/>
      <c r="J21" s="2985">
        <f>SUMIF(94:94,I22,95:95)-SUMIF(94:94,C22,95:95)+100</f>
        <v>100</v>
      </c>
      <c r="K21" s="668"/>
      <c r="L21" s="1138"/>
      <c r="M21" s="1129"/>
      <c r="N21" s="1129"/>
      <c r="O21" s="1137"/>
      <c r="P21" s="3318"/>
      <c r="Q21" s="1807" t="str">
        <f>B21</f>
        <v>交通便捷度</v>
      </c>
      <c r="R21" s="769" t="s">
        <v>17</v>
      </c>
      <c r="S21" s="770">
        <f>F21</f>
        <v>100</v>
      </c>
      <c r="T21" s="769" t="s">
        <v>17</v>
      </c>
      <c r="U21" s="770">
        <f>H21</f>
        <v>100</v>
      </c>
      <c r="V21" s="769" t="s">
        <v>17</v>
      </c>
      <c r="W21" s="770">
        <f>J21</f>
        <v>100</v>
      </c>
      <c r="X21" s="1810"/>
      <c r="Y21" s="3318"/>
      <c r="Z21" s="1811" t="str">
        <f>Q21</f>
        <v>交通便捷度</v>
      </c>
      <c r="AA21" s="1808">
        <f t="shared" si="3"/>
        <v>1</v>
      </c>
      <c r="AB21" s="1808">
        <f t="shared" si="4"/>
        <v>1</v>
      </c>
      <c r="AC21" s="1808">
        <f t="shared" si="5"/>
        <v>1</v>
      </c>
    </row>
    <row r="22" spans="1:29" ht="15">
      <c r="A22" s="3001"/>
      <c r="B22" s="3016"/>
      <c r="C22" s="2968" t="s">
        <v>3072</v>
      </c>
      <c r="D22" s="2985"/>
      <c r="E22" s="2970" t="s">
        <v>3071</v>
      </c>
      <c r="F22" s="2984"/>
      <c r="G22" s="2970" t="s">
        <v>3071</v>
      </c>
      <c r="H22" s="2984"/>
      <c r="I22" s="2969" t="s">
        <v>3072</v>
      </c>
      <c r="J22" s="2984"/>
      <c r="K22" s="667"/>
      <c r="L22" s="1138"/>
      <c r="M22" s="1129"/>
      <c r="N22" s="1129"/>
      <c r="O22" s="1137"/>
      <c r="P22" s="3318"/>
      <c r="Q22" s="1807"/>
      <c r="R22" s="769"/>
      <c r="S22" s="770"/>
      <c r="T22" s="769"/>
      <c r="U22" s="770"/>
      <c r="V22" s="769"/>
      <c r="W22" s="770"/>
      <c r="X22" s="1810"/>
      <c r="Y22" s="3318"/>
      <c r="Z22" s="1811"/>
      <c r="AA22" s="1808">
        <v>1</v>
      </c>
      <c r="AB22" s="1808">
        <v>1</v>
      </c>
      <c r="AC22" s="1808">
        <v>1</v>
      </c>
    </row>
    <row r="23" spans="1:29" ht="15">
      <c r="A23" s="2997"/>
      <c r="B23" s="3014" t="s">
        <v>3164</v>
      </c>
      <c r="C23" s="2990">
        <f>估价对象房地状况!C19</f>
        <v>0</v>
      </c>
      <c r="D23" s="2987">
        <v>100</v>
      </c>
      <c r="E23" s="449"/>
      <c r="F23" s="2987">
        <f>SUMIF(96:96,E24,97:97)-SUMIF(96:96,C24,97:97)+100</f>
        <v>100</v>
      </c>
      <c r="G23" s="451"/>
      <c r="H23" s="2987">
        <f>SUMIF(96:96,G24,97:97)-SUMIF(96:96,C24,97:97)+100</f>
        <v>100</v>
      </c>
      <c r="I23" s="451"/>
      <c r="J23" s="2987">
        <f>SUMIF(96:96,I24,97:97)-SUMIF(96:96,C24,97:97)+100</f>
        <v>100</v>
      </c>
      <c r="K23" s="668"/>
      <c r="L23" s="1138"/>
      <c r="M23" s="1129"/>
      <c r="N23" s="1129"/>
      <c r="O23" s="1137"/>
      <c r="P23" s="3318"/>
      <c r="Q23" s="1807" t="str">
        <f t="shared" ref="Q23:Q37" si="8">B23</f>
        <v>区域土地利用方向</v>
      </c>
      <c r="R23" s="769" t="s">
        <v>17</v>
      </c>
      <c r="S23" s="770">
        <f>F23</f>
        <v>100</v>
      </c>
      <c r="T23" s="769" t="s">
        <v>17</v>
      </c>
      <c r="U23" s="770">
        <f>H23</f>
        <v>100</v>
      </c>
      <c r="V23" s="769" t="s">
        <v>17</v>
      </c>
      <c r="W23" s="770">
        <f>J23</f>
        <v>100</v>
      </c>
      <c r="X23" s="1810"/>
      <c r="Y23" s="3318"/>
      <c r="Z23" s="1811" t="str">
        <f>Q23</f>
        <v>区域土地利用方向</v>
      </c>
      <c r="AA23" s="1808">
        <f t="shared" si="3"/>
        <v>1</v>
      </c>
      <c r="AB23" s="1808">
        <f t="shared" si="4"/>
        <v>1</v>
      </c>
      <c r="AC23" s="1808">
        <f t="shared" si="5"/>
        <v>1</v>
      </c>
    </row>
    <row r="24" spans="1:29" ht="15">
      <c r="A24" s="2997"/>
      <c r="B24" s="3015"/>
      <c r="C24" s="431" t="s">
        <v>3071</v>
      </c>
      <c r="D24" s="2984"/>
      <c r="E24" s="2970" t="s">
        <v>3071</v>
      </c>
      <c r="F24" s="2984"/>
      <c r="G24" s="2969" t="s">
        <v>3071</v>
      </c>
      <c r="H24" s="2984"/>
      <c r="I24" s="2969" t="s">
        <v>3071</v>
      </c>
      <c r="J24" s="2984"/>
      <c r="K24" s="807"/>
      <c r="L24" s="1138"/>
      <c r="M24" s="1129"/>
      <c r="N24" s="1129"/>
      <c r="O24" s="1137"/>
      <c r="P24" s="3318"/>
      <c r="Q24" s="1807"/>
      <c r="R24" s="769"/>
      <c r="S24" s="770"/>
      <c r="T24" s="769"/>
      <c r="U24" s="770"/>
      <c r="V24" s="769"/>
      <c r="W24" s="770"/>
      <c r="X24" s="1810"/>
      <c r="Y24" s="3318"/>
      <c r="Z24" s="1811"/>
      <c r="AA24" s="1808"/>
      <c r="AB24" s="1808"/>
      <c r="AC24" s="1808"/>
    </row>
    <row r="25" spans="1:29" ht="99.75">
      <c r="A25" s="2997"/>
      <c r="B25" s="3016" t="s">
        <v>3165</v>
      </c>
      <c r="C25" s="2986" t="str">
        <f>估价对象房地状况!C20</f>
        <v>估价对象西北侧隔路有加油站；周边2公里范围内无大型绿化及博物馆、高等教育学校等人文设施；综合评价环境状况较差。</v>
      </c>
      <c r="D25" s="2985">
        <v>100</v>
      </c>
      <c r="E25" s="449"/>
      <c r="F25" s="2985">
        <f>SUMIF(98:98,E26,99:99)-SUMIF(98:98,C26,99:99)+100</f>
        <v>100</v>
      </c>
      <c r="G25" s="449"/>
      <c r="H25" s="2985">
        <f>SUMIF(98:98,G26,99:99)-SUMIF(98:98,C26,99:99)+100</f>
        <v>100</v>
      </c>
      <c r="I25" s="451"/>
      <c r="J25" s="2985">
        <f>SUMIF(98:98,I26,99:99)-SUMIF(98:98,C26,99:99)+100</f>
        <v>100</v>
      </c>
      <c r="K25" s="607">
        <v>2.5</v>
      </c>
      <c r="L25" s="1138"/>
      <c r="M25" s="1129"/>
      <c r="N25" s="1129"/>
      <c r="O25" s="1137"/>
      <c r="P25" s="3318"/>
      <c r="Q25" s="1807" t="str">
        <f t="shared" si="8"/>
        <v>自然及人文环境状况</v>
      </c>
      <c r="R25" s="769" t="s">
        <v>17</v>
      </c>
      <c r="S25" s="770">
        <f>F25</f>
        <v>100</v>
      </c>
      <c r="T25" s="769" t="s">
        <v>17</v>
      </c>
      <c r="U25" s="770">
        <f>H25</f>
        <v>100</v>
      </c>
      <c r="V25" s="769" t="s">
        <v>17</v>
      </c>
      <c r="W25" s="770">
        <f>J25</f>
        <v>100</v>
      </c>
      <c r="X25" s="1810"/>
      <c r="Y25" s="3318"/>
      <c r="Z25" s="1811" t="str">
        <f>Q25</f>
        <v>自然及人文环境状况</v>
      </c>
      <c r="AA25" s="1808">
        <f t="shared" si="3"/>
        <v>1</v>
      </c>
      <c r="AB25" s="1808">
        <f t="shared" si="4"/>
        <v>1</v>
      </c>
      <c r="AC25" s="1808">
        <f t="shared" si="5"/>
        <v>1</v>
      </c>
    </row>
    <row r="26" spans="1:29" ht="15">
      <c r="A26" s="2997"/>
      <c r="B26" s="3015"/>
      <c r="C26" s="2968" t="s">
        <v>3072</v>
      </c>
      <c r="D26" s="2984"/>
      <c r="E26" s="2991" t="s">
        <v>3072</v>
      </c>
      <c r="F26" s="2984"/>
      <c r="G26" s="2991" t="s">
        <v>3072</v>
      </c>
      <c r="H26" s="2984"/>
      <c r="I26" s="2968" t="s">
        <v>3072</v>
      </c>
      <c r="J26" s="2984"/>
      <c r="K26" s="667"/>
      <c r="L26" s="1138"/>
      <c r="M26" s="1129"/>
      <c r="N26" s="1129"/>
      <c r="O26" s="1137"/>
      <c r="P26" s="3318"/>
      <c r="Q26" s="1807"/>
      <c r="R26" s="769"/>
      <c r="S26" s="770"/>
      <c r="T26" s="769"/>
      <c r="U26" s="770"/>
      <c r="V26" s="769"/>
      <c r="W26" s="770"/>
      <c r="X26" s="1810"/>
      <c r="Y26" s="3318"/>
      <c r="Z26" s="1811"/>
      <c r="AA26" s="1808">
        <v>1</v>
      </c>
      <c r="AB26" s="1808">
        <v>1</v>
      </c>
      <c r="AC26" s="1808">
        <v>1</v>
      </c>
    </row>
    <row r="27" spans="1:29" s="116" customFormat="1" ht="114">
      <c r="A27" s="2997"/>
      <c r="B27" s="3016" t="s">
        <v>3166</v>
      </c>
      <c r="C27" s="2989" t="str">
        <f>估价对象房地状况!C21</f>
        <v>估价对象周边有教育机构（育鹰小学、西二旗小学）、医疗设施（清河社区卫生服务站）、金融机构（农商银行、建设银行）等，公共配套设施状况一般。</v>
      </c>
      <c r="D27" s="2985">
        <v>100</v>
      </c>
      <c r="E27" s="449"/>
      <c r="F27" s="2985">
        <f>SUMIF(100:100,E28,101:101)-SUMIF(100:100,C28,101:101)+100</f>
        <v>101</v>
      </c>
      <c r="G27" s="449"/>
      <c r="H27" s="2985">
        <f>SUMIF(100:100,G28,101:101)-SUMIF(100:100,C28,101:101)+100</f>
        <v>102</v>
      </c>
      <c r="I27" s="451"/>
      <c r="J27" s="2985">
        <f>SUMIF(100:100,I28,101:101)-SUMIF(100:100,C28,101:101)+100</f>
        <v>100</v>
      </c>
      <c r="K27" s="668">
        <v>1</v>
      </c>
      <c r="L27" s="1130"/>
      <c r="M27" s="1131"/>
      <c r="N27" s="1131"/>
      <c r="O27" s="1132"/>
      <c r="P27" s="3318"/>
      <c r="Q27" s="1792" t="str">
        <f t="shared" si="8"/>
        <v>公共配套设施</v>
      </c>
      <c r="R27" s="765" t="s">
        <v>17</v>
      </c>
      <c r="S27" s="766">
        <f>F27</f>
        <v>101</v>
      </c>
      <c r="T27" s="765" t="s">
        <v>17</v>
      </c>
      <c r="U27" s="766">
        <f>H27</f>
        <v>102</v>
      </c>
      <c r="V27" s="765" t="s">
        <v>17</v>
      </c>
      <c r="W27" s="766">
        <f>J27</f>
        <v>100</v>
      </c>
      <c r="X27" s="767"/>
      <c r="Y27" s="3318"/>
      <c r="Z27" s="55" t="str">
        <f>Q27</f>
        <v>公共配套设施</v>
      </c>
      <c r="AA27" s="1808">
        <f>D27/F27</f>
        <v>0.99009900990099009</v>
      </c>
      <c r="AB27" s="1808">
        <f>D27/H27</f>
        <v>0.98039215686274506</v>
      </c>
      <c r="AC27" s="1808">
        <f>D27/J27</f>
        <v>1</v>
      </c>
    </row>
    <row r="28" spans="1:29" s="116" customFormat="1" ht="15">
      <c r="A28" s="2997"/>
      <c r="B28" s="3015"/>
      <c r="C28" s="2992" t="s">
        <v>3179</v>
      </c>
      <c r="D28" s="2984"/>
      <c r="E28" s="2991" t="s">
        <v>3072</v>
      </c>
      <c r="F28" s="2984"/>
      <c r="G28" s="2991" t="s">
        <v>3071</v>
      </c>
      <c r="H28" s="2984"/>
      <c r="I28" s="2968" t="s">
        <v>3179</v>
      </c>
      <c r="J28" s="2984"/>
      <c r="K28" s="667"/>
      <c r="L28" s="1130"/>
      <c r="M28" s="1131"/>
      <c r="N28" s="1131"/>
      <c r="O28" s="1132"/>
      <c r="P28" s="3318"/>
      <c r="Q28" s="1792"/>
      <c r="R28" s="765"/>
      <c r="S28" s="766"/>
      <c r="T28" s="765"/>
      <c r="U28" s="766"/>
      <c r="V28" s="765"/>
      <c r="W28" s="766"/>
      <c r="X28" s="767"/>
      <c r="Y28" s="3318"/>
      <c r="Z28" s="55"/>
      <c r="AA28" s="1808">
        <v>1</v>
      </c>
      <c r="AB28" s="1808">
        <v>1</v>
      </c>
      <c r="AC28" s="1808">
        <v>1</v>
      </c>
    </row>
    <row r="29" spans="1:29" s="116" customFormat="1" ht="42.75">
      <c r="A29" s="2997"/>
      <c r="B29" s="3016" t="s">
        <v>3167</v>
      </c>
      <c r="C29" s="2989" t="str">
        <f>估价对象房地状况!C22</f>
        <v>估价对象所在区域基础设施水平为五通一平</v>
      </c>
      <c r="D29" s="2985">
        <v>100</v>
      </c>
      <c r="E29" s="449"/>
      <c r="F29" s="2985">
        <f>SUMIF(102:102,E30,103:103)-SUMIF(102:102,C30,103:103)+100</f>
        <v>100</v>
      </c>
      <c r="G29" s="449"/>
      <c r="H29" s="2985">
        <f>SUMIF(102:102,G30,103:103)-SUMIF(102:102,C30,103:103)+100</f>
        <v>100</v>
      </c>
      <c r="I29" s="451"/>
      <c r="J29" s="2985">
        <f>SUMIF(102:102,I30,103:103)-SUMIF(102:102,C30,103:103)+100</f>
        <v>100</v>
      </c>
      <c r="K29" s="668"/>
      <c r="L29" s="1130"/>
      <c r="M29" s="1131"/>
      <c r="N29" s="1131"/>
      <c r="O29" s="1132"/>
      <c r="P29" s="3318"/>
      <c r="Q29" s="1792" t="str">
        <f t="shared" ref="Q29" si="9">B29</f>
        <v>基础设施水平</v>
      </c>
      <c r="R29" s="765" t="s">
        <v>17</v>
      </c>
      <c r="S29" s="766">
        <f>F29</f>
        <v>100</v>
      </c>
      <c r="T29" s="765" t="s">
        <v>17</v>
      </c>
      <c r="U29" s="766">
        <f>H29</f>
        <v>100</v>
      </c>
      <c r="V29" s="765" t="s">
        <v>17</v>
      </c>
      <c r="W29" s="766">
        <f>J29</f>
        <v>100</v>
      </c>
      <c r="X29" s="767"/>
      <c r="Y29" s="3318"/>
      <c r="Z29" s="55" t="str">
        <f>Q29</f>
        <v>基础设施水平</v>
      </c>
      <c r="AA29" s="1808">
        <f>D29/F29</f>
        <v>1</v>
      </c>
      <c r="AB29" s="1808">
        <f>D29/H29</f>
        <v>1</v>
      </c>
      <c r="AC29" s="1808">
        <f>D29/J29</f>
        <v>1</v>
      </c>
    </row>
    <row r="30" spans="1:29" s="116" customFormat="1" ht="15">
      <c r="A30" s="2997"/>
      <c r="B30" s="3015"/>
      <c r="C30" s="2992" t="s">
        <v>3105</v>
      </c>
      <c r="D30" s="2984"/>
      <c r="E30" s="2993" t="s">
        <v>3105</v>
      </c>
      <c r="F30" s="2984"/>
      <c r="G30" s="2993" t="s">
        <v>3105</v>
      </c>
      <c r="H30" s="2984"/>
      <c r="I30" s="2993" t="s">
        <v>3105</v>
      </c>
      <c r="J30" s="2984"/>
      <c r="K30" s="667"/>
      <c r="L30" s="1130"/>
      <c r="M30" s="1131"/>
      <c r="N30" s="1131"/>
      <c r="O30" s="1132"/>
      <c r="P30" s="3318"/>
      <c r="Q30" s="1792"/>
      <c r="R30" s="765"/>
      <c r="S30" s="766"/>
      <c r="T30" s="765"/>
      <c r="U30" s="766"/>
      <c r="V30" s="765"/>
      <c r="W30" s="766"/>
      <c r="X30" s="767"/>
      <c r="Y30" s="3318"/>
      <c r="Z30" s="55"/>
      <c r="AA30" s="1808">
        <v>1</v>
      </c>
      <c r="AB30" s="1808">
        <v>1</v>
      </c>
      <c r="AC30" s="1808">
        <v>1</v>
      </c>
    </row>
    <row r="31" spans="1:29" ht="15">
      <c r="A31" s="3001"/>
      <c r="B31" s="3015" t="s">
        <v>3168</v>
      </c>
      <c r="C31" s="431" t="s">
        <v>3104</v>
      </c>
      <c r="D31" s="2979">
        <v>100</v>
      </c>
      <c r="E31" s="2615" t="s">
        <v>3104</v>
      </c>
      <c r="F31" s="2979">
        <f>SUMIF(104:104,E31,105:105)-SUMIF(104:104,C31,105:105)+100</f>
        <v>100</v>
      </c>
      <c r="G31" s="2615" t="s">
        <v>3104</v>
      </c>
      <c r="H31" s="2979">
        <f>SUMIF(104:104,G31,105:105)-SUMIF(104:104,C31,105:105)+100</f>
        <v>100</v>
      </c>
      <c r="I31" s="2615" t="s">
        <v>3104</v>
      </c>
      <c r="J31" s="2979">
        <f>SUMIF(104:104,I31,105:105)-SUMIF(104:104,C31,105:105)+100</f>
        <v>100</v>
      </c>
      <c r="K31" s="668"/>
      <c r="L31" s="1138"/>
      <c r="M31" s="1129"/>
      <c r="N31" s="1129"/>
      <c r="O31" s="1137"/>
      <c r="P31" s="3318"/>
      <c r="Q31" s="1807" t="str">
        <f t="shared" si="8"/>
        <v>临街状况</v>
      </c>
      <c r="R31" s="769" t="s">
        <v>17</v>
      </c>
      <c r="S31" s="770">
        <f t="shared" ref="S31:S45" si="10">F31</f>
        <v>100</v>
      </c>
      <c r="T31" s="769" t="s">
        <v>17</v>
      </c>
      <c r="U31" s="770">
        <f t="shared" ref="U31:U45" si="11">H31</f>
        <v>100</v>
      </c>
      <c r="V31" s="769" t="s">
        <v>17</v>
      </c>
      <c r="W31" s="770">
        <f t="shared" ref="W31:W45" si="12">J31</f>
        <v>100</v>
      </c>
      <c r="X31" s="1810"/>
      <c r="Y31" s="3318"/>
      <c r="Z31" s="1811" t="str">
        <f t="shared" ref="Z31:Z45" si="13">Q31</f>
        <v>临街状况</v>
      </c>
      <c r="AA31" s="1808">
        <f t="shared" si="3"/>
        <v>1</v>
      </c>
      <c r="AB31" s="1808">
        <f t="shared" si="4"/>
        <v>1</v>
      </c>
      <c r="AC31" s="1808">
        <f t="shared" si="5"/>
        <v>1</v>
      </c>
    </row>
    <row r="32" spans="1:29" ht="27">
      <c r="A32" s="3001"/>
      <c r="B32" s="3016" t="s">
        <v>3169</v>
      </c>
      <c r="C32" s="451"/>
      <c r="D32" s="2985">
        <v>100</v>
      </c>
      <c r="E32" s="449"/>
      <c r="F32" s="2985">
        <f>SUMIF(106:106,E33,107:107)-SUMIF(106:106,C33,107:107)+100</f>
        <v>100</v>
      </c>
      <c r="G32" s="449"/>
      <c r="H32" s="2985">
        <f>SUMIF(106:106,G33,107:107)-SUMIF(106:106,C33,107:107)+100</f>
        <v>94</v>
      </c>
      <c r="I32" s="451"/>
      <c r="J32" s="2985">
        <f>SUMIF(106:106,I33,107:107)-SUMIF(106:106,C33,107:107)+100</f>
        <v>100</v>
      </c>
      <c r="K32" s="668">
        <v>3</v>
      </c>
      <c r="L32" s="1138"/>
      <c r="M32" s="1129"/>
      <c r="N32" s="1129"/>
      <c r="O32" s="1137"/>
      <c r="P32" s="3318"/>
      <c r="Q32" s="1807" t="str">
        <f t="shared" si="8"/>
        <v>毗邻道路的类型与等级</v>
      </c>
      <c r="R32" s="769" t="s">
        <v>17</v>
      </c>
      <c r="S32" s="770">
        <f t="shared" si="10"/>
        <v>100</v>
      </c>
      <c r="T32" s="769" t="s">
        <v>17</v>
      </c>
      <c r="U32" s="770">
        <f t="shared" si="11"/>
        <v>94</v>
      </c>
      <c r="V32" s="769" t="s">
        <v>17</v>
      </c>
      <c r="W32" s="770">
        <f t="shared" si="12"/>
        <v>100</v>
      </c>
      <c r="X32" s="1810"/>
      <c r="Y32" s="3318"/>
      <c r="Z32" s="1811" t="str">
        <f t="shared" si="13"/>
        <v>毗邻道路的类型与等级</v>
      </c>
      <c r="AA32" s="1808">
        <f t="shared" si="3"/>
        <v>1</v>
      </c>
      <c r="AB32" s="1808">
        <f t="shared" si="4"/>
        <v>1.0638297872340425</v>
      </c>
      <c r="AC32" s="1808">
        <f t="shared" si="5"/>
        <v>1</v>
      </c>
    </row>
    <row r="33" spans="1:29" ht="15.75" thickBot="1">
      <c r="A33" s="3001"/>
      <c r="B33" s="3015"/>
      <c r="C33" s="2968" t="s">
        <v>3245</v>
      </c>
      <c r="D33" s="2984"/>
      <c r="E33" s="2991" t="s">
        <v>3245</v>
      </c>
      <c r="F33" s="2984"/>
      <c r="G33" s="2991" t="s">
        <v>3177</v>
      </c>
      <c r="H33" s="2984"/>
      <c r="I33" s="2968" t="s">
        <v>3245</v>
      </c>
      <c r="J33" s="2984"/>
      <c r="K33" s="608"/>
      <c r="L33" s="1138"/>
      <c r="M33" s="1129"/>
      <c r="N33" s="1129"/>
      <c r="O33" s="1137"/>
      <c r="P33" s="3318"/>
      <c r="Q33" s="1807"/>
      <c r="R33" s="769"/>
      <c r="S33" s="770"/>
      <c r="T33" s="769"/>
      <c r="U33" s="770"/>
      <c r="V33" s="769"/>
      <c r="W33" s="770"/>
      <c r="X33" s="1810"/>
      <c r="Y33" s="3318"/>
      <c r="Z33" s="1811"/>
      <c r="AA33" s="1808">
        <v>1</v>
      </c>
      <c r="AB33" s="1808">
        <v>1</v>
      </c>
      <c r="AC33" s="1808">
        <v>1</v>
      </c>
    </row>
    <row r="34" spans="1:29" ht="15.75" hidden="1" thickBot="1">
      <c r="A34" s="3001"/>
      <c r="B34" s="3010" t="s">
        <v>3170</v>
      </c>
      <c r="C34" s="431" t="s">
        <v>528</v>
      </c>
      <c r="D34" s="2979">
        <v>100</v>
      </c>
      <c r="E34" s="2615" t="s">
        <v>528</v>
      </c>
      <c r="F34" s="2979">
        <f>SUMIF(108:108,E34,109:109)-SUMIF(108:108,C34,109:109)+100</f>
        <v>100</v>
      </c>
      <c r="G34" s="2615" t="s">
        <v>528</v>
      </c>
      <c r="H34" s="2979">
        <f>SUMIF(108:108,G34,109:109)-SUMIF(108:108,C34,109:109)+100</f>
        <v>100</v>
      </c>
      <c r="I34" s="431" t="s">
        <v>526</v>
      </c>
      <c r="J34" s="2979">
        <f>SUMIF(108:108,I34,109:109)-SUMIF(108:108,C34,109:109)+100</f>
        <v>100</v>
      </c>
      <c r="K34" s="607"/>
      <c r="L34" s="1138"/>
      <c r="M34" s="1129"/>
      <c r="N34" s="1129"/>
      <c r="O34" s="1137"/>
      <c r="P34" s="3318"/>
      <c r="Q34" s="1807" t="str">
        <f t="shared" si="8"/>
        <v>土地级别</v>
      </c>
      <c r="R34" s="769" t="s">
        <v>17</v>
      </c>
      <c r="S34" s="770">
        <f t="shared" si="10"/>
        <v>100</v>
      </c>
      <c r="T34" s="769" t="s">
        <v>17</v>
      </c>
      <c r="U34" s="770">
        <f t="shared" si="11"/>
        <v>100</v>
      </c>
      <c r="V34" s="769" t="s">
        <v>17</v>
      </c>
      <c r="W34" s="770">
        <f t="shared" si="12"/>
        <v>100</v>
      </c>
      <c r="X34" s="1810"/>
      <c r="Y34" s="3318"/>
      <c r="Z34" s="1811" t="str">
        <f t="shared" si="13"/>
        <v>土地级别</v>
      </c>
      <c r="AA34" s="1808">
        <f t="shared" si="3"/>
        <v>1</v>
      </c>
      <c r="AB34" s="1808">
        <f t="shared" si="4"/>
        <v>1</v>
      </c>
      <c r="AC34" s="1808">
        <f t="shared" si="5"/>
        <v>1</v>
      </c>
    </row>
    <row r="35" spans="1:29" ht="15" hidden="1">
      <c r="A35" s="2997"/>
      <c r="B35" s="3017">
        <v>111</v>
      </c>
      <c r="C35" s="669"/>
      <c r="D35" s="2979">
        <v>100</v>
      </c>
      <c r="E35" s="472"/>
      <c r="F35" s="2979">
        <f>SUMIF(110:110,E35,111:111)-SUMIF(110:110,C35,111:111)+100</f>
        <v>100</v>
      </c>
      <c r="G35" s="472"/>
      <c r="H35" s="2979">
        <f>SUMIF(110:110,G35,111:111)-SUMIF(110:110,C35,111:111)+100</f>
        <v>100</v>
      </c>
      <c r="I35" s="669"/>
      <c r="J35" s="2979">
        <f>SUMIF(110:110,I35,111:111)-SUMIF(110:110,C35,111:111)+100</f>
        <v>100</v>
      </c>
      <c r="K35" s="608"/>
      <c r="L35" s="1138"/>
      <c r="M35" s="1129"/>
      <c r="N35" s="1129"/>
      <c r="O35" s="1137"/>
      <c r="P35" s="3318"/>
      <c r="Q35" s="1807">
        <f t="shared" si="8"/>
        <v>111</v>
      </c>
      <c r="R35" s="769" t="s">
        <v>17</v>
      </c>
      <c r="S35" s="770">
        <f t="shared" si="10"/>
        <v>100</v>
      </c>
      <c r="T35" s="769" t="s">
        <v>17</v>
      </c>
      <c r="U35" s="770">
        <f t="shared" si="11"/>
        <v>100</v>
      </c>
      <c r="V35" s="769" t="s">
        <v>17</v>
      </c>
      <c r="W35" s="770">
        <f t="shared" si="12"/>
        <v>100</v>
      </c>
      <c r="X35" s="1810"/>
      <c r="Y35" s="3318"/>
      <c r="Z35" s="1811">
        <f t="shared" si="13"/>
        <v>111</v>
      </c>
      <c r="AA35" s="1808">
        <f t="shared" si="3"/>
        <v>1</v>
      </c>
      <c r="AB35" s="1808">
        <f t="shared" si="4"/>
        <v>1</v>
      </c>
      <c r="AC35" s="1808">
        <f t="shared" si="5"/>
        <v>1</v>
      </c>
    </row>
    <row r="36" spans="1:29" ht="15" hidden="1">
      <c r="A36" s="3005"/>
      <c r="B36" s="1385">
        <v>111</v>
      </c>
      <c r="C36" s="669"/>
      <c r="D36" s="2979">
        <v>100</v>
      </c>
      <c r="E36" s="472"/>
      <c r="F36" s="2979">
        <f>SUMIF(112:112,E37,113:113)-SUMIF(112:112,C37,113:113)+100</f>
        <v>100</v>
      </c>
      <c r="G36" s="472"/>
      <c r="H36" s="2979">
        <f>SUMIF(112:112,G36,113:113)-SUMIF(112:112,C36,113:113)+100</f>
        <v>100</v>
      </c>
      <c r="I36" s="669"/>
      <c r="J36" s="2979">
        <f>SUMIF(112:112,I36,113:113)-SUMIF(112:112,C36,113:113)+100</f>
        <v>100</v>
      </c>
      <c r="K36" s="608"/>
      <c r="L36" s="1138"/>
      <c r="M36" s="1129"/>
      <c r="N36" s="1129"/>
      <c r="O36" s="1137"/>
      <c r="P36" s="3404" t="s">
        <v>2567</v>
      </c>
      <c r="Q36" s="1807">
        <f t="shared" si="8"/>
        <v>111</v>
      </c>
      <c r="R36" s="769" t="s">
        <v>17</v>
      </c>
      <c r="S36" s="770">
        <f t="shared" si="10"/>
        <v>100</v>
      </c>
      <c r="T36" s="769" t="s">
        <v>17</v>
      </c>
      <c r="U36" s="770">
        <f t="shared" si="11"/>
        <v>100</v>
      </c>
      <c r="V36" s="769" t="s">
        <v>17</v>
      </c>
      <c r="W36" s="770">
        <f t="shared" si="12"/>
        <v>100</v>
      </c>
      <c r="X36" s="1810"/>
      <c r="Y36" s="3322" t="s">
        <v>2567</v>
      </c>
      <c r="Z36" s="1811">
        <f t="shared" si="13"/>
        <v>111</v>
      </c>
      <c r="AA36" s="1808">
        <f t="shared" si="3"/>
        <v>1</v>
      </c>
      <c r="AB36" s="1808">
        <f t="shared" si="4"/>
        <v>1</v>
      </c>
      <c r="AC36" s="1808">
        <f t="shared" si="5"/>
        <v>1</v>
      </c>
    </row>
    <row r="37" spans="1:29" s="466" customFormat="1" ht="15.75" hidden="1" thickBot="1">
      <c r="A37" s="3018"/>
      <c r="B37" s="3019">
        <v>111</v>
      </c>
      <c r="C37" s="673"/>
      <c r="D37" s="2981">
        <v>100</v>
      </c>
      <c r="E37" s="696"/>
      <c r="F37" s="2981">
        <f>SUMIF(114:114,E37,115:115)-SUMIF(114:114,C37,115:115)+100</f>
        <v>100</v>
      </c>
      <c r="G37" s="696"/>
      <c r="H37" s="2981">
        <f>SUMIF(114:114,G37,115:115)-SUMIF(114:114,C37,115:115)+100</f>
        <v>100</v>
      </c>
      <c r="I37" s="673"/>
      <c r="J37" s="2981">
        <f>SUMIF(114:114,I37,115:115)-SUMIF(114:114,C37,115:115)+100</f>
        <v>100</v>
      </c>
      <c r="K37" s="608"/>
      <c r="L37" s="1136"/>
      <c r="M37" s="1139"/>
      <c r="N37" s="1139"/>
      <c r="O37" s="1140"/>
      <c r="P37" s="3322"/>
      <c r="Q37" s="1807">
        <f t="shared" si="8"/>
        <v>111</v>
      </c>
      <c r="R37" s="772" t="s">
        <v>17</v>
      </c>
      <c r="S37" s="773">
        <f t="shared" si="10"/>
        <v>100</v>
      </c>
      <c r="T37" s="772" t="s">
        <v>17</v>
      </c>
      <c r="U37" s="773">
        <f t="shared" si="11"/>
        <v>100</v>
      </c>
      <c r="V37" s="772" t="s">
        <v>17</v>
      </c>
      <c r="W37" s="773">
        <f t="shared" si="12"/>
        <v>100</v>
      </c>
      <c r="X37" s="774"/>
      <c r="Y37" s="3322"/>
      <c r="Z37" s="775">
        <f t="shared" si="13"/>
        <v>111</v>
      </c>
      <c r="AA37" s="1808">
        <f t="shared" si="3"/>
        <v>1</v>
      </c>
      <c r="AB37" s="1808">
        <f t="shared" si="4"/>
        <v>1</v>
      </c>
      <c r="AC37" s="1808">
        <f t="shared" si="5"/>
        <v>1</v>
      </c>
    </row>
    <row r="38" spans="1:29" ht="15">
      <c r="A38" s="3006" t="s">
        <v>2565</v>
      </c>
      <c r="B38" s="3015" t="s">
        <v>3171</v>
      </c>
      <c r="C38" s="3025">
        <f>面积汇总!E18*10000</f>
        <v>174600</v>
      </c>
      <c r="D38" s="2978">
        <v>100</v>
      </c>
      <c r="E38" s="674">
        <f>土地案例!P3*10000</f>
        <v>721800.00000000012</v>
      </c>
      <c r="F38" s="2978">
        <f>LOOKUP(E38,117:117,118:118)-LOOKUP(C38,117:117,118:118)+100</f>
        <v>101.5</v>
      </c>
      <c r="G38" s="674">
        <f>土地案例!P4*10000</f>
        <v>1482200</v>
      </c>
      <c r="H38" s="2978">
        <f>LOOKUP(G38,117:117,118:118)-LOOKUP(C38,117:117,118:118)+100</f>
        <v>103</v>
      </c>
      <c r="I38" s="525">
        <f>土地案例!P7*10000</f>
        <v>1935500</v>
      </c>
      <c r="J38" s="2978">
        <f>LOOKUP(I38,117:117,118:118)-LOOKUP(C38,117:117,118:118)+100</f>
        <v>104.5</v>
      </c>
      <c r="K38" s="608"/>
      <c r="L38" s="1138"/>
      <c r="M38" s="1129"/>
      <c r="N38" s="1129"/>
      <c r="O38" s="1137"/>
      <c r="P38" s="3322"/>
      <c r="Q38" s="1807" t="str">
        <f>B38</f>
        <v>宗地面积</v>
      </c>
      <c r="R38" s="769" t="s">
        <v>17</v>
      </c>
      <c r="S38" s="770">
        <f t="shared" si="10"/>
        <v>101.5</v>
      </c>
      <c r="T38" s="769" t="s">
        <v>17</v>
      </c>
      <c r="U38" s="770">
        <f t="shared" si="11"/>
        <v>103</v>
      </c>
      <c r="V38" s="769" t="s">
        <v>17</v>
      </c>
      <c r="W38" s="770">
        <f t="shared" si="12"/>
        <v>104.5</v>
      </c>
      <c r="X38" s="1810"/>
      <c r="Y38" s="3322"/>
      <c r="Z38" s="1811" t="str">
        <f t="shared" si="13"/>
        <v>宗地面积</v>
      </c>
      <c r="AA38" s="1808">
        <f t="shared" si="3"/>
        <v>0.98522167487684731</v>
      </c>
      <c r="AB38" s="1808">
        <f t="shared" si="4"/>
        <v>0.970873786407767</v>
      </c>
      <c r="AC38" s="1808">
        <f t="shared" si="5"/>
        <v>0.9569377990430622</v>
      </c>
    </row>
    <row r="39" spans="1:29" ht="15">
      <c r="A39" s="3006"/>
      <c r="B39" s="3010" t="s">
        <v>3172</v>
      </c>
      <c r="C39" s="2994" t="s">
        <v>3102</v>
      </c>
      <c r="D39" s="2979">
        <v>100</v>
      </c>
      <c r="E39" s="2994" t="s">
        <v>3244</v>
      </c>
      <c r="F39" s="2979">
        <f>SUMIF(119:119,E39,120:120)-SUMIF(119:119,C39,120:120)+100</f>
        <v>98</v>
      </c>
      <c r="G39" s="2994" t="s">
        <v>3102</v>
      </c>
      <c r="H39" s="2979">
        <f>SUMIF(119:119,G39,120:120)-SUMIF(119:119,C39,120:120)+100</f>
        <v>100</v>
      </c>
      <c r="I39" s="2994" t="s">
        <v>3102</v>
      </c>
      <c r="J39" s="2979">
        <f>SUMIF(119:119,I39,120:120)-SUMIF(119:119,C39,120:120)+100</f>
        <v>100</v>
      </c>
      <c r="K39" s="607">
        <v>1</v>
      </c>
      <c r="L39" s="1138"/>
      <c r="M39" s="1129"/>
      <c r="N39" s="1129"/>
      <c r="O39" s="1137"/>
      <c r="P39" s="3322"/>
      <c r="Q39" s="1807" t="str">
        <f t="shared" ref="Q39:Q45" si="14">B39</f>
        <v>宗地形状</v>
      </c>
      <c r="R39" s="769" t="s">
        <v>17</v>
      </c>
      <c r="S39" s="770">
        <f t="shared" si="10"/>
        <v>98</v>
      </c>
      <c r="T39" s="769" t="s">
        <v>17</v>
      </c>
      <c r="U39" s="770">
        <f t="shared" si="11"/>
        <v>100</v>
      </c>
      <c r="V39" s="769" t="s">
        <v>17</v>
      </c>
      <c r="W39" s="770">
        <f t="shared" si="12"/>
        <v>100</v>
      </c>
      <c r="X39" s="1810"/>
      <c r="Y39" s="3322"/>
      <c r="Z39" s="1811" t="str">
        <f t="shared" si="13"/>
        <v>宗地形状</v>
      </c>
      <c r="AA39" s="1808">
        <f t="shared" si="3"/>
        <v>1.0204081632653061</v>
      </c>
      <c r="AB39" s="1808">
        <f t="shared" si="4"/>
        <v>1</v>
      </c>
      <c r="AC39" s="1808">
        <f t="shared" si="5"/>
        <v>1</v>
      </c>
    </row>
    <row r="40" spans="1:29" ht="15" hidden="1">
      <c r="A40" s="3006"/>
      <c r="B40" s="3010" t="s">
        <v>3173</v>
      </c>
      <c r="C40" s="2994"/>
      <c r="D40" s="2979">
        <v>100</v>
      </c>
      <c r="E40" s="2994"/>
      <c r="F40" s="2979">
        <f>SUMIF(121:121,E40,122:122)-SUMIF(121:121,C40,122:122)+100</f>
        <v>100</v>
      </c>
      <c r="G40" s="2994"/>
      <c r="H40" s="2979">
        <f>SUMIF(121:121,G40,122:122)-SUMIF(121:121,C40,122:122)+100</f>
        <v>100</v>
      </c>
      <c r="I40" s="2994"/>
      <c r="J40" s="2979">
        <f>SUMIF(121:121,I40,122:122)-SUMIF(121:121,C40,122:122)+100</f>
        <v>100</v>
      </c>
      <c r="K40" s="607"/>
      <c r="L40" s="1138"/>
      <c r="M40" s="1129"/>
      <c r="N40" s="1129"/>
      <c r="O40" s="1137"/>
      <c r="P40" s="3322"/>
      <c r="Q40" s="1807" t="str">
        <f t="shared" si="14"/>
        <v>临街宽度及深度</v>
      </c>
      <c r="R40" s="769" t="s">
        <v>17</v>
      </c>
      <c r="S40" s="770">
        <f t="shared" si="10"/>
        <v>100</v>
      </c>
      <c r="T40" s="769" t="s">
        <v>17</v>
      </c>
      <c r="U40" s="770">
        <f t="shared" si="11"/>
        <v>100</v>
      </c>
      <c r="V40" s="769" t="s">
        <v>17</v>
      </c>
      <c r="W40" s="770">
        <f t="shared" si="12"/>
        <v>100</v>
      </c>
      <c r="X40" s="1810"/>
      <c r="Y40" s="3322"/>
      <c r="Z40" s="1811" t="str">
        <f t="shared" si="13"/>
        <v>临街宽度及深度</v>
      </c>
      <c r="AA40" s="1808">
        <f t="shared" si="3"/>
        <v>1</v>
      </c>
      <c r="AB40" s="1808">
        <f t="shared" si="4"/>
        <v>1</v>
      </c>
      <c r="AC40" s="1808">
        <f t="shared" si="5"/>
        <v>1</v>
      </c>
    </row>
    <row r="41" spans="1:29" s="116" customFormat="1" ht="15">
      <c r="A41" s="3006"/>
      <c r="B41" s="3010" t="s">
        <v>3174</v>
      </c>
      <c r="C41" s="3026" t="s">
        <v>3241</v>
      </c>
      <c r="D41" s="2979">
        <v>100</v>
      </c>
      <c r="E41" s="2959" t="s">
        <v>3181</v>
      </c>
      <c r="F41" s="2979">
        <f>SUMIF(123:123,E41,124:124)-SUMIF(123:123,C41,124:124)+100</f>
        <v>103</v>
      </c>
      <c r="G41" s="2959" t="s">
        <v>3181</v>
      </c>
      <c r="H41" s="2979">
        <f>SUMIF(123:123,G41,124:124)-SUMIF(123:123,C41,124:124)+100</f>
        <v>103</v>
      </c>
      <c r="I41" s="2959" t="s">
        <v>3176</v>
      </c>
      <c r="J41" s="2979">
        <f>SUMIF(123:123,I41,124:124)-SUMIF(123:123,C41,124:124)+100</f>
        <v>105</v>
      </c>
      <c r="K41" s="607">
        <v>1</v>
      </c>
      <c r="L41" s="1130"/>
      <c r="M41" s="1131"/>
      <c r="N41" s="1131"/>
      <c r="O41" s="1132"/>
      <c r="P41" s="3322"/>
      <c r="Q41" s="1807" t="str">
        <f t="shared" si="14"/>
        <v>宗地开发程度</v>
      </c>
      <c r="R41" s="765" t="s">
        <v>17</v>
      </c>
      <c r="S41" s="766">
        <f t="shared" si="10"/>
        <v>103</v>
      </c>
      <c r="T41" s="765" t="s">
        <v>17</v>
      </c>
      <c r="U41" s="766">
        <f t="shared" si="11"/>
        <v>103</v>
      </c>
      <c r="V41" s="765" t="s">
        <v>17</v>
      </c>
      <c r="W41" s="766">
        <f t="shared" si="12"/>
        <v>105</v>
      </c>
      <c r="X41" s="767"/>
      <c r="Y41" s="3322"/>
      <c r="Z41" s="55" t="str">
        <f t="shared" si="13"/>
        <v>宗地开发程度</v>
      </c>
      <c r="AA41" s="768">
        <f t="shared" si="3"/>
        <v>0.970873786407767</v>
      </c>
      <c r="AB41" s="768">
        <f t="shared" si="4"/>
        <v>0.970873786407767</v>
      </c>
      <c r="AC41" s="768">
        <f t="shared" si="5"/>
        <v>0.95238095238095233</v>
      </c>
    </row>
    <row r="42" spans="1:29" ht="15">
      <c r="A42" s="3006"/>
      <c r="B42" s="3010" t="s">
        <v>3175</v>
      </c>
      <c r="C42" s="2994" t="s">
        <v>3071</v>
      </c>
      <c r="D42" s="2979">
        <v>100</v>
      </c>
      <c r="E42" s="2994" t="s">
        <v>3071</v>
      </c>
      <c r="F42" s="2979">
        <f>SUMIF(125:125,E42,126:126)-SUMIF(125:125,C42,126:126)+100</f>
        <v>100</v>
      </c>
      <c r="G42" s="2994" t="s">
        <v>3071</v>
      </c>
      <c r="H42" s="2979">
        <f>SUMIF(125:125,G42,126:126)-SUMIF(125:125,C42,126:126)+100</f>
        <v>100</v>
      </c>
      <c r="I42" s="2994" t="s">
        <v>3071</v>
      </c>
      <c r="J42" s="2979">
        <f>SUMIF(125:125,I42,126:126)-SUMIF(125:125,C42,126:126)+100</f>
        <v>100</v>
      </c>
      <c r="K42" s="607"/>
      <c r="L42" s="1138"/>
      <c r="M42" s="1129"/>
      <c r="N42" s="1129"/>
      <c r="O42" s="1137"/>
      <c r="P42" s="3322" t="s">
        <v>2567</v>
      </c>
      <c r="Q42" s="1807" t="str">
        <f t="shared" si="14"/>
        <v>工程地质条件</v>
      </c>
      <c r="R42" s="769" t="s">
        <v>17</v>
      </c>
      <c r="S42" s="770">
        <f t="shared" si="10"/>
        <v>100</v>
      </c>
      <c r="T42" s="769" t="s">
        <v>17</v>
      </c>
      <c r="U42" s="770">
        <f t="shared" si="11"/>
        <v>100</v>
      </c>
      <c r="V42" s="769" t="s">
        <v>17</v>
      </c>
      <c r="W42" s="770">
        <f t="shared" si="12"/>
        <v>100</v>
      </c>
      <c r="X42" s="1810"/>
      <c r="Y42" s="3322" t="s">
        <v>2567</v>
      </c>
      <c r="Z42" s="1811" t="str">
        <f t="shared" si="13"/>
        <v>工程地质条件</v>
      </c>
      <c r="AA42" s="1808">
        <f t="shared" si="3"/>
        <v>1</v>
      </c>
      <c r="AB42" s="1808">
        <f t="shared" si="4"/>
        <v>1</v>
      </c>
      <c r="AC42" s="1808">
        <f t="shared" si="5"/>
        <v>1</v>
      </c>
    </row>
    <row r="43" spans="1:29" ht="15.75" thickBot="1">
      <c r="A43" s="3006"/>
      <c r="B43" s="2951" t="s">
        <v>3088</v>
      </c>
      <c r="C43" s="2952" t="s">
        <v>3089</v>
      </c>
      <c r="D43" s="2979">
        <v>100</v>
      </c>
      <c r="E43" s="2952" t="s">
        <v>3089</v>
      </c>
      <c r="F43" s="2979">
        <f>SUMIF(127:127,E43,128:128)-SUMIF(127:127,C43,128:128)+100</f>
        <v>100</v>
      </c>
      <c r="G43" s="2952" t="s">
        <v>3091</v>
      </c>
      <c r="H43" s="2979">
        <f>SUMIF(127:127,G43,128:128)-SUMIF(127:127,C43,128:128)+100</f>
        <v>100</v>
      </c>
      <c r="I43" s="2953" t="s">
        <v>3091</v>
      </c>
      <c r="J43" s="2979">
        <f>SUMIF(127:127,I43,128:128)-SUMIF(127:127,C43,128:128)+100</f>
        <v>100</v>
      </c>
      <c r="K43" s="608"/>
      <c r="L43" s="1138"/>
      <c r="M43" s="1129"/>
      <c r="N43" s="1129"/>
      <c r="O43" s="1137"/>
      <c r="P43" s="3322"/>
      <c r="Q43" s="1807" t="str">
        <f t="shared" si="14"/>
        <v>宗地规划限制</v>
      </c>
      <c r="R43" s="769" t="s">
        <v>17</v>
      </c>
      <c r="S43" s="770">
        <f t="shared" si="10"/>
        <v>100</v>
      </c>
      <c r="T43" s="769" t="s">
        <v>17</v>
      </c>
      <c r="U43" s="770">
        <f t="shared" si="11"/>
        <v>100</v>
      </c>
      <c r="V43" s="769" t="s">
        <v>17</v>
      </c>
      <c r="W43" s="770">
        <f t="shared" si="12"/>
        <v>100</v>
      </c>
      <c r="X43" s="1810"/>
      <c r="Y43" s="3322"/>
      <c r="Z43" s="1811" t="str">
        <f t="shared" si="13"/>
        <v>宗地规划限制</v>
      </c>
      <c r="AA43" s="1808">
        <f t="shared" si="3"/>
        <v>1</v>
      </c>
      <c r="AB43" s="1808">
        <f t="shared" si="4"/>
        <v>1</v>
      </c>
      <c r="AC43" s="1808">
        <f t="shared" si="5"/>
        <v>1</v>
      </c>
    </row>
    <row r="44" spans="1:29" ht="15" hidden="1">
      <c r="A44" s="3006"/>
      <c r="B44" s="1385">
        <v>111</v>
      </c>
      <c r="C44" s="669"/>
      <c r="D44" s="2979">
        <v>100</v>
      </c>
      <c r="E44" s="669"/>
      <c r="F44" s="2979">
        <f>SUMIF(129:129,E44,130:130)-SUMIF(129:129,C44,130:130)+100</f>
        <v>100</v>
      </c>
      <c r="G44" s="669"/>
      <c r="H44" s="2979">
        <f>SUMIF(129:129,G44,130:130)-SUMIF(129:129,C44,130:130)+100</f>
        <v>100</v>
      </c>
      <c r="I44" s="544"/>
      <c r="J44" s="2979">
        <f>SUMIF(129:129,I44,130:130)-SUMIF(129:129,C44,130:130)+100</f>
        <v>100</v>
      </c>
      <c r="K44" s="608"/>
      <c r="L44" s="1138"/>
      <c r="M44" s="1129"/>
      <c r="N44" s="1129"/>
      <c r="O44" s="1137"/>
      <c r="P44" s="3322"/>
      <c r="Q44" s="1807">
        <f t="shared" si="14"/>
        <v>111</v>
      </c>
      <c r="R44" s="769" t="s">
        <v>17</v>
      </c>
      <c r="S44" s="770">
        <f t="shared" si="10"/>
        <v>100</v>
      </c>
      <c r="T44" s="769" t="s">
        <v>17</v>
      </c>
      <c r="U44" s="770">
        <f t="shared" si="11"/>
        <v>100</v>
      </c>
      <c r="V44" s="769" t="s">
        <v>17</v>
      </c>
      <c r="W44" s="770">
        <f t="shared" si="12"/>
        <v>100</v>
      </c>
      <c r="X44" s="1810"/>
      <c r="Y44" s="3322"/>
      <c r="Z44" s="1811">
        <f t="shared" si="13"/>
        <v>111</v>
      </c>
      <c r="AA44" s="1808">
        <f t="shared" si="3"/>
        <v>1</v>
      </c>
      <c r="AB44" s="1808">
        <f t="shared" si="4"/>
        <v>1</v>
      </c>
      <c r="AC44" s="1808">
        <f t="shared" si="5"/>
        <v>1</v>
      </c>
    </row>
    <row r="45" spans="1:29" s="466" customFormat="1" ht="15.75" hidden="1" thickBot="1">
      <c r="A45" s="463"/>
      <c r="B45" s="1385">
        <v>111</v>
      </c>
      <c r="C45" s="2703"/>
      <c r="D45" s="675">
        <v>100</v>
      </c>
      <c r="E45" s="669"/>
      <c r="F45" s="435">
        <f>SUMIF(131:131,E45,132:132)-SUMIF(131:131,C45,132:132)+100</f>
        <v>100</v>
      </c>
      <c r="G45" s="669"/>
      <c r="H45" s="435">
        <f>SUMIF(131:131,G45,132:132)-SUMIF(131:131,C45,132:132)+100</f>
        <v>100</v>
      </c>
      <c r="I45" s="669"/>
      <c r="J45" s="435">
        <f>SUMIF(131:131,I45,132:132)-SUMIF(131:131,C45,132:132)+100</f>
        <v>100</v>
      </c>
      <c r="K45" s="676"/>
      <c r="L45" s="1136"/>
      <c r="M45" s="1139"/>
      <c r="N45" s="1139"/>
      <c r="O45" s="1140"/>
      <c r="P45" s="3322"/>
      <c r="Q45" s="1807">
        <f t="shared" si="14"/>
        <v>111</v>
      </c>
      <c r="R45" s="772" t="s">
        <v>17</v>
      </c>
      <c r="S45" s="773">
        <f t="shared" si="10"/>
        <v>100</v>
      </c>
      <c r="T45" s="772" t="s">
        <v>17</v>
      </c>
      <c r="U45" s="773">
        <f t="shared" si="11"/>
        <v>100</v>
      </c>
      <c r="V45" s="772" t="s">
        <v>17</v>
      </c>
      <c r="W45" s="773">
        <f t="shared" si="12"/>
        <v>100</v>
      </c>
      <c r="X45" s="774"/>
      <c r="Y45" s="3322"/>
      <c r="Z45" s="775">
        <f t="shared" si="13"/>
        <v>111</v>
      </c>
      <c r="AA45" s="1808">
        <f t="shared" si="3"/>
        <v>1</v>
      </c>
      <c r="AB45" s="1808">
        <f t="shared" si="4"/>
        <v>1</v>
      </c>
      <c r="AC45" s="1808">
        <f t="shared" si="5"/>
        <v>1</v>
      </c>
    </row>
    <row r="46" spans="1:29" ht="15">
      <c r="A46" s="474" t="s">
        <v>2722</v>
      </c>
      <c r="B46" s="2704" t="s">
        <v>2755</v>
      </c>
      <c r="C46" s="677" t="s">
        <v>1</v>
      </c>
      <c r="D46" s="476"/>
      <c r="E46" s="477">
        <f>土地案例!S3</f>
        <v>2709.78</v>
      </c>
      <c r="F46" s="478"/>
      <c r="G46" s="479">
        <f>土地案例!S4</f>
        <v>3122.95</v>
      </c>
      <c r="H46" s="480"/>
      <c r="I46" s="477">
        <f>土地案例!S7</f>
        <v>3094.31</v>
      </c>
      <c r="J46" s="480"/>
      <c r="K46" s="778"/>
      <c r="L46" s="1141"/>
      <c r="M46" s="1142"/>
      <c r="N46" s="1129"/>
      <c r="O46" s="1142"/>
      <c r="P46" s="3315" t="str">
        <f>A46</f>
        <v>成交单价</v>
      </c>
      <c r="Q46" s="3315"/>
      <c r="R46" s="3346">
        <f>E46</f>
        <v>2709.78</v>
      </c>
      <c r="S46" s="3346"/>
      <c r="T46" s="3346">
        <f>G46</f>
        <v>3122.95</v>
      </c>
      <c r="U46" s="3346"/>
      <c r="V46" s="3346">
        <f>I46</f>
        <v>3094.31</v>
      </c>
      <c r="W46" s="3346"/>
      <c r="X46" s="754"/>
      <c r="Y46" s="776"/>
      <c r="Z46" s="754"/>
      <c r="AA46" s="754"/>
      <c r="AB46" s="754"/>
      <c r="AC46" s="754"/>
    </row>
    <row r="47" spans="1:29" ht="15.75" thickBot="1">
      <c r="A47" s="481" t="s">
        <v>2671</v>
      </c>
      <c r="B47" s="678"/>
      <c r="C47" s="485">
        <f>R48</f>
        <v>2753</v>
      </c>
      <c r="D47" s="484"/>
      <c r="E47" s="485">
        <f>R47</f>
        <v>2542</v>
      </c>
      <c r="F47" s="486"/>
      <c r="G47" s="483">
        <f>T47</f>
        <v>2896</v>
      </c>
      <c r="H47" s="484"/>
      <c r="I47" s="485">
        <f>V47</f>
        <v>2820</v>
      </c>
      <c r="J47" s="484"/>
      <c r="K47" s="779"/>
      <c r="L47" s="1141"/>
      <c r="M47" s="1142"/>
      <c r="N47" s="1142"/>
      <c r="O47" s="1142"/>
      <c r="P47" s="3315" t="str">
        <f>A47</f>
        <v>比较价值（元/平方米）</v>
      </c>
      <c r="Q47" s="3315"/>
      <c r="R47" s="3405">
        <f>ROUND(PRODUCT(R46,AA7:AA45),0)</f>
        <v>2542</v>
      </c>
      <c r="S47" s="3405"/>
      <c r="T47" s="3405">
        <f>ROUND(PRODUCT(T46,AB7:AB45),0)</f>
        <v>2896</v>
      </c>
      <c r="U47" s="3405"/>
      <c r="V47" s="3405">
        <f>ROUND(PRODUCT(V46,AC7:AC45),0)</f>
        <v>2820</v>
      </c>
      <c r="W47" s="3405"/>
      <c r="X47" s="754"/>
      <c r="Y47" s="754"/>
      <c r="Z47" s="754"/>
      <c r="AA47" s="754"/>
      <c r="AB47" s="754"/>
      <c r="AC47" s="754"/>
    </row>
    <row r="48" spans="1:29" ht="15.75" thickBot="1">
      <c r="A48" s="487" t="s">
        <v>2756</v>
      </c>
      <c r="B48" s="488"/>
      <c r="C48" s="489">
        <f>R48</f>
        <v>2753</v>
      </c>
      <c r="D48" s="489"/>
      <c r="E48" s="489"/>
      <c r="F48" s="489"/>
      <c r="G48" s="489"/>
      <c r="H48" s="489"/>
      <c r="I48" s="489"/>
      <c r="J48" s="489"/>
      <c r="K48" s="780"/>
      <c r="L48" s="1141"/>
      <c r="M48" s="1142"/>
      <c r="N48" s="1142"/>
      <c r="O48" s="1142"/>
      <c r="P48" s="3312" t="str">
        <f>A48</f>
        <v>估价对象XX用房的比较价值（楼面单价，元/平方米）</v>
      </c>
      <c r="Q48" s="3313"/>
      <c r="R48" s="3406">
        <f>ROUND(AVERAGE(R47:V47),0)</f>
        <v>2753</v>
      </c>
      <c r="S48" s="3406"/>
      <c r="T48" s="3406"/>
      <c r="U48" s="3406"/>
      <c r="V48" s="3406"/>
      <c r="W48" s="3406"/>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2" t="s">
        <v>2673</v>
      </c>
      <c r="D51" s="493"/>
      <c r="E51" s="494">
        <f>IF(E46&lt;E47,E47/E46-1,E46/E47-1)</f>
        <v>6.6003147128245621E-2</v>
      </c>
      <c r="F51" s="495" t="str">
        <f>IF(OR(E51&gt;=0.3,E51&lt;=-0.3),"超过30%","")</f>
        <v/>
      </c>
      <c r="G51" s="494">
        <f>IF(G46&lt;G47,G47/G46-1,G46/G47-1)</f>
        <v>7.8366712707182318E-2</v>
      </c>
      <c r="H51" s="495" t="str">
        <f>IF(OR(G51&gt;=0.3,G51&lt;=-0.3),"超过30%","")</f>
        <v/>
      </c>
      <c r="I51" s="494">
        <f>IF(I46&lt;I47,I47/I46-1,I46/I47-1)</f>
        <v>9.7273049645389964E-2</v>
      </c>
      <c r="J51" s="495" t="str">
        <f>IF(OR(I51&gt;=0.3,I51&lt;=-0.3),"超过30%","")</f>
        <v/>
      </c>
      <c r="K51" s="1103"/>
      <c r="L51" s="1104"/>
      <c r="M51" s="1142"/>
      <c r="N51" s="1142"/>
      <c r="O51" s="1142"/>
    </row>
    <row r="52" spans="1:15" ht="13.5" customHeight="1">
      <c r="A52" s="1142"/>
      <c r="B52" s="1142"/>
      <c r="C52" s="492" t="s">
        <v>2674</v>
      </c>
      <c r="D52" s="496"/>
      <c r="E52" s="494">
        <f>IF(E47&lt;G47,G47/E47-1,E47/G47-1)</f>
        <v>0.13926042486231305</v>
      </c>
      <c r="F52" s="495" t="str">
        <f>IF(OR(E52&gt;=0.2,E52&lt;=-0.2),"超过20%","")</f>
        <v/>
      </c>
      <c r="G52" s="494">
        <f>IF(G47&lt;I47,I47/G47-1,G47/I47-1)</f>
        <v>2.6950354609929006E-2</v>
      </c>
      <c r="H52" s="495" t="str">
        <f>IF(OR(G52&gt;=0.2,G52&lt;=-0.2),"超过20%","")</f>
        <v/>
      </c>
      <c r="I52" s="494">
        <f>IF(I47&lt;E47,E47/I47-1,I47/E47-1)</f>
        <v>0.10936270653029112</v>
      </c>
      <c r="J52" s="495" t="str">
        <f>IF(OR(I52&gt;=0.2,I52&lt;=-0.2),"超过20%","")</f>
        <v/>
      </c>
      <c r="K52" s="1103"/>
      <c r="L52" s="1104"/>
      <c r="M52" s="1142"/>
      <c r="N52" s="1142"/>
      <c r="O52" s="1142"/>
    </row>
    <row r="53" spans="1:15" s="497" customFormat="1" ht="13.5" customHeight="1">
      <c r="A53" s="1143"/>
      <c r="B53" s="1143"/>
      <c r="C53" s="492" t="s">
        <v>2675</v>
      </c>
      <c r="D53" s="496"/>
      <c r="E53" s="494">
        <f>IF(E46&lt;G46,G46/E46-1,E46/G46-1)</f>
        <v>0.15247363254581536</v>
      </c>
      <c r="F53" s="495" t="str">
        <f>IF(OR(E53&gt;=0.3,E53&lt;=-0.3),"超过30%","")</f>
        <v/>
      </c>
      <c r="G53" s="494">
        <f>IF(G46&lt;I46,I46/G46-1,G46/I46-1)</f>
        <v>9.255698362478082E-3</v>
      </c>
      <c r="H53" s="495" t="str">
        <f>IF(OR(G53&gt;=0.3,G53&lt;=-0.3),"超过30%","")</f>
        <v/>
      </c>
      <c r="I53" s="494">
        <f>IF(I46&lt;E46,E46/I46-1,I46/E46-1)</f>
        <v>0.14190450885311723</v>
      </c>
      <c r="J53" s="495" t="str">
        <f>IF(OR(I53&gt;=0.3,I53&lt;=-0.3),"超过30%","")</f>
        <v/>
      </c>
      <c r="K53" s="1146"/>
      <c r="L53" s="1147"/>
      <c r="M53" s="1143"/>
      <c r="N53" s="1143"/>
      <c r="O53" s="1143"/>
    </row>
    <row r="54" spans="1:15" s="497" customFormat="1" ht="15" thickBot="1">
      <c r="A54" s="1143"/>
      <c r="B54" s="1144"/>
      <c r="C54" s="757"/>
      <c r="D54" s="755"/>
      <c r="E54" s="755"/>
      <c r="F54" s="755"/>
      <c r="G54" s="755"/>
      <c r="H54" s="755"/>
      <c r="I54" s="755"/>
      <c r="J54" s="755"/>
      <c r="K54" s="1146"/>
      <c r="L54" s="1147"/>
      <c r="M54" s="1143"/>
      <c r="N54" s="1143"/>
      <c r="O54" s="1143"/>
    </row>
    <row r="55" spans="1:15" ht="27" customHeight="1">
      <c r="A55" s="679" t="s">
        <v>2757</v>
      </c>
      <c r="B55" s="680" t="s">
        <v>2758</v>
      </c>
      <c r="C55" s="2705" t="s">
        <v>2759</v>
      </c>
      <c r="D55" s="2706" t="s">
        <v>2760</v>
      </c>
      <c r="E55" s="681" t="s">
        <v>2761</v>
      </c>
      <c r="F55" s="1105" t="s">
        <v>2762</v>
      </c>
      <c r="G55" s="3330" t="s">
        <v>2763</v>
      </c>
      <c r="H55" s="3407"/>
      <c r="I55" s="141" t="s">
        <v>2764</v>
      </c>
      <c r="J55" s="2707">
        <f>项目基本情况!F35</f>
        <v>0</v>
      </c>
      <c r="K55" s="2708" t="s">
        <v>2765</v>
      </c>
      <c r="L55" s="1104"/>
      <c r="M55" s="1142"/>
      <c r="N55" s="1142"/>
      <c r="O55" s="1142"/>
    </row>
    <row r="56" spans="1:15" s="687" customFormat="1">
      <c r="A56" s="683" t="s">
        <v>2766</v>
      </c>
      <c r="B56" s="684">
        <f>C48</f>
        <v>2753</v>
      </c>
      <c r="C56" s="685">
        <v>1</v>
      </c>
      <c r="D56" s="1161">
        <v>1</v>
      </c>
      <c r="E56" s="685">
        <f>'数据-汇总表'!E8+'数据-汇总表'!E9</f>
        <v>1</v>
      </c>
      <c r="F56" s="1101">
        <f t="shared" ref="F56:F65" si="15">ROUND(B56*E56/10000,0)</f>
        <v>0</v>
      </c>
      <c r="G56" s="3326"/>
      <c r="H56" s="3315"/>
      <c r="I56" s="1106">
        <v>1</v>
      </c>
      <c r="J56" s="1109">
        <v>1</v>
      </c>
      <c r="K56" s="1143"/>
      <c r="L56" s="939"/>
      <c r="M56" s="939"/>
      <c r="N56" s="939"/>
      <c r="O56" s="939"/>
    </row>
    <row r="57" spans="1:15" s="687" customFormat="1">
      <c r="A57" s="688" t="s">
        <v>2767</v>
      </c>
      <c r="B57" s="259">
        <f>ROUND($C$48*C57*D57,0)</f>
        <v>0</v>
      </c>
      <c r="C57" s="197">
        <f t="shared" ref="C57:C65" si="16">IF($C$55="北京市系数",I57,J57)</f>
        <v>0</v>
      </c>
      <c r="D57" s="1162">
        <v>0.25</v>
      </c>
      <c r="E57" s="689"/>
      <c r="F57" s="1101">
        <f t="shared" si="15"/>
        <v>0</v>
      </c>
      <c r="G57" s="3408" t="s">
        <v>2768</v>
      </c>
      <c r="H57" s="1102">
        <f>项目基本情况!B37</f>
        <v>0</v>
      </c>
      <c r="I57" s="1106">
        <f>SUMIF(修正!A45:A56,H57,修正!B45:B56)</f>
        <v>0</v>
      </c>
      <c r="J57" s="1110"/>
      <c r="K57" s="1142"/>
      <c r="L57" s="939"/>
      <c r="M57" s="939"/>
      <c r="N57" s="939"/>
      <c r="O57" s="939"/>
    </row>
    <row r="58" spans="1:15" s="687" customFormat="1">
      <c r="A58" s="688" t="s">
        <v>2769</v>
      </c>
      <c r="B58" s="259">
        <f t="shared" ref="B58:B65" si="17">ROUND($C$48*C58*D58,0)</f>
        <v>0</v>
      </c>
      <c r="C58" s="197">
        <f t="shared" si="16"/>
        <v>0</v>
      </c>
      <c r="D58" s="1162">
        <v>0.25</v>
      </c>
      <c r="E58" s="689"/>
      <c r="F58" s="1101">
        <f t="shared" si="15"/>
        <v>0</v>
      </c>
      <c r="G58" s="3408"/>
      <c r="H58" s="1102">
        <f>项目基本情况!B37</f>
        <v>0</v>
      </c>
      <c r="I58" s="1106">
        <f>SUMIF(修正!A45:A56,H58,修正!C45:C56)</f>
        <v>0</v>
      </c>
      <c r="J58" s="1110"/>
      <c r="K58" s="1143"/>
      <c r="L58" s="939"/>
      <c r="M58" s="939"/>
      <c r="N58" s="939"/>
      <c r="O58" s="939"/>
    </row>
    <row r="59" spans="1:15" s="687" customFormat="1">
      <c r="A59" s="688" t="s">
        <v>2770</v>
      </c>
      <c r="B59" s="259">
        <f t="shared" si="17"/>
        <v>0</v>
      </c>
      <c r="C59" s="197">
        <f t="shared" si="16"/>
        <v>0</v>
      </c>
      <c r="D59" s="1162">
        <v>0.25</v>
      </c>
      <c r="E59" s="689"/>
      <c r="F59" s="1101">
        <f t="shared" si="15"/>
        <v>0</v>
      </c>
      <c r="G59" s="3408"/>
      <c r="H59" s="1102">
        <f>项目基本情况!B37</f>
        <v>0</v>
      </c>
      <c r="I59" s="1106">
        <f>SUMIF(修正!A45:A56,H59,修正!D45:D56)</f>
        <v>0</v>
      </c>
      <c r="J59" s="1110"/>
      <c r="K59" s="1142"/>
      <c r="L59" s="939"/>
      <c r="M59" s="939"/>
      <c r="N59" s="939"/>
      <c r="O59" s="939"/>
    </row>
    <row r="60" spans="1:15" s="687" customFormat="1">
      <c r="A60" s="688" t="s">
        <v>2771</v>
      </c>
      <c r="B60" s="259">
        <f t="shared" si="17"/>
        <v>0</v>
      </c>
      <c r="C60" s="197">
        <f t="shared" si="16"/>
        <v>0</v>
      </c>
      <c r="D60" s="1162">
        <v>0.25</v>
      </c>
      <c r="E60" s="689"/>
      <c r="F60" s="1101">
        <f t="shared" si="15"/>
        <v>0</v>
      </c>
      <c r="G60" s="3408"/>
      <c r="H60" s="1102">
        <f>项目基本情况!B37</f>
        <v>0</v>
      </c>
      <c r="I60" s="1106">
        <f>SUMIF(修正!A45:A56,H60,修正!E45:E56)</f>
        <v>0</v>
      </c>
      <c r="J60" s="1110"/>
      <c r="K60" s="1143"/>
      <c r="L60" s="939"/>
      <c r="M60" s="939"/>
      <c r="N60" s="939"/>
      <c r="O60" s="939"/>
    </row>
    <row r="61" spans="1:15" s="687" customFormat="1">
      <c r="A61" s="688" t="s">
        <v>2772</v>
      </c>
      <c r="B61" s="259">
        <f t="shared" si="17"/>
        <v>0</v>
      </c>
      <c r="C61" s="197">
        <f t="shared" si="16"/>
        <v>0</v>
      </c>
      <c r="D61" s="1162">
        <v>0.25</v>
      </c>
      <c r="E61" s="258">
        <f>'数据-汇总表'!E11</f>
        <v>0</v>
      </c>
      <c r="F61" s="1101">
        <f t="shared" si="15"/>
        <v>0</v>
      </c>
      <c r="G61" s="2709" t="s">
        <v>2773</v>
      </c>
      <c r="H61" s="1102">
        <f>项目基本情况!C37</f>
        <v>0</v>
      </c>
      <c r="I61" s="1106">
        <f>SUMIF(修正!A45:A56,H61,修正!F45:F56)</f>
        <v>0</v>
      </c>
      <c r="J61" s="1110"/>
      <c r="K61" s="1142"/>
      <c r="L61" s="939"/>
      <c r="M61" s="939"/>
      <c r="N61" s="939"/>
      <c r="O61" s="939"/>
    </row>
    <row r="62" spans="1:15" s="687" customFormat="1">
      <c r="A62" s="688" t="s">
        <v>2774</v>
      </c>
      <c r="B62" s="259">
        <f t="shared" si="17"/>
        <v>0</v>
      </c>
      <c r="C62" s="197">
        <f t="shared" si="16"/>
        <v>0</v>
      </c>
      <c r="D62" s="1162">
        <v>0.25</v>
      </c>
      <c r="E62" s="258">
        <f>'数据-汇总表'!E12</f>
        <v>0</v>
      </c>
      <c r="F62" s="1101">
        <f t="shared" si="15"/>
        <v>0</v>
      </c>
      <c r="G62" s="1107" t="s">
        <v>2775</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87" customFormat="1">
      <c r="A63" s="688" t="s">
        <v>2776</v>
      </c>
      <c r="B63" s="259">
        <f t="shared" si="17"/>
        <v>103</v>
      </c>
      <c r="C63" s="197">
        <f t="shared" si="16"/>
        <v>0.15</v>
      </c>
      <c r="D63" s="1162">
        <v>0.25</v>
      </c>
      <c r="E63" s="258">
        <f>'数据-汇总表'!E13</f>
        <v>0</v>
      </c>
      <c r="F63" s="1101">
        <f t="shared" si="15"/>
        <v>0</v>
      </c>
      <c r="G63" s="1107" t="s">
        <v>2777</v>
      </c>
      <c r="H63" s="1102" t="str">
        <f>IF(G63="商业",项目基本情况!B37,IF(G63="办公",项目基本情况!C37,IF(G63="住宅",项目基本情况!D37,项目基本情况!E37)))</f>
        <v>八级</v>
      </c>
      <c r="I63" s="1106">
        <f>SUMIF(修正!A45:A56,H63,修正!H45:H56)</f>
        <v>0.15</v>
      </c>
      <c r="J63" s="1110"/>
      <c r="K63" s="1142"/>
      <c r="L63" s="939"/>
      <c r="M63" s="939"/>
      <c r="N63" s="939"/>
      <c r="O63" s="939"/>
    </row>
    <row r="64" spans="1:15" s="687" customFormat="1">
      <c r="A64" s="688" t="s">
        <v>2778</v>
      </c>
      <c r="B64" s="259">
        <f t="shared" si="17"/>
        <v>0</v>
      </c>
      <c r="C64" s="197">
        <f t="shared" si="16"/>
        <v>0</v>
      </c>
      <c r="D64" s="1162">
        <v>0.25</v>
      </c>
      <c r="E64" s="258">
        <f>'数据-汇总表'!E14</f>
        <v>0</v>
      </c>
      <c r="F64" s="1101">
        <f t="shared" si="15"/>
        <v>0</v>
      </c>
      <c r="G64" s="2709" t="s">
        <v>2768</v>
      </c>
      <c r="H64" s="1102">
        <f>项目基本情况!B37</f>
        <v>0</v>
      </c>
      <c r="I64" s="1106">
        <f>SUMIF(修正!A45:A56,H64,修正!H45:H56)</f>
        <v>0</v>
      </c>
      <c r="J64" s="1110"/>
      <c r="K64" s="1143"/>
      <c r="L64" s="939"/>
      <c r="M64" s="939"/>
      <c r="N64" s="939"/>
      <c r="O64" s="939"/>
    </row>
    <row r="65" spans="1:17" s="687" customFormat="1" ht="15" thickBot="1">
      <c r="A65" s="688" t="s">
        <v>2779</v>
      </c>
      <c r="B65" s="259">
        <f t="shared" si="17"/>
        <v>0</v>
      </c>
      <c r="C65" s="197">
        <f t="shared" si="16"/>
        <v>0</v>
      </c>
      <c r="D65" s="1162">
        <v>0.25</v>
      </c>
      <c r="E65" s="258">
        <f>'数据-汇总表'!E15</f>
        <v>0</v>
      </c>
      <c r="F65" s="1101">
        <f t="shared" si="15"/>
        <v>0</v>
      </c>
      <c r="G65" s="2710" t="s">
        <v>2773</v>
      </c>
      <c r="H65" s="1112">
        <f>项目基本情况!C37</f>
        <v>0</v>
      </c>
      <c r="I65" s="1108">
        <f>SUMIF(修正!A45:A56,H65,修正!H45:H56)</f>
        <v>0</v>
      </c>
      <c r="J65" s="1111"/>
      <c r="K65" s="1142"/>
      <c r="L65" s="939"/>
      <c r="M65" s="939"/>
      <c r="N65" s="939"/>
      <c r="O65" s="939"/>
    </row>
    <row r="66" spans="1:17" s="687" customFormat="1" ht="13.5" thickBot="1">
      <c r="A66" s="690" t="s">
        <v>2780</v>
      </c>
      <c r="B66" s="691" t="s">
        <v>28</v>
      </c>
      <c r="C66" s="691" t="s">
        <v>29</v>
      </c>
      <c r="D66" s="691" t="s">
        <v>1029</v>
      </c>
      <c r="E66" s="691">
        <f>IF(B46="楼面地价",SUM(E56:E65),'数据-汇总表'!D3)</f>
        <v>1</v>
      </c>
      <c r="F66" s="692">
        <f>IF(B46="楼面地价",SUM(F56:F65),ROUND(C48*E66/10000,0))</f>
        <v>0</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2019-6-1</v>
      </c>
      <c r="D68" s="756">
        <f>EDATE(C68,-3)</f>
        <v>43525</v>
      </c>
      <c r="E68" s="756">
        <f>EDATE(D68,-3)</f>
        <v>43435</v>
      </c>
      <c r="F68" s="756">
        <f t="shared" ref="F68:O68" si="18">EDATE(E68,-3)</f>
        <v>43344</v>
      </c>
      <c r="G68" s="756">
        <f t="shared" si="18"/>
        <v>43252</v>
      </c>
      <c r="H68" s="756">
        <f t="shared" si="18"/>
        <v>43160</v>
      </c>
      <c r="I68" s="756">
        <f t="shared" si="18"/>
        <v>43070</v>
      </c>
      <c r="J68" s="756">
        <f t="shared" si="18"/>
        <v>42979</v>
      </c>
      <c r="K68" s="756">
        <f t="shared" si="18"/>
        <v>42887</v>
      </c>
      <c r="L68" s="756">
        <f t="shared" si="18"/>
        <v>42795</v>
      </c>
      <c r="M68" s="756">
        <f t="shared" si="18"/>
        <v>42705</v>
      </c>
      <c r="N68" s="756">
        <f t="shared" si="18"/>
        <v>42614</v>
      </c>
      <c r="O68" s="756">
        <f t="shared" si="18"/>
        <v>42522</v>
      </c>
    </row>
    <row r="69" spans="1:17" ht="21.75" thickBot="1">
      <c r="A69" s="758" t="s">
        <v>2676</v>
      </c>
      <c r="B69" s="754"/>
      <c r="C69" s="759"/>
      <c r="D69" s="759"/>
      <c r="E69" s="759"/>
      <c r="F69" s="760"/>
      <c r="G69" s="760"/>
      <c r="H69" s="759"/>
      <c r="I69" s="759"/>
      <c r="J69" s="1157"/>
      <c r="K69" s="1158"/>
      <c r="L69" s="1159"/>
      <c r="M69" s="1157"/>
      <c r="N69" s="1157"/>
      <c r="O69" s="1157"/>
      <c r="P69" s="498"/>
      <c r="Q69" s="499"/>
    </row>
    <row r="70" spans="1:17" s="503" customFormat="1" ht="15">
      <c r="A70" s="2711" t="s">
        <v>2781</v>
      </c>
      <c r="B70" s="1357"/>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2"/>
    </row>
    <row r="71" spans="1:17" s="116" customFormat="1" ht="30" customHeight="1">
      <c r="A71" s="2712" t="s">
        <v>2782</v>
      </c>
      <c r="B71" s="329" t="str">
        <f>"北京市平均增长率"&amp;TEXT(SUMIF(基准地价修正!N21:N25,A71,基准地价修正!P21:P25),"0.00%")</f>
        <v>北京市平均增长率0.00%</v>
      </c>
      <c r="C71" s="598">
        <v>100</v>
      </c>
      <c r="D71" s="590">
        <v>100</v>
      </c>
      <c r="E71" s="590">
        <v>100</v>
      </c>
      <c r="F71" s="590">
        <v>100</v>
      </c>
      <c r="G71" s="590">
        <v>100</v>
      </c>
      <c r="H71" s="590">
        <v>100</v>
      </c>
      <c r="I71" s="590">
        <v>100</v>
      </c>
      <c r="J71" s="590">
        <v>100</v>
      </c>
      <c r="K71" s="590">
        <v>100</v>
      </c>
      <c r="L71" s="590">
        <v>100</v>
      </c>
      <c r="M71" s="1564">
        <v>100</v>
      </c>
      <c r="N71" s="590"/>
      <c r="O71" s="1565"/>
      <c r="P71" s="499"/>
    </row>
    <row r="72" spans="1:17" s="116" customFormat="1" ht="15.75" thickBot="1">
      <c r="A72" s="510" t="s">
        <v>2587</v>
      </c>
      <c r="B72" s="511"/>
      <c r="C72" s="512"/>
      <c r="D72" s="513"/>
      <c r="E72" s="513"/>
      <c r="F72" s="513"/>
      <c r="G72" s="513"/>
      <c r="H72" s="513"/>
      <c r="I72" s="513"/>
      <c r="J72" s="513"/>
      <c r="K72" s="513"/>
      <c r="L72" s="513"/>
      <c r="M72" s="514"/>
      <c r="N72" s="513"/>
      <c r="O72" s="1160"/>
      <c r="P72" s="499"/>
      <c r="Q72" s="499"/>
    </row>
    <row r="73" spans="1:17" s="116" customFormat="1" ht="15">
      <c r="A73" s="516" t="s">
        <v>2552</v>
      </c>
      <c r="B73" s="505"/>
      <c r="C73" s="517" t="s">
        <v>2654</v>
      </c>
      <c r="D73" s="518"/>
      <c r="E73" s="518"/>
      <c r="F73" s="518"/>
      <c r="G73" s="518"/>
      <c r="H73" s="518"/>
      <c r="I73" s="518"/>
      <c r="J73" s="518"/>
      <c r="K73" s="518"/>
      <c r="L73" s="519"/>
      <c r="M73" s="520"/>
      <c r="N73" s="1149"/>
      <c r="O73" s="1149"/>
      <c r="P73" s="521"/>
      <c r="Q73" s="499"/>
    </row>
    <row r="74" spans="1:17" s="116" customFormat="1" ht="15.75" thickBot="1">
      <c r="A74" s="516"/>
      <c r="B74" s="505"/>
      <c r="C74" s="634">
        <v>100</v>
      </c>
      <c r="D74" s="507"/>
      <c r="E74" s="507"/>
      <c r="F74" s="507"/>
      <c r="G74" s="507"/>
      <c r="H74" s="507"/>
      <c r="I74" s="507"/>
      <c r="J74" s="507"/>
      <c r="K74" s="507"/>
      <c r="L74" s="507"/>
      <c r="M74" s="509"/>
      <c r="N74" s="1149"/>
      <c r="O74" s="1149"/>
      <c r="P74" s="499"/>
      <c r="Q74" s="499"/>
    </row>
    <row r="75" spans="1:17" ht="56.25">
      <c r="A75" s="522" t="s">
        <v>2590</v>
      </c>
      <c r="B75" s="523" t="s">
        <v>2556</v>
      </c>
      <c r="C75" s="2944" t="s">
        <v>3063</v>
      </c>
      <c r="D75" s="525" t="s">
        <v>3096</v>
      </c>
      <c r="E75" s="525" t="s">
        <v>3103</v>
      </c>
      <c r="F75" s="525"/>
      <c r="G75" s="525"/>
      <c r="H75" s="525"/>
      <c r="I75" s="525"/>
      <c r="J75" s="525"/>
      <c r="K75" s="526"/>
      <c r="L75" s="527"/>
      <c r="M75" s="528"/>
      <c r="N75" s="1150"/>
      <c r="O75" s="1150"/>
      <c r="P75" s="45"/>
      <c r="Q75" s="499"/>
    </row>
    <row r="76" spans="1:17" ht="15.75" thickBot="1">
      <c r="A76" s="529"/>
      <c r="B76" s="530"/>
      <c r="C76" s="531">
        <v>100</v>
      </c>
      <c r="D76" s="531">
        <v>101</v>
      </c>
      <c r="E76" s="531">
        <v>99</v>
      </c>
      <c r="F76" s="531"/>
      <c r="G76" s="531"/>
      <c r="H76" s="531"/>
      <c r="I76" s="531"/>
      <c r="J76" s="531"/>
      <c r="K76" s="531"/>
      <c r="L76" s="531"/>
      <c r="M76" s="532"/>
      <c r="N76" s="1151"/>
      <c r="O76" s="1151"/>
      <c r="P76" s="45"/>
      <c r="Q76" s="499"/>
    </row>
    <row r="77" spans="1:17" ht="27.75" thickTop="1">
      <c r="A77" s="529"/>
      <c r="B77" s="533" t="s">
        <v>2559</v>
      </c>
      <c r="C77" s="534"/>
      <c r="D77" s="534"/>
      <c r="E77" s="534"/>
      <c r="F77" s="534"/>
      <c r="G77" s="534"/>
      <c r="H77" s="534"/>
      <c r="I77" s="534"/>
      <c r="J77" s="534"/>
      <c r="K77" s="535"/>
      <c r="L77" s="536"/>
      <c r="M77" s="537"/>
      <c r="N77" s="1150"/>
      <c r="O77" s="1150"/>
      <c r="P77" s="45"/>
      <c r="Q77" s="499"/>
    </row>
    <row r="78" spans="1:17" ht="15.75" thickBot="1">
      <c r="A78" s="529"/>
      <c r="B78" s="538"/>
      <c r="C78" s="539"/>
      <c r="D78" s="539"/>
      <c r="E78" s="539"/>
      <c r="F78" s="539"/>
      <c r="G78" s="539"/>
      <c r="H78" s="539"/>
      <c r="I78" s="539"/>
      <c r="J78" s="539"/>
      <c r="K78" s="539"/>
      <c r="L78" s="539"/>
      <c r="M78" s="540"/>
      <c r="N78" s="1151"/>
      <c r="O78" s="1151"/>
      <c r="P78" s="45"/>
      <c r="Q78" s="499"/>
    </row>
    <row r="79" spans="1:17" ht="15.75" thickTop="1">
      <c r="A79" s="529"/>
      <c r="B79" s="541" t="s">
        <v>2560</v>
      </c>
      <c r="C79" s="542" t="str">
        <f>C80&amp;"（含）"&amp;"-"&amp;D80</f>
        <v>0（含）-1</v>
      </c>
      <c r="D79" s="542" t="str">
        <f t="shared" ref="D79:L79" si="20">D80&amp;"（含）"&amp;"-"&amp;E80</f>
        <v>1（含）-2</v>
      </c>
      <c r="E79" s="542" t="str">
        <f t="shared" si="20"/>
        <v>2（含）-3</v>
      </c>
      <c r="F79" s="542" t="str">
        <f t="shared" si="20"/>
        <v>3（含）-4</v>
      </c>
      <c r="G79" s="542" t="str">
        <f t="shared" si="20"/>
        <v>4（含）-</v>
      </c>
      <c r="H79" s="542" t="str">
        <f t="shared" si="20"/>
        <v>（含）-</v>
      </c>
      <c r="I79" s="542" t="str">
        <f t="shared" si="20"/>
        <v>（含）-</v>
      </c>
      <c r="J79" s="542" t="str">
        <f t="shared" si="20"/>
        <v>（含）-</v>
      </c>
      <c r="K79" s="542" t="str">
        <f t="shared" si="20"/>
        <v>（含）-</v>
      </c>
      <c r="L79" s="542" t="str">
        <f t="shared" si="20"/>
        <v>（含）-</v>
      </c>
      <c r="M79" s="445" t="str">
        <f>M80&amp;"（含）"&amp;"-"&amp;P80</f>
        <v>（含）-</v>
      </c>
      <c r="N79" s="1151"/>
      <c r="O79" s="1151"/>
      <c r="P79" s="45"/>
      <c r="Q79" s="499"/>
    </row>
    <row r="80" spans="1:17" ht="15">
      <c r="A80" s="529"/>
      <c r="B80" s="543"/>
      <c r="C80" s="544">
        <v>0</v>
      </c>
      <c r="D80" s="544">
        <v>1</v>
      </c>
      <c r="E80" s="544">
        <v>2</v>
      </c>
      <c r="F80" s="544">
        <v>3</v>
      </c>
      <c r="G80" s="544">
        <v>4</v>
      </c>
      <c r="H80" s="544"/>
      <c r="I80" s="544"/>
      <c r="J80" s="544"/>
      <c r="K80" s="545"/>
      <c r="L80" s="546"/>
      <c r="M80" s="547"/>
      <c r="N80" s="1150"/>
      <c r="O80" s="1150"/>
      <c r="P80" s="45"/>
      <c r="Q80" s="499"/>
    </row>
    <row r="81" spans="1:17" ht="15.75" thickBot="1">
      <c r="A81" s="529"/>
      <c r="B81" s="530"/>
      <c r="C81" s="539">
        <v>100</v>
      </c>
      <c r="D81" s="539">
        <f t="shared" ref="D81:M81" si="21">IF($B$46="单位面积地价",C81+$K11,C81-$K11)</f>
        <v>100</v>
      </c>
      <c r="E81" s="539">
        <f t="shared" si="21"/>
        <v>100</v>
      </c>
      <c r="F81" s="539">
        <f t="shared" si="21"/>
        <v>100</v>
      </c>
      <c r="G81" s="539">
        <f t="shared" si="21"/>
        <v>100</v>
      </c>
      <c r="H81" s="539">
        <f t="shared" si="21"/>
        <v>100</v>
      </c>
      <c r="I81" s="539">
        <f t="shared" si="21"/>
        <v>100</v>
      </c>
      <c r="J81" s="539">
        <f t="shared" si="21"/>
        <v>100</v>
      </c>
      <c r="K81" s="539">
        <f t="shared" si="21"/>
        <v>100</v>
      </c>
      <c r="L81" s="539">
        <f t="shared" si="21"/>
        <v>100</v>
      </c>
      <c r="M81" s="539">
        <f t="shared" si="21"/>
        <v>100</v>
      </c>
      <c r="N81" s="1151"/>
      <c r="O81" s="1151"/>
      <c r="P81" s="45"/>
      <c r="Q81" s="499"/>
    </row>
    <row r="82" spans="1:17" s="466" customFormat="1" ht="15.75" thickTop="1">
      <c r="A82" s="548"/>
      <c r="B82" s="533" t="str">
        <f>B12</f>
        <v>土地受让方</v>
      </c>
      <c r="C82" s="549"/>
      <c r="D82" s="549"/>
      <c r="E82" s="549"/>
      <c r="F82" s="549"/>
      <c r="G82" s="549"/>
      <c r="H82" s="550"/>
      <c r="I82" s="550"/>
      <c r="J82" s="550"/>
      <c r="K82" s="550"/>
      <c r="L82" s="551"/>
      <c r="M82" s="552"/>
      <c r="N82" s="1152"/>
      <c r="O82" s="1152"/>
      <c r="P82" s="553"/>
      <c r="Q82" s="554"/>
    </row>
    <row r="83" spans="1:17" s="466" customFormat="1" ht="15.75" thickBot="1">
      <c r="A83" s="548"/>
      <c r="B83" s="538"/>
      <c r="C83" s="555"/>
      <c r="D83" s="531"/>
      <c r="E83" s="531"/>
      <c r="F83" s="531"/>
      <c r="G83" s="531"/>
      <c r="H83" s="531"/>
      <c r="I83" s="531"/>
      <c r="J83" s="531"/>
      <c r="K83" s="531"/>
      <c r="L83" s="531"/>
      <c r="M83" s="532"/>
      <c r="N83" s="1151"/>
      <c r="O83" s="1151"/>
      <c r="P83" s="553"/>
      <c r="Q83" s="554"/>
    </row>
    <row r="84" spans="1:17" s="466" customFormat="1" ht="15.75" thickTop="1">
      <c r="A84" s="548"/>
      <c r="B84" s="533">
        <f>B13</f>
        <v>111</v>
      </c>
      <c r="C84" s="549"/>
      <c r="D84" s="549"/>
      <c r="E84" s="549"/>
      <c r="F84" s="549"/>
      <c r="G84" s="549"/>
      <c r="H84" s="550"/>
      <c r="I84" s="550"/>
      <c r="J84" s="550"/>
      <c r="K84" s="550"/>
      <c r="L84" s="551"/>
      <c r="M84" s="552"/>
      <c r="N84" s="1152"/>
      <c r="O84" s="1152"/>
      <c r="P84" s="465"/>
      <c r="Q84" s="556"/>
    </row>
    <row r="85" spans="1:17" s="466" customFormat="1" ht="15.75" thickBot="1">
      <c r="A85" s="548"/>
      <c r="B85" s="538"/>
      <c r="C85" s="555"/>
      <c r="D85" s="555"/>
      <c r="E85" s="555"/>
      <c r="F85" s="555"/>
      <c r="G85" s="555"/>
      <c r="H85" s="557"/>
      <c r="I85" s="557"/>
      <c r="J85" s="557"/>
      <c r="K85" s="557"/>
      <c r="L85" s="557"/>
      <c r="M85" s="558"/>
      <c r="N85" s="1152"/>
      <c r="O85" s="1152"/>
      <c r="P85" s="553"/>
      <c r="Q85" s="554"/>
    </row>
    <row r="86" spans="1:17" s="466" customFormat="1" ht="15.75" thickTop="1">
      <c r="A86" s="548"/>
      <c r="B86" s="541">
        <f>B14</f>
        <v>111</v>
      </c>
      <c r="C86" s="518"/>
      <c r="D86" s="518"/>
      <c r="E86" s="518"/>
      <c r="F86" s="518"/>
      <c r="G86" s="518"/>
      <c r="H86" s="559"/>
      <c r="I86" s="559"/>
      <c r="J86" s="559"/>
      <c r="K86" s="559"/>
      <c r="L86" s="560"/>
      <c r="M86" s="561"/>
      <c r="N86" s="1152"/>
      <c r="O86" s="1152"/>
      <c r="P86" s="562"/>
      <c r="Q86" s="554"/>
    </row>
    <row r="87" spans="1:17" s="466" customFormat="1" ht="15.75" thickBot="1">
      <c r="A87" s="563"/>
      <c r="B87" s="564"/>
      <c r="C87" s="565"/>
      <c r="D87" s="565"/>
      <c r="E87" s="565"/>
      <c r="F87" s="565"/>
      <c r="G87" s="565"/>
      <c r="H87" s="566"/>
      <c r="I87" s="566"/>
      <c r="J87" s="566"/>
      <c r="K87" s="566"/>
      <c r="L87" s="566"/>
      <c r="M87" s="567"/>
      <c r="N87" s="1152"/>
      <c r="O87" s="1152"/>
      <c r="P87" s="553"/>
      <c r="Q87" s="554"/>
    </row>
    <row r="88" spans="1:17">
      <c r="A88" s="522" t="s">
        <v>2561</v>
      </c>
      <c r="B88" s="523" t="s">
        <v>2598</v>
      </c>
      <c r="C88" s="568" t="s">
        <v>2599</v>
      </c>
      <c r="D88" s="568" t="s">
        <v>2600</v>
      </c>
      <c r="E88" s="568" t="s">
        <v>2601</v>
      </c>
      <c r="F88" s="568" t="s">
        <v>2602</v>
      </c>
      <c r="G88" s="568" t="s">
        <v>2603</v>
      </c>
      <c r="H88" s="524"/>
      <c r="I88" s="524"/>
      <c r="J88" s="524"/>
      <c r="K88" s="569"/>
      <c r="L88" s="570"/>
      <c r="M88" s="571"/>
      <c r="N88" s="1150"/>
      <c r="O88" s="1150"/>
      <c r="P88" s="572"/>
      <c r="Q88" s="499"/>
    </row>
    <row r="89" spans="1:17" ht="15.75" thickBot="1">
      <c r="A89" s="529"/>
      <c r="B89" s="538"/>
      <c r="C89" s="539">
        <v>100</v>
      </c>
      <c r="D89" s="539">
        <f>C89-$K15</f>
        <v>97</v>
      </c>
      <c r="E89" s="539">
        <f>D89-$K15</f>
        <v>94</v>
      </c>
      <c r="F89" s="539">
        <f>E89-$K15</f>
        <v>91</v>
      </c>
      <c r="G89" s="539">
        <f>F89-$K15</f>
        <v>88</v>
      </c>
      <c r="H89" s="539"/>
      <c r="I89" s="539"/>
      <c r="J89" s="539"/>
      <c r="K89" s="539"/>
      <c r="L89" s="539"/>
      <c r="M89" s="540"/>
      <c r="N89" s="1151"/>
      <c r="O89" s="1151"/>
      <c r="P89" s="45"/>
      <c r="Q89" s="499"/>
    </row>
    <row r="90" spans="1:17" ht="15.75" thickTop="1">
      <c r="A90" s="529"/>
      <c r="B90" s="533" t="s">
        <v>2783</v>
      </c>
      <c r="C90" s="573" t="s">
        <v>2599</v>
      </c>
      <c r="D90" s="573" t="s">
        <v>2600</v>
      </c>
      <c r="E90" s="573" t="s">
        <v>2601</v>
      </c>
      <c r="F90" s="573" t="s">
        <v>2602</v>
      </c>
      <c r="G90" s="573" t="s">
        <v>2603</v>
      </c>
      <c r="H90" s="534"/>
      <c r="I90" s="534"/>
      <c r="J90" s="534"/>
      <c r="K90" s="535"/>
      <c r="L90" s="536"/>
      <c r="M90" s="537"/>
      <c r="N90" s="1150"/>
      <c r="O90" s="1150"/>
      <c r="P90" s="45"/>
      <c r="Q90" s="499"/>
    </row>
    <row r="91" spans="1:17" ht="15.75" thickBot="1">
      <c r="A91" s="529"/>
      <c r="B91" s="538"/>
      <c r="C91" s="539">
        <v>100</v>
      </c>
      <c r="D91" s="539">
        <f>C91-$K17</f>
        <v>100</v>
      </c>
      <c r="E91" s="539">
        <f>D91-$K17</f>
        <v>100</v>
      </c>
      <c r="F91" s="539">
        <f>E91-$K17</f>
        <v>100</v>
      </c>
      <c r="G91" s="539">
        <f>F91-$K17</f>
        <v>100</v>
      </c>
      <c r="H91" s="539"/>
      <c r="I91" s="539"/>
      <c r="J91" s="539"/>
      <c r="K91" s="539"/>
      <c r="L91" s="539"/>
      <c r="M91" s="540"/>
      <c r="N91" s="1151"/>
      <c r="O91" s="1151"/>
      <c r="P91" s="45"/>
      <c r="Q91" s="499"/>
    </row>
    <row r="92" spans="1:17" ht="15.75" thickTop="1">
      <c r="A92" s="529"/>
      <c r="B92" s="533" t="s">
        <v>2699</v>
      </c>
      <c r="C92" s="573" t="s">
        <v>2599</v>
      </c>
      <c r="D92" s="573" t="s">
        <v>2600</v>
      </c>
      <c r="E92" s="573" t="s">
        <v>2601</v>
      </c>
      <c r="F92" s="573" t="s">
        <v>2602</v>
      </c>
      <c r="G92" s="573" t="s">
        <v>2603</v>
      </c>
      <c r="H92" s="534"/>
      <c r="I92" s="534"/>
      <c r="J92" s="534"/>
      <c r="K92" s="535"/>
      <c r="L92" s="536"/>
      <c r="M92" s="537"/>
      <c r="N92" s="1150"/>
      <c r="O92" s="1150"/>
      <c r="P92" s="45"/>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51"/>
      <c r="O93" s="1151"/>
      <c r="P93" s="45"/>
      <c r="Q93" s="499"/>
    </row>
    <row r="94" spans="1:17" ht="15.75" thickTop="1">
      <c r="A94" s="529"/>
      <c r="B94" s="533" t="s">
        <v>2604</v>
      </c>
      <c r="C94" s="573" t="s">
        <v>2599</v>
      </c>
      <c r="D94" s="573" t="s">
        <v>2600</v>
      </c>
      <c r="E94" s="573" t="s">
        <v>2601</v>
      </c>
      <c r="F94" s="573" t="s">
        <v>2602</v>
      </c>
      <c r="G94" s="573" t="s">
        <v>2603</v>
      </c>
      <c r="H94" s="534"/>
      <c r="I94" s="534"/>
      <c r="J94" s="534"/>
      <c r="K94" s="535"/>
      <c r="L94" s="536"/>
      <c r="M94" s="537"/>
      <c r="N94" s="1150"/>
      <c r="O94" s="1150"/>
      <c r="P94" s="45"/>
      <c r="Q94" s="499"/>
    </row>
    <row r="95" spans="1:17" ht="15.75" thickBot="1">
      <c r="A95" s="529"/>
      <c r="B95" s="538"/>
      <c r="C95" s="539">
        <v>100</v>
      </c>
      <c r="D95" s="539">
        <f>C95-$K21</f>
        <v>100</v>
      </c>
      <c r="E95" s="539">
        <f>D95-$K21</f>
        <v>100</v>
      </c>
      <c r="F95" s="539">
        <f>E95-$K21</f>
        <v>100</v>
      </c>
      <c r="G95" s="539">
        <f>F95-$K21</f>
        <v>100</v>
      </c>
      <c r="H95" s="539"/>
      <c r="I95" s="539"/>
      <c r="J95" s="539"/>
      <c r="K95" s="539"/>
      <c r="L95" s="539"/>
      <c r="M95" s="540"/>
      <c r="N95" s="1151"/>
      <c r="O95" s="1151"/>
      <c r="P95" s="45"/>
      <c r="Q95" s="499"/>
    </row>
    <row r="96" spans="1:17" s="116" customFormat="1" ht="15.75" thickTop="1">
      <c r="A96" s="574"/>
      <c r="B96" s="533" t="s">
        <v>2784</v>
      </c>
      <c r="C96" s="573" t="s">
        <v>2599</v>
      </c>
      <c r="D96" s="573" t="s">
        <v>2600</v>
      </c>
      <c r="E96" s="573" t="s">
        <v>2601</v>
      </c>
      <c r="F96" s="573" t="s">
        <v>2602</v>
      </c>
      <c r="G96" s="573" t="s">
        <v>2603</v>
      </c>
      <c r="H96" s="573"/>
      <c r="I96" s="573"/>
      <c r="J96" s="573"/>
      <c r="K96" s="573"/>
      <c r="L96" s="693"/>
      <c r="M96" s="617"/>
      <c r="N96" s="1149"/>
      <c r="O96" s="1149"/>
      <c r="P96" s="45"/>
      <c r="Q96" s="499"/>
    </row>
    <row r="97" spans="1:17" s="116" customFormat="1" ht="15.75" thickBot="1">
      <c r="A97" s="574"/>
      <c r="B97" s="538"/>
      <c r="C97" s="577">
        <v>100</v>
      </c>
      <c r="D97" s="539">
        <f>C97-$K23</f>
        <v>100</v>
      </c>
      <c r="E97" s="539">
        <f>D97-$K23</f>
        <v>100</v>
      </c>
      <c r="F97" s="539">
        <f>E97-$K23</f>
        <v>100</v>
      </c>
      <c r="G97" s="539">
        <f>F97-$K23</f>
        <v>100</v>
      </c>
      <c r="H97" s="539"/>
      <c r="I97" s="539"/>
      <c r="J97" s="539"/>
      <c r="K97" s="539"/>
      <c r="L97" s="539"/>
      <c r="M97" s="540"/>
      <c r="N97" s="1151"/>
      <c r="O97" s="1151"/>
      <c r="P97" s="45"/>
      <c r="Q97" s="499"/>
    </row>
    <row r="98" spans="1:17" s="116" customFormat="1" ht="27.75" thickTop="1">
      <c r="A98" s="574"/>
      <c r="B98" s="533" t="s">
        <v>2785</v>
      </c>
      <c r="C98" s="568" t="s">
        <v>2599</v>
      </c>
      <c r="D98" s="568" t="s">
        <v>2600</v>
      </c>
      <c r="E98" s="568" t="s">
        <v>2601</v>
      </c>
      <c r="F98" s="568" t="s">
        <v>2602</v>
      </c>
      <c r="G98" s="568" t="s">
        <v>2603</v>
      </c>
      <c r="H98" s="573"/>
      <c r="I98" s="573"/>
      <c r="J98" s="573"/>
      <c r="K98" s="573"/>
      <c r="L98" s="573"/>
      <c r="M98" s="617"/>
      <c r="N98" s="1149"/>
      <c r="O98" s="1149"/>
      <c r="P98" s="45"/>
      <c r="Q98" s="499"/>
    </row>
    <row r="99" spans="1:17" s="116" customFormat="1" ht="15.75" thickBot="1">
      <c r="A99" s="574"/>
      <c r="B99" s="538"/>
      <c r="C99" s="539">
        <v>100</v>
      </c>
      <c r="D99" s="539">
        <f>C99-$K25</f>
        <v>97.5</v>
      </c>
      <c r="E99" s="539">
        <f>D99-$K25</f>
        <v>95</v>
      </c>
      <c r="F99" s="539">
        <f>E99-$K25</f>
        <v>92.5</v>
      </c>
      <c r="G99" s="539">
        <f>F99-$K25</f>
        <v>90</v>
      </c>
      <c r="H99" s="539"/>
      <c r="I99" s="539"/>
      <c r="J99" s="539"/>
      <c r="K99" s="539"/>
      <c r="L99" s="539"/>
      <c r="M99" s="540"/>
      <c r="N99" s="1151"/>
      <c r="O99" s="1151"/>
      <c r="P99" s="45"/>
      <c r="Q99" s="499"/>
    </row>
    <row r="100" spans="1:17" s="466" customFormat="1" ht="15.75" thickTop="1">
      <c r="A100" s="548"/>
      <c r="B100" s="533" t="s">
        <v>2656</v>
      </c>
      <c r="C100" s="568" t="s">
        <v>2599</v>
      </c>
      <c r="D100" s="568" t="s">
        <v>2600</v>
      </c>
      <c r="E100" s="568" t="s">
        <v>2601</v>
      </c>
      <c r="F100" s="568" t="s">
        <v>2602</v>
      </c>
      <c r="G100" s="568" t="s">
        <v>2603</v>
      </c>
      <c r="H100" s="595"/>
      <c r="I100" s="595"/>
      <c r="J100" s="595"/>
      <c r="K100" s="595"/>
      <c r="L100" s="596"/>
      <c r="M100" s="597"/>
      <c r="N100" s="1152"/>
      <c r="O100" s="1152"/>
      <c r="P100" s="553"/>
      <c r="Q100" s="554"/>
    </row>
    <row r="101" spans="1:17" s="466" customFormat="1" ht="15.75" thickBot="1">
      <c r="A101" s="548"/>
      <c r="B101" s="538"/>
      <c r="C101" s="539">
        <v>100</v>
      </c>
      <c r="D101" s="539">
        <f>C101-$K27</f>
        <v>99</v>
      </c>
      <c r="E101" s="539">
        <f>D101-$K27</f>
        <v>98</v>
      </c>
      <c r="F101" s="539">
        <f>E101-$K27</f>
        <v>97</v>
      </c>
      <c r="G101" s="539">
        <f>F101-$K27</f>
        <v>96</v>
      </c>
      <c r="H101" s="602"/>
      <c r="I101" s="602"/>
      <c r="J101" s="602"/>
      <c r="K101" s="602"/>
      <c r="L101" s="602"/>
      <c r="M101" s="603"/>
      <c r="N101" s="1152"/>
      <c r="O101" s="1152"/>
      <c r="P101" s="553"/>
      <c r="Q101" s="554"/>
    </row>
    <row r="102" spans="1:17" s="466" customFormat="1" ht="15.75" thickTop="1">
      <c r="A102" s="548"/>
      <c r="B102" s="541" t="s">
        <v>2657</v>
      </c>
      <c r="C102" s="655" t="s">
        <v>2677</v>
      </c>
      <c r="D102" s="655" t="s">
        <v>2678</v>
      </c>
      <c r="E102" s="655" t="s">
        <v>2679</v>
      </c>
      <c r="F102" s="655" t="s">
        <v>2680</v>
      </c>
      <c r="G102" s="655" t="s">
        <v>2681</v>
      </c>
      <c r="H102" s="595"/>
      <c r="I102" s="595"/>
      <c r="J102" s="595"/>
      <c r="K102" s="595"/>
      <c r="L102" s="595"/>
      <c r="M102" s="1383"/>
      <c r="N102" s="1152"/>
      <c r="O102" s="1152"/>
      <c r="P102" s="553"/>
      <c r="Q102" s="554"/>
    </row>
    <row r="103" spans="1:17" s="466" customFormat="1" ht="15.75" thickBot="1">
      <c r="A103" s="548"/>
      <c r="B103" s="541"/>
      <c r="C103" s="539">
        <v>100</v>
      </c>
      <c r="D103" s="539">
        <f>C103-$K29</f>
        <v>100</v>
      </c>
      <c r="E103" s="539">
        <f>D103-$K29</f>
        <v>100</v>
      </c>
      <c r="F103" s="539">
        <f>E103-$K29</f>
        <v>100</v>
      </c>
      <c r="G103" s="539">
        <f>F103-$K29</f>
        <v>100</v>
      </c>
      <c r="H103" s="543"/>
      <c r="I103" s="543"/>
      <c r="J103" s="543"/>
      <c r="K103" s="543"/>
      <c r="L103" s="543"/>
      <c r="M103" s="1383"/>
      <c r="N103" s="1152"/>
      <c r="O103" s="1152"/>
      <c r="P103" s="553"/>
      <c r="Q103" s="554"/>
    </row>
    <row r="104" spans="1:17" ht="15.75" thickTop="1">
      <c r="A104" s="529"/>
      <c r="B104" s="533" t="str">
        <f>B31</f>
        <v>临街状况</v>
      </c>
      <c r="C104" s="534" t="s">
        <v>2786</v>
      </c>
      <c r="D104" s="534" t="s">
        <v>2787</v>
      </c>
      <c r="E104" s="534" t="s">
        <v>2788</v>
      </c>
      <c r="F104" s="534" t="s">
        <v>2789</v>
      </c>
      <c r="G104" s="534"/>
      <c r="H104" s="534"/>
      <c r="I104" s="534"/>
      <c r="J104" s="534"/>
      <c r="K104" s="535"/>
      <c r="L104" s="536"/>
      <c r="M104" s="537"/>
      <c r="N104" s="1150"/>
      <c r="O104" s="1150"/>
      <c r="P104" s="45"/>
      <c r="Q104" s="499"/>
    </row>
    <row r="105" spans="1:17" ht="15.75" thickBot="1">
      <c r="A105" s="529"/>
      <c r="B105" s="538"/>
      <c r="C105" s="539">
        <v>100</v>
      </c>
      <c r="D105" s="539">
        <f>C105-$K31</f>
        <v>100</v>
      </c>
      <c r="E105" s="539">
        <f t="shared" ref="E105:M105" si="22">D105-$K31</f>
        <v>100</v>
      </c>
      <c r="F105" s="539">
        <f t="shared" si="22"/>
        <v>100</v>
      </c>
      <c r="G105" s="539">
        <f t="shared" si="22"/>
        <v>100</v>
      </c>
      <c r="H105" s="539">
        <f t="shared" si="22"/>
        <v>100</v>
      </c>
      <c r="I105" s="539">
        <f t="shared" si="22"/>
        <v>100</v>
      </c>
      <c r="J105" s="539">
        <f t="shared" si="22"/>
        <v>100</v>
      </c>
      <c r="K105" s="539">
        <f t="shared" si="22"/>
        <v>100</v>
      </c>
      <c r="L105" s="539">
        <f t="shared" si="22"/>
        <v>100</v>
      </c>
      <c r="M105" s="539">
        <f t="shared" si="22"/>
        <v>100</v>
      </c>
      <c r="N105" s="1151"/>
      <c r="O105" s="1151"/>
      <c r="P105" s="45"/>
      <c r="Q105" s="499"/>
    </row>
    <row r="106" spans="1:17" ht="27.75" thickTop="1">
      <c r="A106" s="529"/>
      <c r="B106" s="533" t="s">
        <v>2693</v>
      </c>
      <c r="C106" s="2949" t="s">
        <v>3074</v>
      </c>
      <c r="D106" s="2949" t="s">
        <v>3075</v>
      </c>
      <c r="E106" s="2949" t="s">
        <v>3076</v>
      </c>
      <c r="F106" s="2949" t="s">
        <v>3077</v>
      </c>
      <c r="G106" s="2949" t="s">
        <v>3078</v>
      </c>
      <c r="H106" s="578"/>
      <c r="I106" s="578"/>
      <c r="J106" s="578"/>
      <c r="K106" s="579"/>
      <c r="L106" s="580"/>
      <c r="M106" s="581"/>
      <c r="N106" s="1150"/>
      <c r="O106" s="1150"/>
      <c r="P106" s="45"/>
      <c r="Q106" s="499"/>
    </row>
    <row r="107" spans="1:17" ht="15.75" thickBot="1">
      <c r="A107" s="529"/>
      <c r="B107" s="538"/>
      <c r="C107" s="539">
        <v>100</v>
      </c>
      <c r="D107" s="539">
        <f>C107-$K32</f>
        <v>97</v>
      </c>
      <c r="E107" s="539">
        <f t="shared" ref="E107:M107" si="23">D107-$K32</f>
        <v>94</v>
      </c>
      <c r="F107" s="539">
        <f t="shared" si="23"/>
        <v>91</v>
      </c>
      <c r="G107" s="539">
        <f t="shared" si="23"/>
        <v>88</v>
      </c>
      <c r="H107" s="539">
        <f t="shared" si="23"/>
        <v>85</v>
      </c>
      <c r="I107" s="539">
        <f t="shared" si="23"/>
        <v>82</v>
      </c>
      <c r="J107" s="539">
        <f t="shared" si="23"/>
        <v>79</v>
      </c>
      <c r="K107" s="539">
        <f t="shared" si="23"/>
        <v>76</v>
      </c>
      <c r="L107" s="539">
        <f t="shared" si="23"/>
        <v>73</v>
      </c>
      <c r="M107" s="539">
        <f t="shared" si="23"/>
        <v>70</v>
      </c>
      <c r="N107" s="1151"/>
      <c r="O107" s="1151"/>
      <c r="P107" s="45"/>
      <c r="Q107" s="499"/>
    </row>
    <row r="108" spans="1:17" ht="15.75" thickTop="1">
      <c r="A108" s="529"/>
      <c r="B108" s="533" t="s">
        <v>2750</v>
      </c>
      <c r="C108" s="2950" t="s">
        <v>3079</v>
      </c>
      <c r="D108" s="2950" t="s">
        <v>3080</v>
      </c>
      <c r="E108" s="2950" t="s">
        <v>3081</v>
      </c>
      <c r="F108" s="2950" t="s">
        <v>3082</v>
      </c>
      <c r="G108" s="578"/>
      <c r="H108" s="578"/>
      <c r="I108" s="578"/>
      <c r="J108" s="578"/>
      <c r="K108" s="579"/>
      <c r="L108" s="580"/>
      <c r="M108" s="581"/>
      <c r="N108" s="1150"/>
      <c r="O108" s="1150"/>
      <c r="P108" s="45"/>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51"/>
      <c r="O109" s="1151"/>
      <c r="P109" s="45"/>
      <c r="Q109" s="499"/>
    </row>
    <row r="110" spans="1:17" ht="15.75" thickTop="1">
      <c r="A110" s="529"/>
      <c r="B110" s="541">
        <f>B35</f>
        <v>111</v>
      </c>
      <c r="C110" s="549"/>
      <c r="D110" s="549"/>
      <c r="E110" s="549"/>
      <c r="F110" s="549"/>
      <c r="G110" s="582"/>
      <c r="H110" s="582"/>
      <c r="I110" s="582"/>
      <c r="J110" s="582"/>
      <c r="K110" s="583"/>
      <c r="L110" s="584"/>
      <c r="M110" s="585"/>
      <c r="N110" s="1150"/>
      <c r="O110" s="1150"/>
      <c r="P110" s="45"/>
      <c r="Q110" s="499"/>
    </row>
    <row r="111" spans="1:17" ht="15.75" thickBot="1">
      <c r="A111" s="529"/>
      <c r="B111" s="564"/>
      <c r="C111" s="555"/>
      <c r="D111" s="555"/>
      <c r="E111" s="555"/>
      <c r="F111" s="555"/>
      <c r="G111" s="586"/>
      <c r="H111" s="586"/>
      <c r="I111" s="586"/>
      <c r="J111" s="586"/>
      <c r="K111" s="586"/>
      <c r="L111" s="586"/>
      <c r="M111" s="587"/>
      <c r="N111" s="1151"/>
      <c r="O111" s="1151"/>
      <c r="P111" s="45"/>
      <c r="Q111" s="499"/>
    </row>
    <row r="112" spans="1:17" ht="15" thickTop="1">
      <c r="A112" s="670"/>
      <c r="B112" s="533">
        <f>B36</f>
        <v>111</v>
      </c>
      <c r="C112" s="518"/>
      <c r="D112" s="518"/>
      <c r="E112" s="518"/>
      <c r="F112" s="518"/>
      <c r="G112" s="578"/>
      <c r="H112" s="578"/>
      <c r="I112" s="578"/>
      <c r="J112" s="578"/>
      <c r="K112" s="579"/>
      <c r="L112" s="580"/>
      <c r="M112" s="581"/>
      <c r="N112" s="1150"/>
      <c r="O112" s="1150"/>
      <c r="P112" s="45"/>
      <c r="Q112" s="499"/>
    </row>
    <row r="113" spans="1:17" ht="15.75" thickBot="1">
      <c r="A113" s="529"/>
      <c r="B113" s="538"/>
      <c r="C113" s="565"/>
      <c r="D113" s="565"/>
      <c r="E113" s="565"/>
      <c r="F113" s="565"/>
      <c r="G113" s="531"/>
      <c r="H113" s="531"/>
      <c r="I113" s="531"/>
      <c r="J113" s="531"/>
      <c r="K113" s="531"/>
      <c r="L113" s="531"/>
      <c r="M113" s="532"/>
      <c r="N113" s="1151"/>
      <c r="O113" s="1151"/>
      <c r="P113" s="45"/>
      <c r="Q113" s="499"/>
    </row>
    <row r="114" spans="1:17" s="466" customFormat="1" ht="15" thickTop="1">
      <c r="A114" s="588"/>
      <c r="B114" s="589">
        <f>B37</f>
        <v>111</v>
      </c>
      <c r="C114" s="590"/>
      <c r="D114" s="590"/>
      <c r="E114" s="590"/>
      <c r="F114" s="590"/>
      <c r="G114" s="590"/>
      <c r="H114" s="590"/>
      <c r="I114" s="590"/>
      <c r="J114" s="591"/>
      <c r="K114" s="591"/>
      <c r="L114" s="592"/>
      <c r="M114" s="593"/>
      <c r="N114" s="1152"/>
      <c r="O114" s="1152"/>
      <c r="P114" s="553"/>
      <c r="Q114" s="554"/>
    </row>
    <row r="115" spans="1:17" s="466" customFormat="1" ht="15.75" thickBot="1">
      <c r="A115" s="548"/>
      <c r="B115" s="541"/>
      <c r="C115" s="507"/>
      <c r="D115" s="672"/>
      <c r="E115" s="672"/>
      <c r="F115" s="672"/>
      <c r="G115" s="672"/>
      <c r="H115" s="672"/>
      <c r="I115" s="672"/>
      <c r="J115" s="672"/>
      <c r="K115" s="672"/>
      <c r="L115" s="672"/>
      <c r="M115" s="694"/>
      <c r="N115" s="1151"/>
      <c r="O115" s="1151"/>
      <c r="P115" s="553"/>
      <c r="Q115" s="554"/>
    </row>
    <row r="116" spans="1:17" ht="28.5">
      <c r="A116" s="522" t="s">
        <v>2565</v>
      </c>
      <c r="B116" s="523" t="s">
        <v>2790</v>
      </c>
      <c r="C116" s="524" t="str">
        <f>C117&amp;"(含)"&amp;"-"&amp;D117</f>
        <v>0(含)-500000</v>
      </c>
      <c r="D116" s="524" t="str">
        <f t="shared" ref="D116:M116" si="25">D117&amp;"(含)"&amp;"-"&amp;E117</f>
        <v>500000(含)-1000000</v>
      </c>
      <c r="E116" s="524" t="str">
        <f t="shared" si="25"/>
        <v>1000000(含)-1500000</v>
      </c>
      <c r="F116" s="524" t="str">
        <f t="shared" si="25"/>
        <v>1500000(含)-2000000</v>
      </c>
      <c r="G116" s="524" t="str">
        <f t="shared" si="25"/>
        <v>2000000(含)-</v>
      </c>
      <c r="H116" s="524" t="str">
        <f t="shared" si="25"/>
        <v>(含)-</v>
      </c>
      <c r="I116" s="524" t="str">
        <f t="shared" si="25"/>
        <v>(含)-</v>
      </c>
      <c r="J116" s="524" t="str">
        <f t="shared" si="25"/>
        <v>(含)-</v>
      </c>
      <c r="K116" s="524" t="str">
        <f t="shared" si="25"/>
        <v>(含)-</v>
      </c>
      <c r="L116" s="524" t="str">
        <f t="shared" si="25"/>
        <v>(含)-</v>
      </c>
      <c r="M116" s="524" t="str">
        <f t="shared" si="25"/>
        <v>(含)-</v>
      </c>
      <c r="N116" s="1150"/>
      <c r="O116" s="1150"/>
      <c r="P116" s="45"/>
      <c r="Q116" s="499"/>
    </row>
    <row r="117" spans="1:17" ht="15">
      <c r="A117" s="529"/>
      <c r="B117" s="541"/>
      <c r="C117" s="590">
        <v>0</v>
      </c>
      <c r="D117" s="590">
        <v>500000</v>
      </c>
      <c r="E117" s="590">
        <v>1000000</v>
      </c>
      <c r="F117" s="590">
        <v>1500000</v>
      </c>
      <c r="G117" s="590">
        <v>2000000</v>
      </c>
      <c r="H117" s="590"/>
      <c r="I117" s="590"/>
      <c r="J117" s="591"/>
      <c r="K117" s="591"/>
      <c r="L117" s="592"/>
      <c r="M117" s="593"/>
      <c r="N117" s="1150"/>
      <c r="O117" s="1150"/>
      <c r="P117" s="45"/>
      <c r="Q117" s="499"/>
    </row>
    <row r="118" spans="1:17" ht="15.75" thickBot="1">
      <c r="A118" s="529"/>
      <c r="B118" s="538"/>
      <c r="C118" s="565">
        <v>100</v>
      </c>
      <c r="D118" s="586">
        <v>101.5</v>
      </c>
      <c r="E118" s="586">
        <v>103</v>
      </c>
      <c r="F118" s="586">
        <v>104.5</v>
      </c>
      <c r="G118" s="586">
        <v>106</v>
      </c>
      <c r="H118" s="586"/>
      <c r="I118" s="586"/>
      <c r="J118" s="586"/>
      <c r="K118" s="586"/>
      <c r="L118" s="586"/>
      <c r="M118" s="587"/>
      <c r="N118" s="1151"/>
      <c r="O118" s="1151"/>
      <c r="P118" s="45"/>
      <c r="Q118" s="499"/>
    </row>
    <row r="119" spans="1:17" ht="15" thickTop="1">
      <c r="A119" s="594"/>
      <c r="B119" s="533" t="s">
        <v>2791</v>
      </c>
      <c r="C119" s="2950" t="s">
        <v>3083</v>
      </c>
      <c r="D119" s="2950" t="s">
        <v>3084</v>
      </c>
      <c r="E119" s="2950" t="s">
        <v>3085</v>
      </c>
      <c r="F119" s="2950" t="s">
        <v>3086</v>
      </c>
      <c r="G119" s="2950" t="s">
        <v>3087</v>
      </c>
      <c r="H119" s="578"/>
      <c r="I119" s="578"/>
      <c r="J119" s="578"/>
      <c r="K119" s="579"/>
      <c r="L119" s="580"/>
      <c r="M119" s="581"/>
      <c r="N119" s="1150"/>
      <c r="O119" s="1150"/>
      <c r="P119" s="45"/>
      <c r="Q119" s="499"/>
    </row>
    <row r="120" spans="1:17" ht="15.75" thickBot="1">
      <c r="A120" s="529"/>
      <c r="B120" s="538"/>
      <c r="C120" s="539">
        <v>100</v>
      </c>
      <c r="D120" s="539">
        <f t="shared" ref="D120:M120" si="26">C120-$K39</f>
        <v>99</v>
      </c>
      <c r="E120" s="539">
        <f t="shared" si="26"/>
        <v>98</v>
      </c>
      <c r="F120" s="539">
        <f t="shared" si="26"/>
        <v>97</v>
      </c>
      <c r="G120" s="539">
        <f t="shared" si="26"/>
        <v>96</v>
      </c>
      <c r="H120" s="539">
        <f t="shared" si="26"/>
        <v>95</v>
      </c>
      <c r="I120" s="539">
        <f t="shared" si="26"/>
        <v>94</v>
      </c>
      <c r="J120" s="539">
        <f t="shared" si="26"/>
        <v>93</v>
      </c>
      <c r="K120" s="539">
        <f t="shared" si="26"/>
        <v>92</v>
      </c>
      <c r="L120" s="539">
        <f t="shared" si="26"/>
        <v>91</v>
      </c>
      <c r="M120" s="540">
        <f t="shared" si="26"/>
        <v>90</v>
      </c>
      <c r="N120" s="1151"/>
      <c r="O120" s="1151"/>
      <c r="P120" s="45"/>
      <c r="Q120" s="499"/>
    </row>
    <row r="121" spans="1:17" ht="15" thickTop="1">
      <c r="A121" s="594"/>
      <c r="B121" s="533" t="s">
        <v>2792</v>
      </c>
      <c r="C121" s="549"/>
      <c r="D121" s="549"/>
      <c r="E121" s="549"/>
      <c r="F121" s="578"/>
      <c r="G121" s="578"/>
      <c r="H121" s="578"/>
      <c r="I121" s="578"/>
      <c r="J121" s="578"/>
      <c r="K121" s="579"/>
      <c r="L121" s="580"/>
      <c r="M121" s="581"/>
      <c r="N121" s="1150"/>
      <c r="O121" s="1150"/>
      <c r="P121" s="45"/>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51"/>
      <c r="O122" s="1151"/>
      <c r="P122" s="45"/>
      <c r="Q122" s="499"/>
    </row>
    <row r="123" spans="1:17" s="466" customFormat="1" ht="15" thickTop="1">
      <c r="A123" s="588"/>
      <c r="B123" s="533" t="s">
        <v>2793</v>
      </c>
      <c r="C123" s="2949" t="s">
        <v>3097</v>
      </c>
      <c r="D123" s="2949" t="s">
        <v>3098</v>
      </c>
      <c r="E123" s="2949" t="s">
        <v>3099</v>
      </c>
      <c r="F123" s="2949" t="s">
        <v>3100</v>
      </c>
      <c r="G123" s="2949" t="s">
        <v>3101</v>
      </c>
      <c r="H123" s="2950" t="s">
        <v>3239</v>
      </c>
      <c r="I123" s="2950" t="s">
        <v>3240</v>
      </c>
      <c r="J123" s="2950" t="s">
        <v>3242</v>
      </c>
      <c r="K123" s="579"/>
      <c r="L123" s="580"/>
      <c r="M123" s="581"/>
      <c r="N123" s="1152"/>
      <c r="O123" s="1152"/>
      <c r="P123" s="553"/>
      <c r="Q123" s="554"/>
    </row>
    <row r="124" spans="1:17" s="466" customFormat="1" ht="15.75" thickBot="1">
      <c r="A124" s="548"/>
      <c r="B124" s="538"/>
      <c r="C124" s="539">
        <v>100</v>
      </c>
      <c r="D124" s="539">
        <f>C124-$K41</f>
        <v>99</v>
      </c>
      <c r="E124" s="539">
        <f t="shared" ref="E124:M124" si="28">D124-$K41</f>
        <v>98</v>
      </c>
      <c r="F124" s="539">
        <f t="shared" si="28"/>
        <v>97</v>
      </c>
      <c r="G124" s="539">
        <f t="shared" si="28"/>
        <v>96</v>
      </c>
      <c r="H124" s="539">
        <f t="shared" si="28"/>
        <v>95</v>
      </c>
      <c r="I124" s="539">
        <f t="shared" si="28"/>
        <v>94</v>
      </c>
      <c r="J124" s="539">
        <f t="shared" si="28"/>
        <v>93</v>
      </c>
      <c r="K124" s="539">
        <f t="shared" si="28"/>
        <v>92</v>
      </c>
      <c r="L124" s="539">
        <f t="shared" si="28"/>
        <v>91</v>
      </c>
      <c r="M124" s="540">
        <f t="shared" si="28"/>
        <v>90</v>
      </c>
      <c r="N124" s="1152"/>
      <c r="O124" s="1152"/>
      <c r="P124" s="553"/>
      <c r="Q124" s="554"/>
    </row>
    <row r="125" spans="1:17" ht="15" thickTop="1">
      <c r="A125" s="594"/>
      <c r="B125" s="533" t="s">
        <v>2794</v>
      </c>
      <c r="C125" s="2949" t="s">
        <v>3092</v>
      </c>
      <c r="D125" s="2949" t="s">
        <v>3093</v>
      </c>
      <c r="E125" s="2950" t="s">
        <v>3085</v>
      </c>
      <c r="F125" s="2950" t="s">
        <v>3094</v>
      </c>
      <c r="G125" s="2950" t="s">
        <v>3095</v>
      </c>
      <c r="H125" s="578"/>
      <c r="I125" s="578"/>
      <c r="J125" s="578"/>
      <c r="K125" s="579"/>
      <c r="L125" s="580"/>
      <c r="M125" s="581"/>
      <c r="N125" s="1150"/>
      <c r="O125" s="1150"/>
      <c r="P125" s="45"/>
      <c r="Q125" s="499"/>
    </row>
    <row r="126" spans="1:17" ht="15.75" thickBot="1">
      <c r="A126" s="529"/>
      <c r="B126" s="538"/>
      <c r="C126" s="539">
        <v>100</v>
      </c>
      <c r="D126" s="539">
        <f t="shared" ref="D126:M126" si="29">C126-$K42</f>
        <v>100</v>
      </c>
      <c r="E126" s="539">
        <f t="shared" si="29"/>
        <v>100</v>
      </c>
      <c r="F126" s="539">
        <f t="shared" si="29"/>
        <v>100</v>
      </c>
      <c r="G126" s="539">
        <f t="shared" si="29"/>
        <v>100</v>
      </c>
      <c r="H126" s="539">
        <f t="shared" si="29"/>
        <v>100</v>
      </c>
      <c r="I126" s="539">
        <f t="shared" si="29"/>
        <v>100</v>
      </c>
      <c r="J126" s="539">
        <f t="shared" si="29"/>
        <v>100</v>
      </c>
      <c r="K126" s="539">
        <f t="shared" si="29"/>
        <v>100</v>
      </c>
      <c r="L126" s="539">
        <f t="shared" si="29"/>
        <v>100</v>
      </c>
      <c r="M126" s="540">
        <f t="shared" si="29"/>
        <v>100</v>
      </c>
      <c r="N126" s="1151"/>
      <c r="O126" s="1151"/>
      <c r="P126" s="45"/>
      <c r="Q126" s="499"/>
    </row>
    <row r="127" spans="1:17" ht="15" thickTop="1">
      <c r="A127" s="594"/>
      <c r="B127" s="533" t="str">
        <f>B43</f>
        <v>宗地规划限制</v>
      </c>
      <c r="C127" s="2949" t="s">
        <v>3090</v>
      </c>
      <c r="D127" s="2949" t="s">
        <v>3089</v>
      </c>
      <c r="E127" s="549"/>
      <c r="F127" s="549"/>
      <c r="G127" s="549"/>
      <c r="H127" s="578"/>
      <c r="I127" s="578"/>
      <c r="J127" s="578"/>
      <c r="K127" s="579"/>
      <c r="L127" s="580"/>
      <c r="M127" s="581"/>
      <c r="N127" s="1150"/>
      <c r="O127" s="1150"/>
      <c r="P127" s="45"/>
      <c r="Q127" s="499"/>
    </row>
    <row r="128" spans="1:17" ht="15.75" thickBot="1">
      <c r="A128" s="529"/>
      <c r="B128" s="538"/>
      <c r="C128" s="555">
        <v>90</v>
      </c>
      <c r="D128" s="555">
        <v>100</v>
      </c>
      <c r="E128" s="555"/>
      <c r="F128" s="555"/>
      <c r="G128" s="531"/>
      <c r="H128" s="531"/>
      <c r="I128" s="531"/>
      <c r="J128" s="531"/>
      <c r="K128" s="531"/>
      <c r="L128" s="531"/>
      <c r="M128" s="532"/>
      <c r="N128" s="1151"/>
      <c r="O128" s="1151"/>
      <c r="P128" s="45"/>
      <c r="Q128" s="499"/>
    </row>
    <row r="129" spans="1:17" ht="15" thickTop="1">
      <c r="A129" s="594"/>
      <c r="B129" s="533">
        <f>B44</f>
        <v>111</v>
      </c>
      <c r="C129" s="518"/>
      <c r="D129" s="518"/>
      <c r="E129" s="518"/>
      <c r="F129" s="518"/>
      <c r="G129" s="578"/>
      <c r="H129" s="578"/>
      <c r="I129" s="578"/>
      <c r="J129" s="578"/>
      <c r="K129" s="579"/>
      <c r="L129" s="580"/>
      <c r="M129" s="581"/>
      <c r="N129" s="1150"/>
      <c r="O129" s="1150"/>
      <c r="P129" s="45"/>
      <c r="Q129" s="499"/>
    </row>
    <row r="130" spans="1:17" ht="15.75" thickBot="1">
      <c r="A130" s="529"/>
      <c r="B130" s="538"/>
      <c r="C130" s="565"/>
      <c r="D130" s="565"/>
      <c r="E130" s="565"/>
      <c r="F130" s="565"/>
      <c r="G130" s="531"/>
      <c r="H130" s="531"/>
      <c r="I130" s="531"/>
      <c r="J130" s="531"/>
      <c r="K130" s="531"/>
      <c r="L130" s="531"/>
      <c r="M130" s="532"/>
      <c r="N130" s="1151"/>
      <c r="O130" s="1151"/>
      <c r="P130" s="45"/>
      <c r="Q130" s="499"/>
    </row>
    <row r="131" spans="1:17" s="466" customFormat="1" ht="15" thickTop="1">
      <c r="A131" s="588"/>
      <c r="B131" s="533">
        <f>B45</f>
        <v>111</v>
      </c>
      <c r="C131" s="518"/>
      <c r="D131" s="518"/>
      <c r="E131" s="518"/>
      <c r="F131" s="518"/>
      <c r="G131" s="550"/>
      <c r="H131" s="550"/>
      <c r="I131" s="550"/>
      <c r="J131" s="550"/>
      <c r="K131" s="550"/>
      <c r="L131" s="551"/>
      <c r="M131" s="552"/>
      <c r="N131" s="1152"/>
      <c r="O131" s="1152"/>
      <c r="P131" s="553"/>
      <c r="Q131" s="554"/>
    </row>
    <row r="132" spans="1:17" s="466" customFormat="1" ht="15.75" thickBot="1">
      <c r="A132" s="563"/>
      <c r="B132" s="695"/>
      <c r="C132" s="565"/>
      <c r="D132" s="565"/>
      <c r="E132" s="565"/>
      <c r="F132" s="565"/>
      <c r="G132" s="586"/>
      <c r="H132" s="586"/>
      <c r="I132" s="586"/>
      <c r="J132" s="586"/>
      <c r="K132" s="586"/>
      <c r="L132" s="586"/>
      <c r="M132" s="587"/>
      <c r="N132" s="1152"/>
      <c r="O132" s="1152"/>
      <c r="P132" s="553"/>
      <c r="Q132" s="554"/>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2746</v>
      </c>
      <c r="B1" s="392"/>
      <c r="C1" s="393" t="s">
        <v>2795</v>
      </c>
      <c r="D1" s="750"/>
      <c r="E1" s="750"/>
      <c r="F1" s="749" t="s">
        <v>2645</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5" customFormat="1" ht="28.5" customHeight="1">
      <c r="A2" s="242" t="s">
        <v>2330</v>
      </c>
      <c r="B2" s="666" t="e">
        <f>F61</f>
        <v>#DIV/0!</v>
      </c>
      <c r="C2" s="1123"/>
      <c r="D2" s="1123"/>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5" customFormat="1" ht="28.5" customHeight="1" thickBot="1">
      <c r="A3" s="244" t="s">
        <v>2332</v>
      </c>
      <c r="B3" s="604" t="e">
        <f>ROUND(IF(D3="",B2*10000/'数据-汇总表'!E3,B2*10000/D3),0)</f>
        <v>#DIV/0!</v>
      </c>
      <c r="C3" s="244" t="s">
        <v>2748</v>
      </c>
      <c r="D3" s="1580"/>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8" t="s">
        <v>2647</v>
      </c>
      <c r="B4" s="399"/>
      <c r="C4" s="3330" t="s">
        <v>2648</v>
      </c>
      <c r="D4" s="3331"/>
      <c r="E4" s="3332" t="s">
        <v>2649</v>
      </c>
      <c r="F4" s="3333"/>
      <c r="G4" s="3330" t="s">
        <v>2650</v>
      </c>
      <c r="H4" s="3331"/>
      <c r="I4" s="3330" t="s">
        <v>2651</v>
      </c>
      <c r="J4" s="3331"/>
      <c r="K4" s="605" t="s">
        <v>2652</v>
      </c>
      <c r="L4" s="1128"/>
      <c r="M4" s="1129"/>
      <c r="N4" s="1129"/>
      <c r="O4" s="1129"/>
      <c r="P4" s="3334" t="s">
        <v>2653</v>
      </c>
      <c r="Q4" s="3335"/>
      <c r="R4" s="3340" t="s">
        <v>2649</v>
      </c>
      <c r="S4" s="3341"/>
      <c r="T4" s="3340" t="s">
        <v>2650</v>
      </c>
      <c r="U4" s="3341"/>
      <c r="V4" s="3346" t="s">
        <v>2651</v>
      </c>
      <c r="W4" s="3346"/>
      <c r="X4" s="1810"/>
      <c r="Y4" s="3340" t="s">
        <v>2653</v>
      </c>
      <c r="Z4" s="3341"/>
      <c r="AA4" s="3327" t="s">
        <v>2649</v>
      </c>
      <c r="AB4" s="3328" t="s">
        <v>2650</v>
      </c>
      <c r="AC4" s="3327" t="s">
        <v>2651</v>
      </c>
    </row>
    <row r="5" spans="1:29" ht="15">
      <c r="A5" s="401"/>
      <c r="B5" s="402"/>
      <c r="C5" s="3386" t="s">
        <v>2544</v>
      </c>
      <c r="D5" s="3355"/>
      <c r="E5" s="3388" t="s">
        <v>2545</v>
      </c>
      <c r="F5" s="3350"/>
      <c r="G5" s="3386" t="s">
        <v>2546</v>
      </c>
      <c r="H5" s="3355"/>
      <c r="I5" s="3386" t="s">
        <v>2547</v>
      </c>
      <c r="J5" s="3355"/>
      <c r="K5" s="605"/>
      <c r="L5" s="1128"/>
      <c r="M5" s="1129"/>
      <c r="N5" s="1129"/>
      <c r="O5" s="1129"/>
      <c r="P5" s="3336"/>
      <c r="Q5" s="3337"/>
      <c r="R5" s="3342"/>
      <c r="S5" s="3343"/>
      <c r="T5" s="3342"/>
      <c r="U5" s="3343"/>
      <c r="V5" s="3346"/>
      <c r="W5" s="3346"/>
      <c r="X5" s="1810"/>
      <c r="Y5" s="3342"/>
      <c r="Z5" s="3343"/>
      <c r="AA5" s="3328"/>
      <c r="AB5" s="3328"/>
      <c r="AC5" s="3328"/>
    </row>
    <row r="6" spans="1:29" ht="15.75" thickBot="1">
      <c r="A6" s="403"/>
      <c r="B6" s="404"/>
      <c r="C6" s="3421" t="s">
        <v>2796</v>
      </c>
      <c r="D6" s="3414"/>
      <c r="E6" s="3422" t="s">
        <v>2796</v>
      </c>
      <c r="F6" s="3418"/>
      <c r="G6" s="3421" t="s">
        <v>2796</v>
      </c>
      <c r="H6" s="3414"/>
      <c r="I6" s="3421" t="s">
        <v>2796</v>
      </c>
      <c r="J6" s="3414"/>
      <c r="K6" s="605" t="s">
        <v>2549</v>
      </c>
      <c r="L6" s="1128"/>
      <c r="M6" s="1129"/>
      <c r="N6" s="1129"/>
      <c r="O6" s="1129"/>
      <c r="P6" s="3338"/>
      <c r="Q6" s="3339"/>
      <c r="R6" s="3342"/>
      <c r="S6" s="3343"/>
      <c r="T6" s="3344"/>
      <c r="U6" s="3345"/>
      <c r="V6" s="3346"/>
      <c r="W6" s="3346"/>
      <c r="X6" s="1810"/>
      <c r="Y6" s="3344"/>
      <c r="Z6" s="3345"/>
      <c r="AA6" s="3329"/>
      <c r="AB6" s="3329"/>
      <c r="AC6" s="3329"/>
    </row>
    <row r="7" spans="1:29" s="116" customFormat="1" ht="15.75" thickBot="1">
      <c r="A7" s="405" t="s">
        <v>2550</v>
      </c>
      <c r="B7" s="406"/>
      <c r="C7" s="407">
        <f>'数据-取费表'!B2</f>
        <v>43621</v>
      </c>
      <c r="D7" s="408">
        <v>100</v>
      </c>
      <c r="E7" s="409"/>
      <c r="F7" s="410">
        <f>SUMIF(65:65,YEAR(E7)&amp;"-"&amp;INT((MONTH(E7)+2)/3),66:66)</f>
        <v>0</v>
      </c>
      <c r="G7" s="2696"/>
      <c r="H7" s="408">
        <f>SUMIF(65:65,YEAR(G7)&amp;"-"&amp;INT((MONTH(G7)+2)/3),66:66)</f>
        <v>0</v>
      </c>
      <c r="I7" s="2696"/>
      <c r="J7" s="408">
        <f>SUMIF(65:65,YEAR(I7)&amp;"-"&amp;INT((MONTH(I7)+2)/3),66:66)</f>
        <v>0</v>
      </c>
      <c r="K7" s="606"/>
      <c r="L7" s="1130"/>
      <c r="M7" s="1131"/>
      <c r="N7" s="1131"/>
      <c r="O7" s="1131"/>
      <c r="P7" s="3351" t="s">
        <v>2551</v>
      </c>
      <c r="Q7" s="3353"/>
      <c r="R7" s="765" t="s">
        <v>17</v>
      </c>
      <c r="S7" s="766">
        <f t="shared" ref="S7:S15" si="0">F7</f>
        <v>0</v>
      </c>
      <c r="T7" s="765" t="s">
        <v>17</v>
      </c>
      <c r="U7" s="766">
        <f t="shared" ref="U7:U15" si="1">H7</f>
        <v>0</v>
      </c>
      <c r="V7" s="765" t="s">
        <v>17</v>
      </c>
      <c r="W7" s="766">
        <f t="shared" ref="W7:W15" si="2">J7</f>
        <v>0</v>
      </c>
      <c r="X7" s="767"/>
      <c r="Y7" s="3351" t="s">
        <v>2551</v>
      </c>
      <c r="Z7" s="3352"/>
      <c r="AA7" s="768" t="e">
        <f>D7/F7</f>
        <v>#DIV/0!</v>
      </c>
      <c r="AB7" s="768" t="e">
        <f>D7/H7</f>
        <v>#DIV/0!</v>
      </c>
      <c r="AC7" s="768" t="e">
        <f>D7/J7</f>
        <v>#DIV/0!</v>
      </c>
    </row>
    <row r="8" spans="1:29" s="116" customFormat="1" ht="15.75" thickBot="1">
      <c r="A8" s="405" t="s">
        <v>2552</v>
      </c>
      <c r="B8" s="406"/>
      <c r="C8" s="411" t="s">
        <v>2553</v>
      </c>
      <c r="D8" s="408">
        <v>100</v>
      </c>
      <c r="E8" s="411"/>
      <c r="F8" s="410">
        <f>SUMIF(68:68,E8,69:69)-SUMIF(68:68,C8,69:69)+100</f>
        <v>0</v>
      </c>
      <c r="G8" s="411"/>
      <c r="H8" s="408">
        <f>SUMIF(68:68,G8,69:69)-SUMIF(68:68,C8,69:69)+100</f>
        <v>0</v>
      </c>
      <c r="I8" s="411"/>
      <c r="J8" s="408">
        <f>SUMIF(68:68,I8,69:69)-SUMIF(68:68,C8,69:69)+100</f>
        <v>0</v>
      </c>
      <c r="K8" s="606"/>
      <c r="L8" s="1130"/>
      <c r="M8" s="1131"/>
      <c r="N8" s="1131"/>
      <c r="O8" s="1131"/>
      <c r="P8" s="3351" t="s">
        <v>2554</v>
      </c>
      <c r="Q8" s="3352"/>
      <c r="R8" s="765" t="s">
        <v>17</v>
      </c>
      <c r="S8" s="766">
        <f t="shared" si="0"/>
        <v>0</v>
      </c>
      <c r="T8" s="765" t="s">
        <v>17</v>
      </c>
      <c r="U8" s="766">
        <f t="shared" si="1"/>
        <v>0</v>
      </c>
      <c r="V8" s="765" t="s">
        <v>17</v>
      </c>
      <c r="W8" s="766">
        <f t="shared" si="2"/>
        <v>0</v>
      </c>
      <c r="X8" s="767"/>
      <c r="Y8" s="3351" t="s">
        <v>2554</v>
      </c>
      <c r="Z8" s="3352"/>
      <c r="AA8" s="768" t="e">
        <f t="shared" ref="AA8:AA40" si="3">D8/F8</f>
        <v>#DIV/0!</v>
      </c>
      <c r="AB8" s="768" t="e">
        <f t="shared" ref="AB8:AB40" si="4">D8/H8</f>
        <v>#DIV/0!</v>
      </c>
      <c r="AC8" s="768" t="e">
        <f t="shared" ref="AC8:AC40" si="5">D8/J8</f>
        <v>#DIV/0!</v>
      </c>
    </row>
    <row r="9" spans="1:29" s="116" customFormat="1">
      <c r="A9" s="412" t="s">
        <v>2555</v>
      </c>
      <c r="B9" s="71" t="s">
        <v>2556</v>
      </c>
      <c r="C9" s="2699"/>
      <c r="D9" s="132">
        <v>100</v>
      </c>
      <c r="E9" s="2699"/>
      <c r="F9" s="132">
        <f>SUMIF(70:70,E9,71:71)-SUMIF(70:70,C9,71:71)+100</f>
        <v>100</v>
      </c>
      <c r="G9" s="2699"/>
      <c r="H9" s="132">
        <f>SUMIF(70:70,G9,71:71)-SUMIF(70:70,C9,71:71)+100</f>
        <v>100</v>
      </c>
      <c r="I9" s="2699"/>
      <c r="J9" s="132">
        <f>SUMIF(70:70,I9,71:71)-SUMIF(70:70,C9,71:71)+100</f>
        <v>100</v>
      </c>
      <c r="K9" s="606"/>
      <c r="L9" s="1130"/>
      <c r="M9" s="1131"/>
      <c r="N9" s="1131"/>
      <c r="O9" s="1132"/>
      <c r="P9" s="3315" t="s">
        <v>2557</v>
      </c>
      <c r="Q9" s="1792" t="str">
        <f t="shared" ref="Q9:Q15" si="6">B9</f>
        <v>用途</v>
      </c>
      <c r="R9" s="765" t="s">
        <v>17</v>
      </c>
      <c r="S9" s="766">
        <f t="shared" si="0"/>
        <v>100</v>
      </c>
      <c r="T9" s="765" t="s">
        <v>17</v>
      </c>
      <c r="U9" s="766">
        <f t="shared" si="1"/>
        <v>100</v>
      </c>
      <c r="V9" s="765" t="s">
        <v>17</v>
      </c>
      <c r="W9" s="766">
        <f t="shared" si="2"/>
        <v>100</v>
      </c>
      <c r="X9" s="767"/>
      <c r="Y9" s="3167" t="s">
        <v>2558</v>
      </c>
      <c r="Z9" s="55" t="str">
        <f t="shared" ref="Z9:Z15" si="7">Q9</f>
        <v>用途</v>
      </c>
      <c r="AA9" s="768">
        <f t="shared" si="3"/>
        <v>1</v>
      </c>
      <c r="AB9" s="768">
        <f t="shared" si="4"/>
        <v>1</v>
      </c>
      <c r="AC9" s="768">
        <f t="shared" si="5"/>
        <v>1</v>
      </c>
    </row>
    <row r="10" spans="1:29" s="424" customFormat="1" ht="27">
      <c r="A10" s="418"/>
      <c r="B10" s="419" t="s">
        <v>2559</v>
      </c>
      <c r="C10" s="429"/>
      <c r="D10" s="133">
        <v>100</v>
      </c>
      <c r="E10" s="429"/>
      <c r="F10" s="133">
        <f>ROUND(100/'数据-取费表'!G16,0)</f>
        <v>100</v>
      </c>
      <c r="G10" s="429"/>
      <c r="H10" s="133">
        <f>ROUND(100/'数据-取费表'!G16,0)</f>
        <v>100</v>
      </c>
      <c r="I10" s="429"/>
      <c r="J10" s="133">
        <f>ROUND(100/'数据-取费表'!G16,0)</f>
        <v>100</v>
      </c>
      <c r="K10" s="667"/>
      <c r="L10" s="1133"/>
      <c r="M10" s="1134"/>
      <c r="N10" s="1134"/>
      <c r="O10" s="1135"/>
      <c r="P10" s="3315"/>
      <c r="Q10" s="1792" t="str">
        <f t="shared" si="6"/>
        <v>土地使用年限（年）</v>
      </c>
      <c r="R10" s="765" t="s">
        <v>17</v>
      </c>
      <c r="S10" s="766">
        <f t="shared" si="0"/>
        <v>100</v>
      </c>
      <c r="T10" s="765" t="s">
        <v>17</v>
      </c>
      <c r="U10" s="766">
        <f t="shared" si="1"/>
        <v>100</v>
      </c>
      <c r="V10" s="765" t="s">
        <v>17</v>
      </c>
      <c r="W10" s="766">
        <f t="shared" si="2"/>
        <v>100</v>
      </c>
      <c r="X10" s="767"/>
      <c r="Y10" s="3167"/>
      <c r="Z10" s="55" t="str">
        <f t="shared" si="7"/>
        <v>土地使用年限（年）</v>
      </c>
      <c r="AA10" s="768">
        <f t="shared" si="3"/>
        <v>1</v>
      </c>
      <c r="AB10" s="768">
        <f t="shared" si="4"/>
        <v>1</v>
      </c>
      <c r="AC10" s="768">
        <f t="shared" si="5"/>
        <v>1</v>
      </c>
    </row>
    <row r="11" spans="1:29" ht="15">
      <c r="A11" s="425"/>
      <c r="B11" s="419" t="s">
        <v>2560</v>
      </c>
      <c r="C11" s="426"/>
      <c r="D11" s="133">
        <v>100</v>
      </c>
      <c r="E11" s="426"/>
      <c r="F11" s="133" t="e">
        <f>LOOKUP(E11,75:75,76:76)-LOOKUP(C11,75:75,76:76)+100</f>
        <v>#N/A</v>
      </c>
      <c r="G11" s="427"/>
      <c r="H11" s="133" t="e">
        <f>LOOKUP(G11,75:75,76:76)-LOOKUP(C11,75:75,76:76)+100</f>
        <v>#N/A</v>
      </c>
      <c r="I11" s="426"/>
      <c r="J11" s="133" t="e">
        <f>LOOKUP(I11,75:75,76:76)-LOOKUP(C11,75:75,76:76)+100</f>
        <v>#N/A</v>
      </c>
      <c r="K11" s="668"/>
      <c r="L11" s="1136"/>
      <c r="M11" s="1129"/>
      <c r="N11" s="1129"/>
      <c r="O11" s="1137"/>
      <c r="P11" s="3315"/>
      <c r="Q11" s="1792" t="str">
        <f t="shared" si="6"/>
        <v>容积率</v>
      </c>
      <c r="R11" s="765" t="s">
        <v>17</v>
      </c>
      <c r="S11" s="766" t="e">
        <f t="shared" si="0"/>
        <v>#N/A</v>
      </c>
      <c r="T11" s="765" t="s">
        <v>17</v>
      </c>
      <c r="U11" s="766" t="e">
        <f t="shared" si="1"/>
        <v>#N/A</v>
      </c>
      <c r="V11" s="765" t="s">
        <v>17</v>
      </c>
      <c r="W11" s="766" t="e">
        <f t="shared" si="2"/>
        <v>#N/A</v>
      </c>
      <c r="X11" s="767"/>
      <c r="Y11" s="3167"/>
      <c r="Z11" s="55" t="str">
        <f t="shared" si="7"/>
        <v>容积率</v>
      </c>
      <c r="AA11" s="768" t="e">
        <f t="shared" si="3"/>
        <v>#N/A</v>
      </c>
      <c r="AB11" s="768" t="e">
        <f t="shared" si="4"/>
        <v>#N/A</v>
      </c>
      <c r="AC11" s="768" t="e">
        <f t="shared" si="5"/>
        <v>#N/A</v>
      </c>
    </row>
    <row r="12" spans="1:29" s="116" customFormat="1" ht="15">
      <c r="A12" s="428"/>
      <c r="B12" s="2600">
        <v>111</v>
      </c>
      <c r="C12" s="429"/>
      <c r="D12" s="430">
        <v>100</v>
      </c>
      <c r="E12" s="544"/>
      <c r="F12" s="133">
        <f>SUMIF(77:77,E12,78:78)-SUMIF(77:77,C12,78:78)+100</f>
        <v>100</v>
      </c>
      <c r="G12" s="669"/>
      <c r="H12" s="133">
        <f>SUMIF(77:77,G12,78:78)-SUMIF(77:77,C12,78:78)+100</f>
        <v>100</v>
      </c>
      <c r="I12" s="544"/>
      <c r="J12" s="133">
        <f>SUMIF(77:77,I12,78:78)-SUMIF(77:77,C12,78:78)+100</f>
        <v>100</v>
      </c>
      <c r="K12" s="667"/>
      <c r="L12" s="1130"/>
      <c r="M12" s="1131"/>
      <c r="N12" s="1131"/>
      <c r="O12" s="1132"/>
      <c r="P12" s="3315"/>
      <c r="Q12" s="1792">
        <f t="shared" si="6"/>
        <v>111</v>
      </c>
      <c r="R12" s="765" t="s">
        <v>17</v>
      </c>
      <c r="S12" s="766">
        <f t="shared" si="0"/>
        <v>100</v>
      </c>
      <c r="T12" s="765" t="s">
        <v>17</v>
      </c>
      <c r="U12" s="766">
        <f t="shared" si="1"/>
        <v>100</v>
      </c>
      <c r="V12" s="765" t="s">
        <v>17</v>
      </c>
      <c r="W12" s="766">
        <f t="shared" si="2"/>
        <v>100</v>
      </c>
      <c r="X12" s="767"/>
      <c r="Y12" s="3167"/>
      <c r="Z12" s="55">
        <f t="shared" si="7"/>
        <v>111</v>
      </c>
      <c r="AA12" s="768">
        <f>D12/F12</f>
        <v>1</v>
      </c>
      <c r="AB12" s="768">
        <f>D12/H12</f>
        <v>1</v>
      </c>
      <c r="AC12" s="768">
        <f>D12/J12</f>
        <v>1</v>
      </c>
    </row>
    <row r="13" spans="1:29" ht="15">
      <c r="A13" s="425"/>
      <c r="B13" s="2600">
        <v>111</v>
      </c>
      <c r="C13" s="431"/>
      <c r="D13" s="432">
        <v>100</v>
      </c>
      <c r="E13" s="544"/>
      <c r="F13" s="133">
        <f>SUMIF(79:79,E13,80:80)-SUMIF(79:79,C13,80:80)+100</f>
        <v>100</v>
      </c>
      <c r="G13" s="669"/>
      <c r="H13" s="432">
        <f>SUMIF(79:79,G13,80:80)-SUMIF(79:79,C13,80:80)+100</f>
        <v>100</v>
      </c>
      <c r="I13" s="544"/>
      <c r="J13" s="432">
        <f>SUMIF(79:79,I13,80:80)-SUMIF(79:79,C13,80:80)+100</f>
        <v>100</v>
      </c>
      <c r="K13" s="667"/>
      <c r="L13" s="1138"/>
      <c r="M13" s="1129"/>
      <c r="N13" s="1129"/>
      <c r="O13" s="1137"/>
      <c r="P13" s="3315"/>
      <c r="Q13" s="1792">
        <f t="shared" si="6"/>
        <v>111</v>
      </c>
      <c r="R13" s="765" t="s">
        <v>17</v>
      </c>
      <c r="S13" s="766">
        <f t="shared" si="0"/>
        <v>100</v>
      </c>
      <c r="T13" s="765" t="s">
        <v>17</v>
      </c>
      <c r="U13" s="766">
        <f t="shared" si="1"/>
        <v>100</v>
      </c>
      <c r="V13" s="765" t="s">
        <v>17</v>
      </c>
      <c r="W13" s="766">
        <f t="shared" si="2"/>
        <v>100</v>
      </c>
      <c r="X13" s="767"/>
      <c r="Y13" s="3167"/>
      <c r="Z13" s="55">
        <f t="shared" si="7"/>
        <v>111</v>
      </c>
      <c r="AA13" s="768">
        <f t="shared" si="3"/>
        <v>1</v>
      </c>
      <c r="AB13" s="768">
        <f t="shared" si="4"/>
        <v>1</v>
      </c>
      <c r="AC13" s="768">
        <f t="shared" si="5"/>
        <v>1</v>
      </c>
    </row>
    <row r="14" spans="1:29" ht="15.75" thickBot="1">
      <c r="A14" s="433"/>
      <c r="B14" s="2602">
        <v>111</v>
      </c>
      <c r="C14" s="434"/>
      <c r="D14" s="435">
        <v>100</v>
      </c>
      <c r="E14" s="544"/>
      <c r="F14" s="435">
        <f>SUMIF(81:81,E14,82:82)-SUMIF(81:81,C14,82:82)+100</f>
        <v>100</v>
      </c>
      <c r="G14" s="669"/>
      <c r="H14" s="435">
        <f>SUMIF(81:81,G14,82:82)-SUMIF(81:81,C14,82:82)+100</f>
        <v>100</v>
      </c>
      <c r="I14" s="544"/>
      <c r="J14" s="435">
        <f>SUMIF(81:81,I14,82:82)-SUMIF(81:81,C14,82:82)+100</f>
        <v>100</v>
      </c>
      <c r="K14" s="667"/>
      <c r="L14" s="1138"/>
      <c r="M14" s="1129"/>
      <c r="N14" s="1129"/>
      <c r="O14" s="1137"/>
      <c r="P14" s="3315"/>
      <c r="Q14" s="1792">
        <f t="shared" si="6"/>
        <v>111</v>
      </c>
      <c r="R14" s="765" t="s">
        <v>17</v>
      </c>
      <c r="S14" s="766">
        <f t="shared" si="0"/>
        <v>100</v>
      </c>
      <c r="T14" s="765" t="s">
        <v>17</v>
      </c>
      <c r="U14" s="766">
        <f t="shared" si="1"/>
        <v>100</v>
      </c>
      <c r="V14" s="765" t="s">
        <v>17</v>
      </c>
      <c r="W14" s="766">
        <f t="shared" si="2"/>
        <v>100</v>
      </c>
      <c r="X14" s="767"/>
      <c r="Y14" s="3167"/>
      <c r="Z14" s="55">
        <f t="shared" si="7"/>
        <v>111</v>
      </c>
      <c r="AA14" s="768">
        <f t="shared" si="3"/>
        <v>1</v>
      </c>
      <c r="AB14" s="768">
        <f t="shared" si="4"/>
        <v>1</v>
      </c>
      <c r="AC14" s="768">
        <f t="shared" si="5"/>
        <v>1</v>
      </c>
    </row>
    <row r="15" spans="1:29" ht="57">
      <c r="A15" s="437" t="s">
        <v>2561</v>
      </c>
      <c r="B15" s="624" t="s">
        <v>2797</v>
      </c>
      <c r="C15" s="2693"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68"/>
      <c r="L15" s="1138"/>
      <c r="M15" s="1129"/>
      <c r="N15" s="1129"/>
      <c r="O15" s="1137"/>
      <c r="P15" s="3317" t="s">
        <v>2562</v>
      </c>
      <c r="Q15" s="1807" t="str">
        <f t="shared" si="6"/>
        <v>产业集聚程度</v>
      </c>
      <c r="R15" s="769" t="s">
        <v>17</v>
      </c>
      <c r="S15" s="770">
        <f t="shared" si="0"/>
        <v>100</v>
      </c>
      <c r="T15" s="769" t="s">
        <v>17</v>
      </c>
      <c r="U15" s="770">
        <f t="shared" si="1"/>
        <v>100</v>
      </c>
      <c r="V15" s="769" t="s">
        <v>17</v>
      </c>
      <c r="W15" s="770">
        <f t="shared" si="2"/>
        <v>100</v>
      </c>
      <c r="X15" s="1810"/>
      <c r="Y15" s="3317" t="s">
        <v>2562</v>
      </c>
      <c r="Z15" s="1811" t="str">
        <f t="shared" si="7"/>
        <v>产业集聚程度</v>
      </c>
      <c r="AA15" s="1808">
        <f t="shared" si="3"/>
        <v>1</v>
      </c>
      <c r="AB15" s="1808">
        <f t="shared" si="4"/>
        <v>1</v>
      </c>
      <c r="AC15" s="1808">
        <f t="shared" si="5"/>
        <v>1</v>
      </c>
    </row>
    <row r="16" spans="1:29" ht="15">
      <c r="A16" s="425"/>
      <c r="B16" s="625"/>
      <c r="C16" s="444"/>
      <c r="D16" s="445"/>
      <c r="E16" s="2611"/>
      <c r="F16" s="445"/>
      <c r="G16" s="2611"/>
      <c r="H16" s="447"/>
      <c r="I16" s="2611"/>
      <c r="J16" s="445"/>
      <c r="K16" s="667"/>
      <c r="L16" s="1138"/>
      <c r="M16" s="1129"/>
      <c r="N16" s="1129"/>
      <c r="O16" s="1137"/>
      <c r="P16" s="3318"/>
      <c r="Q16" s="1807"/>
      <c r="R16" s="769"/>
      <c r="S16" s="770"/>
      <c r="T16" s="769"/>
      <c r="U16" s="770"/>
      <c r="V16" s="769"/>
      <c r="W16" s="770"/>
      <c r="X16" s="1810"/>
      <c r="Y16" s="3318"/>
      <c r="Z16" s="1811"/>
      <c r="AA16" s="1808">
        <v>1</v>
      </c>
      <c r="AB16" s="1808">
        <v>1</v>
      </c>
      <c r="AC16" s="1808">
        <v>1</v>
      </c>
    </row>
    <row r="17" spans="1:29" ht="85.5">
      <c r="A17" s="425"/>
      <c r="B17" s="626" t="s">
        <v>2711</v>
      </c>
      <c r="C17" s="2607"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68"/>
      <c r="L17" s="1138"/>
      <c r="M17" s="1129"/>
      <c r="N17" s="1129"/>
      <c r="O17" s="1137"/>
      <c r="P17" s="3318"/>
      <c r="Q17" s="1807" t="str">
        <f>B17</f>
        <v>交通便捷度</v>
      </c>
      <c r="R17" s="769" t="s">
        <v>17</v>
      </c>
      <c r="S17" s="770">
        <f>F17</f>
        <v>100</v>
      </c>
      <c r="T17" s="769" t="s">
        <v>17</v>
      </c>
      <c r="U17" s="770">
        <f>H17</f>
        <v>100</v>
      </c>
      <c r="V17" s="769" t="s">
        <v>17</v>
      </c>
      <c r="W17" s="770">
        <f>J17</f>
        <v>100</v>
      </c>
      <c r="X17" s="1810"/>
      <c r="Y17" s="3318"/>
      <c r="Z17" s="1811" t="str">
        <f>Q17</f>
        <v>交通便捷度</v>
      </c>
      <c r="AA17" s="1808">
        <f t="shared" si="3"/>
        <v>1</v>
      </c>
      <c r="AB17" s="1808">
        <f t="shared" si="4"/>
        <v>1</v>
      </c>
      <c r="AC17" s="1808">
        <f t="shared" si="5"/>
        <v>1</v>
      </c>
    </row>
    <row r="18" spans="1:29" ht="15">
      <c r="A18" s="425"/>
      <c r="B18" s="627"/>
      <c r="C18" s="444"/>
      <c r="D18" s="445"/>
      <c r="E18" s="2605"/>
      <c r="F18" s="445"/>
      <c r="G18" s="2605"/>
      <c r="H18" s="445"/>
      <c r="I18" s="2604"/>
      <c r="J18" s="445"/>
      <c r="K18" s="667"/>
      <c r="L18" s="1138"/>
      <c r="M18" s="1129"/>
      <c r="N18" s="1129"/>
      <c r="O18" s="1137"/>
      <c r="P18" s="3318"/>
      <c r="Q18" s="1807"/>
      <c r="R18" s="769"/>
      <c r="S18" s="770"/>
      <c r="T18" s="769"/>
      <c r="U18" s="770"/>
      <c r="V18" s="769"/>
      <c r="W18" s="770"/>
      <c r="X18" s="1810"/>
      <c r="Y18" s="3318"/>
      <c r="Z18" s="1811"/>
      <c r="AA18" s="1808">
        <v>1</v>
      </c>
      <c r="AB18" s="1808">
        <v>1</v>
      </c>
      <c r="AC18" s="1808">
        <v>1</v>
      </c>
    </row>
    <row r="19" spans="1:29" ht="15">
      <c r="A19" s="425"/>
      <c r="B19" s="626" t="s">
        <v>2749</v>
      </c>
      <c r="C19" s="2607">
        <f>估价对象房地状况!G17</f>
        <v>0</v>
      </c>
      <c r="D19" s="447">
        <v>100</v>
      </c>
      <c r="E19" s="449"/>
      <c r="F19" s="452">
        <f>SUMIF(87:87,E20,88:88)-SUMIF(87:87,C20,88:88)+100</f>
        <v>100</v>
      </c>
      <c r="G19" s="449"/>
      <c r="H19" s="452">
        <f>SUMIF(87:87,G20,88:88)-SUMIF(87:87,C20,88:88)+100</f>
        <v>100</v>
      </c>
      <c r="I19" s="449"/>
      <c r="J19" s="452">
        <f>SUMIF(87:87,I20,88:88)-SUMIF(87:87,C20,88:88)+100</f>
        <v>100</v>
      </c>
      <c r="K19" s="668"/>
      <c r="L19" s="1138"/>
      <c r="M19" s="1129"/>
      <c r="N19" s="1129"/>
      <c r="O19" s="1137"/>
      <c r="P19" s="3318"/>
      <c r="Q19" s="1807" t="str">
        <f t="shared" ref="Q19:Q33" si="8">B19</f>
        <v>区域土地利用方向</v>
      </c>
      <c r="R19" s="769" t="s">
        <v>17</v>
      </c>
      <c r="S19" s="770">
        <f>F19</f>
        <v>100</v>
      </c>
      <c r="T19" s="769" t="s">
        <v>17</v>
      </c>
      <c r="U19" s="770">
        <f>H19</f>
        <v>100</v>
      </c>
      <c r="V19" s="769" t="s">
        <v>17</v>
      </c>
      <c r="W19" s="770">
        <f>J19</f>
        <v>100</v>
      </c>
      <c r="X19" s="1810"/>
      <c r="Y19" s="3318"/>
      <c r="Z19" s="1811" t="str">
        <f>Q19</f>
        <v>区域土地利用方向</v>
      </c>
      <c r="AA19" s="1808">
        <f t="shared" si="3"/>
        <v>1</v>
      </c>
      <c r="AB19" s="1808">
        <f t="shared" si="4"/>
        <v>1</v>
      </c>
      <c r="AC19" s="1808">
        <f t="shared" si="5"/>
        <v>1</v>
      </c>
    </row>
    <row r="20" spans="1:29" ht="15">
      <c r="A20" s="401"/>
      <c r="B20" s="627"/>
      <c r="C20" s="444"/>
      <c r="D20" s="445"/>
      <c r="E20" s="2605"/>
      <c r="F20" s="445"/>
      <c r="G20" s="2605"/>
      <c r="H20" s="445"/>
      <c r="I20" s="2605"/>
      <c r="J20" s="445"/>
      <c r="K20" s="807"/>
      <c r="L20" s="1138"/>
      <c r="M20" s="1129"/>
      <c r="N20" s="1129"/>
      <c r="O20" s="1137"/>
      <c r="P20" s="3318"/>
      <c r="Q20" s="1807"/>
      <c r="R20" s="769"/>
      <c r="S20" s="770"/>
      <c r="T20" s="769"/>
      <c r="U20" s="770"/>
      <c r="V20" s="769"/>
      <c r="W20" s="770"/>
      <c r="X20" s="1810"/>
      <c r="Y20" s="3318"/>
      <c r="Z20" s="1811"/>
      <c r="AA20" s="1808"/>
      <c r="AB20" s="1808"/>
      <c r="AC20" s="1808"/>
    </row>
    <row r="21" spans="1:29" ht="71.25">
      <c r="A21" s="401"/>
      <c r="B21" s="626" t="s">
        <v>2798</v>
      </c>
      <c r="C21" s="2607"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68"/>
      <c r="L21" s="1138"/>
      <c r="M21" s="1129"/>
      <c r="N21" s="1129"/>
      <c r="O21" s="1137"/>
      <c r="P21" s="3318"/>
      <c r="Q21" s="1807" t="str">
        <f t="shared" si="8"/>
        <v>环境状况</v>
      </c>
      <c r="R21" s="769" t="s">
        <v>17</v>
      </c>
      <c r="S21" s="770">
        <f>F21</f>
        <v>100</v>
      </c>
      <c r="T21" s="769" t="s">
        <v>17</v>
      </c>
      <c r="U21" s="770">
        <f>H21</f>
        <v>100</v>
      </c>
      <c r="V21" s="769" t="s">
        <v>17</v>
      </c>
      <c r="W21" s="770">
        <f>J21</f>
        <v>100</v>
      </c>
      <c r="X21" s="1810"/>
      <c r="Y21" s="3318"/>
      <c r="Z21" s="1811" t="str">
        <f>Q21</f>
        <v>环境状况</v>
      </c>
      <c r="AA21" s="1808">
        <f t="shared" si="3"/>
        <v>1</v>
      </c>
      <c r="AB21" s="1808">
        <f t="shared" si="4"/>
        <v>1</v>
      </c>
      <c r="AC21" s="1808">
        <f t="shared" si="5"/>
        <v>1</v>
      </c>
    </row>
    <row r="22" spans="1:29" ht="15">
      <c r="A22" s="401"/>
      <c r="B22" s="627"/>
      <c r="C22" s="444"/>
      <c r="D22" s="445"/>
      <c r="E22" s="2611"/>
      <c r="F22" s="445"/>
      <c r="G22" s="2611"/>
      <c r="H22" s="445"/>
      <c r="I22" s="444"/>
      <c r="J22" s="445"/>
      <c r="K22" s="667"/>
      <c r="L22" s="1138"/>
      <c r="M22" s="1129"/>
      <c r="N22" s="1129"/>
      <c r="O22" s="1137"/>
      <c r="P22" s="3318"/>
      <c r="Q22" s="1807"/>
      <c r="R22" s="769"/>
      <c r="S22" s="770"/>
      <c r="T22" s="769"/>
      <c r="U22" s="770"/>
      <c r="V22" s="769"/>
      <c r="W22" s="770"/>
      <c r="X22" s="1810"/>
      <c r="Y22" s="3318"/>
      <c r="Z22" s="1811"/>
      <c r="AA22" s="1808">
        <v>1</v>
      </c>
      <c r="AB22" s="1808">
        <v>1</v>
      </c>
      <c r="AC22" s="1808">
        <v>1</v>
      </c>
    </row>
    <row r="23" spans="1:29" s="116" customFormat="1" ht="42.75">
      <c r="A23" s="644"/>
      <c r="B23" s="628" t="s">
        <v>2656</v>
      </c>
      <c r="C23" s="2607"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68"/>
      <c r="L23" s="1130"/>
      <c r="M23" s="1131"/>
      <c r="N23" s="1131"/>
      <c r="O23" s="1132"/>
      <c r="P23" s="3318"/>
      <c r="Q23" s="1792" t="str">
        <f t="shared" si="8"/>
        <v>公共配套设施</v>
      </c>
      <c r="R23" s="765" t="s">
        <v>17</v>
      </c>
      <c r="S23" s="766">
        <f>F23</f>
        <v>100</v>
      </c>
      <c r="T23" s="765" t="s">
        <v>17</v>
      </c>
      <c r="U23" s="766">
        <f>H23</f>
        <v>100</v>
      </c>
      <c r="V23" s="765" t="s">
        <v>17</v>
      </c>
      <c r="W23" s="766">
        <f>J23</f>
        <v>100</v>
      </c>
      <c r="X23" s="767"/>
      <c r="Y23" s="3318"/>
      <c r="Z23" s="55" t="str">
        <f>Q23</f>
        <v>公共配套设施</v>
      </c>
      <c r="AA23" s="1808">
        <f>D23/F23</f>
        <v>1</v>
      </c>
      <c r="AB23" s="1808">
        <f>D23/H23</f>
        <v>1</v>
      </c>
      <c r="AC23" s="1808">
        <f>D23/J23</f>
        <v>1</v>
      </c>
    </row>
    <row r="24" spans="1:29" s="116" customFormat="1" ht="15">
      <c r="A24" s="644"/>
      <c r="B24" s="627"/>
      <c r="C24" s="2700"/>
      <c r="D24" s="445"/>
      <c r="E24" s="2611"/>
      <c r="F24" s="445"/>
      <c r="G24" s="2611"/>
      <c r="H24" s="445"/>
      <c r="I24" s="444"/>
      <c r="J24" s="445"/>
      <c r="K24" s="667"/>
      <c r="L24" s="1130"/>
      <c r="M24" s="1131"/>
      <c r="N24" s="1131"/>
      <c r="O24" s="1132"/>
      <c r="P24" s="3318"/>
      <c r="Q24" s="1792"/>
      <c r="R24" s="765"/>
      <c r="S24" s="766"/>
      <c r="T24" s="765"/>
      <c r="U24" s="766"/>
      <c r="V24" s="765"/>
      <c r="W24" s="766"/>
      <c r="X24" s="767"/>
      <c r="Y24" s="3318"/>
      <c r="Z24" s="55"/>
      <c r="AA24" s="768">
        <v>1</v>
      </c>
      <c r="AB24" s="768">
        <v>1</v>
      </c>
      <c r="AC24" s="768">
        <v>1</v>
      </c>
    </row>
    <row r="25" spans="1:29" s="116" customFormat="1" ht="28.5">
      <c r="A25" s="644"/>
      <c r="B25" s="628" t="s">
        <v>2657</v>
      </c>
      <c r="C25" s="2607"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68"/>
      <c r="L25" s="1130"/>
      <c r="M25" s="1131"/>
      <c r="N25" s="1131"/>
      <c r="O25" s="1132"/>
      <c r="P25" s="3318"/>
      <c r="Q25" s="1792" t="str">
        <f t="shared" ref="Q25" si="9">B25</f>
        <v>基础设施水平</v>
      </c>
      <c r="R25" s="765" t="s">
        <v>17</v>
      </c>
      <c r="S25" s="766">
        <f>F25</f>
        <v>100</v>
      </c>
      <c r="T25" s="765" t="s">
        <v>17</v>
      </c>
      <c r="U25" s="766">
        <f>H25</f>
        <v>100</v>
      </c>
      <c r="V25" s="765" t="s">
        <v>17</v>
      </c>
      <c r="W25" s="766">
        <f>J25</f>
        <v>100</v>
      </c>
      <c r="X25" s="767"/>
      <c r="Y25" s="3318"/>
      <c r="Z25" s="55" t="str">
        <f>Q25</f>
        <v>基础设施水平</v>
      </c>
      <c r="AA25" s="1808">
        <f>D25/F25</f>
        <v>1</v>
      </c>
      <c r="AB25" s="1808">
        <f>D25/H25</f>
        <v>1</v>
      </c>
      <c r="AC25" s="1808">
        <f>D25/J25</f>
        <v>1</v>
      </c>
    </row>
    <row r="26" spans="1:29" s="116" customFormat="1" ht="15">
      <c r="A26" s="644"/>
      <c r="B26" s="627"/>
      <c r="C26" s="2700"/>
      <c r="D26" s="445"/>
      <c r="E26" s="2701"/>
      <c r="F26" s="445"/>
      <c r="G26" s="2701"/>
      <c r="H26" s="445"/>
      <c r="I26" s="2701"/>
      <c r="J26" s="445"/>
      <c r="K26" s="667"/>
      <c r="L26" s="1130"/>
      <c r="M26" s="1131"/>
      <c r="N26" s="1131"/>
      <c r="O26" s="1132"/>
      <c r="P26" s="3318"/>
      <c r="Q26" s="1792"/>
      <c r="R26" s="765"/>
      <c r="S26" s="766"/>
      <c r="T26" s="765"/>
      <c r="U26" s="766"/>
      <c r="V26" s="765"/>
      <c r="W26" s="766"/>
      <c r="X26" s="767"/>
      <c r="Y26" s="3318"/>
      <c r="Z26" s="55"/>
      <c r="AA26" s="768">
        <v>1</v>
      </c>
      <c r="AB26" s="768">
        <v>1</v>
      </c>
      <c r="AC26" s="768">
        <v>1</v>
      </c>
    </row>
    <row r="27" spans="1:29" ht="15">
      <c r="A27" s="425"/>
      <c r="B27" s="627" t="s">
        <v>2658</v>
      </c>
      <c r="C27" s="611"/>
      <c r="D27" s="432">
        <v>100</v>
      </c>
      <c r="E27" s="629"/>
      <c r="F27" s="432">
        <f>SUMIF(95:95,E27,96:96)-SUMIF(95:95,C27,96:96)+100</f>
        <v>100</v>
      </c>
      <c r="G27" s="629"/>
      <c r="H27" s="432">
        <f>SUMIF(95:95,G27,96:96)-SUMIF(95:95,C27,96:96)+100</f>
        <v>100</v>
      </c>
      <c r="I27" s="629"/>
      <c r="J27" s="432">
        <f>SUMIF(95:95,I27,96:96)-SUMIF(95:95,C27,96:96)+100</f>
        <v>100</v>
      </c>
      <c r="K27" s="668"/>
      <c r="L27" s="1138"/>
      <c r="M27" s="1129"/>
      <c r="N27" s="1129"/>
      <c r="O27" s="1137"/>
      <c r="P27" s="3318"/>
      <c r="Q27" s="1807" t="str">
        <f t="shared" si="8"/>
        <v>临街状况</v>
      </c>
      <c r="R27" s="769" t="s">
        <v>17</v>
      </c>
      <c r="S27" s="770">
        <f t="shared" ref="S27:S40" si="10">F27</f>
        <v>100</v>
      </c>
      <c r="T27" s="769" t="s">
        <v>17</v>
      </c>
      <c r="U27" s="770">
        <f t="shared" ref="U27:U40" si="11">H27</f>
        <v>100</v>
      </c>
      <c r="V27" s="769" t="s">
        <v>17</v>
      </c>
      <c r="W27" s="770">
        <f t="shared" ref="W27:W40" si="12">J27</f>
        <v>100</v>
      </c>
      <c r="X27" s="1810"/>
      <c r="Y27" s="3318"/>
      <c r="Z27" s="1811" t="str">
        <f t="shared" ref="Z27:Z40" si="13">Q27</f>
        <v>临街状况</v>
      </c>
      <c r="AA27" s="1808">
        <f t="shared" si="3"/>
        <v>1</v>
      </c>
      <c r="AB27" s="1808">
        <f t="shared" si="4"/>
        <v>1</v>
      </c>
      <c r="AC27" s="1808">
        <f t="shared" si="5"/>
        <v>1</v>
      </c>
    </row>
    <row r="28" spans="1:29" ht="27">
      <c r="A28" s="425"/>
      <c r="B28" s="628" t="s">
        <v>2693</v>
      </c>
      <c r="C28" s="2713">
        <f>估价对象房地状况!G22</f>
        <v>0</v>
      </c>
      <c r="D28" s="447">
        <v>100</v>
      </c>
      <c r="E28" s="449"/>
      <c r="F28" s="447">
        <f>SUMIF(97:97,E29,98:98)-SUMIF(97:97,C29,98:98)+100</f>
        <v>100</v>
      </c>
      <c r="G28" s="449"/>
      <c r="H28" s="447">
        <f>SUMIF(97:97,G29,98:98)-SUMIF(97:97,C29,98:98)+100</f>
        <v>100</v>
      </c>
      <c r="I28" s="451"/>
      <c r="J28" s="447">
        <f>SUMIF(97:97,I29,98:98)-SUMIF(97:97,C29,98:98)+100</f>
        <v>100</v>
      </c>
      <c r="K28" s="668"/>
      <c r="L28" s="1138"/>
      <c r="M28" s="1129"/>
      <c r="N28" s="1129"/>
      <c r="O28" s="1137"/>
      <c r="P28" s="3318"/>
      <c r="Q28" s="1807" t="str">
        <f t="shared" si="8"/>
        <v>毗邻道路的类型与等级</v>
      </c>
      <c r="R28" s="769" t="s">
        <v>17</v>
      </c>
      <c r="S28" s="770">
        <f t="shared" si="10"/>
        <v>100</v>
      </c>
      <c r="T28" s="769" t="s">
        <v>17</v>
      </c>
      <c r="U28" s="770">
        <f t="shared" si="11"/>
        <v>100</v>
      </c>
      <c r="V28" s="769" t="s">
        <v>17</v>
      </c>
      <c r="W28" s="770">
        <f t="shared" si="12"/>
        <v>100</v>
      </c>
      <c r="X28" s="1810"/>
      <c r="Y28" s="3318"/>
      <c r="Z28" s="1811" t="str">
        <f t="shared" si="13"/>
        <v>毗邻道路的类型与等级</v>
      </c>
      <c r="AA28" s="1808">
        <f t="shared" si="3"/>
        <v>1</v>
      </c>
      <c r="AB28" s="1808">
        <f t="shared" si="4"/>
        <v>1</v>
      </c>
      <c r="AC28" s="1808">
        <f t="shared" si="5"/>
        <v>1</v>
      </c>
    </row>
    <row r="29" spans="1:29" ht="15">
      <c r="A29" s="425"/>
      <c r="B29" s="627"/>
      <c r="C29" s="444"/>
      <c r="D29" s="445"/>
      <c r="E29" s="2611"/>
      <c r="F29" s="445"/>
      <c r="G29" s="2611"/>
      <c r="H29" s="445"/>
      <c r="I29" s="2611"/>
      <c r="J29" s="445"/>
      <c r="K29" s="608"/>
      <c r="L29" s="1138"/>
      <c r="M29" s="1129"/>
      <c r="N29" s="1129"/>
      <c r="O29" s="1137"/>
      <c r="P29" s="3318"/>
      <c r="Q29" s="1807"/>
      <c r="R29" s="769"/>
      <c r="S29" s="770"/>
      <c r="T29" s="769"/>
      <c r="U29" s="770"/>
      <c r="V29" s="769"/>
      <c r="W29" s="770"/>
      <c r="X29" s="1810"/>
      <c r="Y29" s="3318"/>
      <c r="Z29" s="1811"/>
      <c r="AA29" s="1808">
        <v>1</v>
      </c>
      <c r="AB29" s="1808">
        <v>1</v>
      </c>
      <c r="AC29" s="1808">
        <v>1</v>
      </c>
    </row>
    <row r="30" spans="1:29" ht="15">
      <c r="A30" s="425"/>
      <c r="B30" s="649" t="s">
        <v>2750</v>
      </c>
      <c r="C30" s="1386">
        <f>估价对象房地状况!G23</f>
        <v>0</v>
      </c>
      <c r="D30" s="432">
        <v>100</v>
      </c>
      <c r="E30" s="629"/>
      <c r="F30" s="432">
        <f>SUMIF(99:99,E30,100:100)-SUMIF(99:99,C30,100:100)+100</f>
        <v>100</v>
      </c>
      <c r="G30" s="629"/>
      <c r="H30" s="432">
        <f>SUMIF(99:99,G30,100:100)-SUMIF(99:99,C30,100:100)+100</f>
        <v>100</v>
      </c>
      <c r="I30" s="629"/>
      <c r="J30" s="432">
        <f>SUMIF(99:99,I30,100:100)-SUMIF(99:99,C30,100:100)+100</f>
        <v>100</v>
      </c>
      <c r="K30" s="607"/>
      <c r="L30" s="1138"/>
      <c r="M30" s="1129"/>
      <c r="N30" s="1129"/>
      <c r="O30" s="1137"/>
      <c r="P30" s="3318"/>
      <c r="Q30" s="1807" t="str">
        <f t="shared" si="8"/>
        <v>土地级别</v>
      </c>
      <c r="R30" s="769" t="s">
        <v>17</v>
      </c>
      <c r="S30" s="770">
        <f t="shared" si="10"/>
        <v>100</v>
      </c>
      <c r="T30" s="769" t="s">
        <v>17</v>
      </c>
      <c r="U30" s="770">
        <f t="shared" si="11"/>
        <v>100</v>
      </c>
      <c r="V30" s="769" t="s">
        <v>17</v>
      </c>
      <c r="W30" s="770">
        <f t="shared" si="12"/>
        <v>100</v>
      </c>
      <c r="X30" s="1810"/>
      <c r="Y30" s="3318"/>
      <c r="Z30" s="1811" t="str">
        <f t="shared" si="13"/>
        <v>土地级别</v>
      </c>
      <c r="AA30" s="1808">
        <f t="shared" si="3"/>
        <v>1</v>
      </c>
      <c r="AB30" s="1808">
        <f t="shared" si="4"/>
        <v>1</v>
      </c>
      <c r="AC30" s="1808">
        <f t="shared" si="5"/>
        <v>1</v>
      </c>
    </row>
    <row r="31" spans="1:29" ht="15">
      <c r="A31" s="401"/>
      <c r="B31" s="2678">
        <v>111</v>
      </c>
      <c r="C31" s="669"/>
      <c r="D31" s="432">
        <v>100</v>
      </c>
      <c r="E31" s="472"/>
      <c r="F31" s="432">
        <f>SUMIF(101:101,E31,102:102)-SUMIF(101:101,C31,102:102)+100</f>
        <v>100</v>
      </c>
      <c r="G31" s="472"/>
      <c r="H31" s="432">
        <f>SUMIF(101:101,G31,102:102)-SUMIF(101:101,C31,102:102)+100</f>
        <v>100</v>
      </c>
      <c r="I31" s="544"/>
      <c r="J31" s="432">
        <f>SUMIF(101:101,I31,102:102)-SUMIF(101:101,C31,102:102)+100</f>
        <v>100</v>
      </c>
      <c r="K31" s="608"/>
      <c r="L31" s="1138"/>
      <c r="M31" s="1129"/>
      <c r="N31" s="1129"/>
      <c r="O31" s="1137"/>
      <c r="P31" s="3318"/>
      <c r="Q31" s="1807">
        <f t="shared" si="8"/>
        <v>111</v>
      </c>
      <c r="R31" s="769" t="s">
        <v>17</v>
      </c>
      <c r="S31" s="770">
        <f t="shared" si="10"/>
        <v>100</v>
      </c>
      <c r="T31" s="769" t="s">
        <v>17</v>
      </c>
      <c r="U31" s="770">
        <f t="shared" si="11"/>
        <v>100</v>
      </c>
      <c r="V31" s="769" t="s">
        <v>17</v>
      </c>
      <c r="W31" s="770">
        <f t="shared" si="12"/>
        <v>100</v>
      </c>
      <c r="X31" s="1810"/>
      <c r="Y31" s="3318"/>
      <c r="Z31" s="1811">
        <f t="shared" si="13"/>
        <v>111</v>
      </c>
      <c r="AA31" s="1808">
        <f t="shared" si="3"/>
        <v>1</v>
      </c>
      <c r="AB31" s="1808">
        <f t="shared" si="4"/>
        <v>1</v>
      </c>
      <c r="AC31" s="1808">
        <f t="shared" si="5"/>
        <v>1</v>
      </c>
    </row>
    <row r="32" spans="1:29" ht="15">
      <c r="A32" s="670"/>
      <c r="B32" s="2714">
        <v>111</v>
      </c>
      <c r="C32" s="669"/>
      <c r="D32" s="432">
        <v>100</v>
      </c>
      <c r="E32" s="472"/>
      <c r="F32" s="432">
        <f>SUMIF(103:103,E33,104:104)-SUMIF(103:103,C33,104:104)+100</f>
        <v>100</v>
      </c>
      <c r="G32" s="472"/>
      <c r="H32" s="432">
        <f>SUMIF(103:103,G32,104:104)-SUMIF(103:103,C32,104:104)+100</f>
        <v>100</v>
      </c>
      <c r="I32" s="669"/>
      <c r="J32" s="432">
        <f>SUMIF(103:103,I32,104:104)-SUMIF(103:103,C32,104:104)+100</f>
        <v>100</v>
      </c>
      <c r="K32" s="608"/>
      <c r="L32" s="1138"/>
      <c r="M32" s="1129"/>
      <c r="N32" s="1129"/>
      <c r="O32" s="1137"/>
      <c r="P32" s="3404" t="s">
        <v>2567</v>
      </c>
      <c r="Q32" s="1807">
        <f t="shared" si="8"/>
        <v>111</v>
      </c>
      <c r="R32" s="769" t="s">
        <v>17</v>
      </c>
      <c r="S32" s="770">
        <f t="shared" si="10"/>
        <v>100</v>
      </c>
      <c r="T32" s="769" t="s">
        <v>17</v>
      </c>
      <c r="U32" s="770">
        <f t="shared" si="11"/>
        <v>100</v>
      </c>
      <c r="V32" s="769" t="s">
        <v>17</v>
      </c>
      <c r="W32" s="770">
        <f t="shared" si="12"/>
        <v>100</v>
      </c>
      <c r="X32" s="1810"/>
      <c r="Y32" s="3322" t="s">
        <v>2567</v>
      </c>
      <c r="Z32" s="1811">
        <f t="shared" si="13"/>
        <v>111</v>
      </c>
      <c r="AA32" s="1808">
        <f t="shared" si="3"/>
        <v>1</v>
      </c>
      <c r="AB32" s="1808">
        <f t="shared" si="4"/>
        <v>1</v>
      </c>
      <c r="AC32" s="1808">
        <f t="shared" si="5"/>
        <v>1</v>
      </c>
    </row>
    <row r="33" spans="1:29" s="466" customFormat="1" ht="15.75" thickBot="1">
      <c r="A33" s="671"/>
      <c r="B33" s="2715">
        <v>111</v>
      </c>
      <c r="C33" s="673"/>
      <c r="D33" s="134">
        <v>100</v>
      </c>
      <c r="E33" s="696"/>
      <c r="F33" s="435">
        <f>SUMIF(105:105,E33,106:106)-SUMIF(105:105,C33,106:106)+100</f>
        <v>100</v>
      </c>
      <c r="G33" s="696"/>
      <c r="H33" s="435">
        <f>SUMIF(105:105,G33,106:106)-SUMIF(105:105,C33,106:106)+100</f>
        <v>100</v>
      </c>
      <c r="I33" s="673"/>
      <c r="J33" s="435">
        <f>SUMIF(105:105,I33,106:106)-SUMIF(105:105,C33,106:106)+100</f>
        <v>100</v>
      </c>
      <c r="K33" s="608"/>
      <c r="L33" s="1136"/>
      <c r="M33" s="1139"/>
      <c r="N33" s="1139"/>
      <c r="O33" s="1140"/>
      <c r="P33" s="3322"/>
      <c r="Q33" s="1807">
        <f t="shared" si="8"/>
        <v>111</v>
      </c>
      <c r="R33" s="772" t="s">
        <v>17</v>
      </c>
      <c r="S33" s="773">
        <f t="shared" si="10"/>
        <v>100</v>
      </c>
      <c r="T33" s="772" t="s">
        <v>17</v>
      </c>
      <c r="U33" s="773">
        <f t="shared" si="11"/>
        <v>100</v>
      </c>
      <c r="V33" s="772" t="s">
        <v>17</v>
      </c>
      <c r="W33" s="773">
        <f t="shared" si="12"/>
        <v>100</v>
      </c>
      <c r="X33" s="774"/>
      <c r="Y33" s="3322"/>
      <c r="Z33" s="775">
        <f t="shared" si="13"/>
        <v>111</v>
      </c>
      <c r="AA33" s="1808">
        <f t="shared" si="3"/>
        <v>1</v>
      </c>
      <c r="AB33" s="1808">
        <f t="shared" si="4"/>
        <v>1</v>
      </c>
      <c r="AC33" s="1808">
        <f t="shared" si="5"/>
        <v>1</v>
      </c>
    </row>
    <row r="34" spans="1:29" ht="15">
      <c r="A34" s="437" t="s">
        <v>2565</v>
      </c>
      <c r="B34" s="453" t="s">
        <v>2751</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8"/>
      <c r="M34" s="1129"/>
      <c r="N34" s="1129"/>
      <c r="O34" s="1137"/>
      <c r="P34" s="3322"/>
      <c r="Q34" s="1807" t="str">
        <f>B34</f>
        <v>宗地面积</v>
      </c>
      <c r="R34" s="769" t="s">
        <v>17</v>
      </c>
      <c r="S34" s="770" t="e">
        <f t="shared" si="10"/>
        <v>#N/A</v>
      </c>
      <c r="T34" s="769" t="s">
        <v>17</v>
      </c>
      <c r="U34" s="770" t="e">
        <f t="shared" si="11"/>
        <v>#N/A</v>
      </c>
      <c r="V34" s="769" t="s">
        <v>17</v>
      </c>
      <c r="W34" s="770" t="e">
        <f t="shared" si="12"/>
        <v>#N/A</v>
      </c>
      <c r="X34" s="1810"/>
      <c r="Y34" s="3322"/>
      <c r="Z34" s="1811" t="str">
        <f t="shared" si="13"/>
        <v>宗地面积</v>
      </c>
      <c r="AA34" s="1808" t="e">
        <f t="shared" si="3"/>
        <v>#N/A</v>
      </c>
      <c r="AB34" s="1808" t="e">
        <f t="shared" si="4"/>
        <v>#N/A</v>
      </c>
      <c r="AC34" s="1808" t="e">
        <f t="shared" si="5"/>
        <v>#N/A</v>
      </c>
    </row>
    <row r="35" spans="1:29" ht="15">
      <c r="A35" s="467"/>
      <c r="B35" s="419" t="s">
        <v>2752</v>
      </c>
      <c r="C35" s="2613"/>
      <c r="D35" s="432">
        <v>100</v>
      </c>
      <c r="E35" s="2613"/>
      <c r="F35" s="432">
        <f>SUMIF(110:110,E35,111:111)-SUMIF(110:110,C35,111:111)+100</f>
        <v>100</v>
      </c>
      <c r="G35" s="2613"/>
      <c r="H35" s="432">
        <f>SUMIF(110:110,G35,111:111)-SUMIF(110:110,C35,111:111)+100</f>
        <v>100</v>
      </c>
      <c r="I35" s="2613"/>
      <c r="J35" s="432">
        <f>SUMIF(110:110,I35,111:111)-SUMIF(110:110,C35,111:111)+100</f>
        <v>100</v>
      </c>
      <c r="K35" s="607"/>
      <c r="L35" s="1138"/>
      <c r="M35" s="1129"/>
      <c r="N35" s="1129"/>
      <c r="O35" s="1137"/>
      <c r="P35" s="3322"/>
      <c r="Q35" s="1807" t="str">
        <f t="shared" ref="Q35:Q40" si="14">B35</f>
        <v>宗地形状</v>
      </c>
      <c r="R35" s="769" t="s">
        <v>17</v>
      </c>
      <c r="S35" s="770">
        <f t="shared" si="10"/>
        <v>100</v>
      </c>
      <c r="T35" s="769" t="s">
        <v>17</v>
      </c>
      <c r="U35" s="770">
        <f t="shared" si="11"/>
        <v>100</v>
      </c>
      <c r="V35" s="769" t="s">
        <v>17</v>
      </c>
      <c r="W35" s="770">
        <f t="shared" si="12"/>
        <v>100</v>
      </c>
      <c r="X35" s="1810"/>
      <c r="Y35" s="3322"/>
      <c r="Z35" s="1811" t="str">
        <f t="shared" si="13"/>
        <v>宗地形状</v>
      </c>
      <c r="AA35" s="1808">
        <f t="shared" si="3"/>
        <v>1</v>
      </c>
      <c r="AB35" s="1808">
        <f t="shared" si="4"/>
        <v>1</v>
      </c>
      <c r="AC35" s="1808">
        <f t="shared" si="5"/>
        <v>1</v>
      </c>
    </row>
    <row r="36" spans="1:29" s="116" customFormat="1" ht="15">
      <c r="A36" s="468"/>
      <c r="B36" s="419" t="s">
        <v>2753</v>
      </c>
      <c r="C36" s="2702"/>
      <c r="D36" s="133">
        <v>100</v>
      </c>
      <c r="E36" s="2702"/>
      <c r="F36" s="432">
        <f>SUMIF(112:112,E36,113:113)-SUMIF(112:112,C36,113:113)+100</f>
        <v>100</v>
      </c>
      <c r="G36" s="2702"/>
      <c r="H36" s="432">
        <f>SUMIF(112:112,G36,113:113)-SUMIF(112:112,C36,113:113)+100</f>
        <v>100</v>
      </c>
      <c r="I36" s="2702"/>
      <c r="J36" s="432">
        <f>SUMIF(112:112,I36,113:113)-SUMIF(112:112,C36,113:113)+100</f>
        <v>100</v>
      </c>
      <c r="K36" s="607"/>
      <c r="L36" s="1130"/>
      <c r="M36" s="1131"/>
      <c r="N36" s="1131"/>
      <c r="O36" s="1132"/>
      <c r="P36" s="3322"/>
      <c r="Q36" s="1807" t="str">
        <f t="shared" si="14"/>
        <v>宗地开发程度</v>
      </c>
      <c r="R36" s="765" t="s">
        <v>17</v>
      </c>
      <c r="S36" s="766">
        <f t="shared" si="10"/>
        <v>100</v>
      </c>
      <c r="T36" s="765" t="s">
        <v>17</v>
      </c>
      <c r="U36" s="766">
        <f t="shared" si="11"/>
        <v>100</v>
      </c>
      <c r="V36" s="765" t="s">
        <v>17</v>
      </c>
      <c r="W36" s="766">
        <f t="shared" si="12"/>
        <v>100</v>
      </c>
      <c r="X36" s="767"/>
      <c r="Y36" s="3322"/>
      <c r="Z36" s="55" t="str">
        <f t="shared" si="13"/>
        <v>宗地开发程度</v>
      </c>
      <c r="AA36" s="768">
        <f t="shared" si="3"/>
        <v>1</v>
      </c>
      <c r="AB36" s="768">
        <f t="shared" si="4"/>
        <v>1</v>
      </c>
      <c r="AC36" s="768">
        <f t="shared" si="5"/>
        <v>1</v>
      </c>
    </row>
    <row r="37" spans="1:29" ht="15">
      <c r="A37" s="467"/>
      <c r="B37" s="419" t="s">
        <v>2754</v>
      </c>
      <c r="C37" s="2613"/>
      <c r="D37" s="432">
        <v>100</v>
      </c>
      <c r="E37" s="2613"/>
      <c r="F37" s="432">
        <f>SUMIF(114:114,E37,115:115)-SUMIF(114:114,C37,115:115)+100</f>
        <v>100</v>
      </c>
      <c r="G37" s="2613"/>
      <c r="H37" s="432">
        <f>SUMIF(114:114,G37,115:115)-SUMIF(114:114,C37,115:115)+100</f>
        <v>100</v>
      </c>
      <c r="I37" s="2613"/>
      <c r="J37" s="432">
        <f>SUMIF(114:114,I37,115:115)-SUMIF(114:114,C37,115:115)+100</f>
        <v>100</v>
      </c>
      <c r="K37" s="607"/>
      <c r="L37" s="1138"/>
      <c r="M37" s="1129"/>
      <c r="N37" s="1129"/>
      <c r="O37" s="1137"/>
      <c r="P37" s="3322" t="s">
        <v>2567</v>
      </c>
      <c r="Q37" s="1807" t="str">
        <f t="shared" si="14"/>
        <v>工程地质条件</v>
      </c>
      <c r="R37" s="769" t="s">
        <v>17</v>
      </c>
      <c r="S37" s="770">
        <f t="shared" si="10"/>
        <v>100</v>
      </c>
      <c r="T37" s="769" t="s">
        <v>17</v>
      </c>
      <c r="U37" s="770">
        <f t="shared" si="11"/>
        <v>100</v>
      </c>
      <c r="V37" s="769" t="s">
        <v>17</v>
      </c>
      <c r="W37" s="770">
        <f t="shared" si="12"/>
        <v>100</v>
      </c>
      <c r="X37" s="1810"/>
      <c r="Y37" s="3322" t="s">
        <v>2567</v>
      </c>
      <c r="Z37" s="1811" t="str">
        <f t="shared" si="13"/>
        <v>工程地质条件</v>
      </c>
      <c r="AA37" s="1808">
        <f t="shared" si="3"/>
        <v>1</v>
      </c>
      <c r="AB37" s="1808">
        <f t="shared" si="4"/>
        <v>1</v>
      </c>
      <c r="AC37" s="1808">
        <f t="shared" si="5"/>
        <v>1</v>
      </c>
    </row>
    <row r="38" spans="1:29" ht="15">
      <c r="A38" s="467"/>
      <c r="B38" s="1385">
        <v>111</v>
      </c>
      <c r="C38" s="669"/>
      <c r="D38" s="432">
        <v>100</v>
      </c>
      <c r="E38" s="669"/>
      <c r="F38" s="432">
        <f>SUMIF(116:116,E38,117:117)-SUMIF(116:116,C38,117:117)+100</f>
        <v>100</v>
      </c>
      <c r="G38" s="669"/>
      <c r="H38" s="432">
        <f>SUMIF(116:116,G38,117:117)-SUMIF(116:116,C38,117:117)+100</f>
        <v>100</v>
      </c>
      <c r="I38" s="544"/>
      <c r="J38" s="432">
        <f>SUMIF(116:116,I38,117:117)-SUMIF(116:116,C38,117:117)+100</f>
        <v>100</v>
      </c>
      <c r="K38" s="608"/>
      <c r="L38" s="1138"/>
      <c r="M38" s="1129"/>
      <c r="N38" s="1129"/>
      <c r="O38" s="1137"/>
      <c r="P38" s="3322"/>
      <c r="Q38" s="1807">
        <f t="shared" si="14"/>
        <v>111</v>
      </c>
      <c r="R38" s="769" t="s">
        <v>17</v>
      </c>
      <c r="S38" s="770">
        <f t="shared" si="10"/>
        <v>100</v>
      </c>
      <c r="T38" s="769" t="s">
        <v>17</v>
      </c>
      <c r="U38" s="770">
        <f t="shared" si="11"/>
        <v>100</v>
      </c>
      <c r="V38" s="769" t="s">
        <v>17</v>
      </c>
      <c r="W38" s="770">
        <f t="shared" si="12"/>
        <v>100</v>
      </c>
      <c r="X38" s="1810"/>
      <c r="Y38" s="3322"/>
      <c r="Z38" s="1811">
        <f t="shared" si="13"/>
        <v>111</v>
      </c>
      <c r="AA38" s="1808">
        <f t="shared" si="3"/>
        <v>1</v>
      </c>
      <c r="AB38" s="1808">
        <f t="shared" si="4"/>
        <v>1</v>
      </c>
      <c r="AC38" s="1808">
        <f t="shared" si="5"/>
        <v>1</v>
      </c>
    </row>
    <row r="39" spans="1:29" ht="15">
      <c r="A39" s="467"/>
      <c r="B39" s="1385">
        <v>111</v>
      </c>
      <c r="C39" s="669"/>
      <c r="D39" s="432">
        <v>100</v>
      </c>
      <c r="E39" s="669"/>
      <c r="F39" s="432">
        <f>SUMIF(118:118,E39,119:119)-SUMIF(118:118,C39,119:119)+100</f>
        <v>100</v>
      </c>
      <c r="G39" s="669"/>
      <c r="H39" s="432">
        <f>SUMIF(118:118,G39,119:119)-SUMIF(118:118,C39,119:119)+100</f>
        <v>100</v>
      </c>
      <c r="I39" s="544"/>
      <c r="J39" s="432">
        <f>SUMIF(118:118,I39,119:119)-SUMIF(118:118,C39,119:119)+100</f>
        <v>100</v>
      </c>
      <c r="K39" s="608"/>
      <c r="L39" s="1138"/>
      <c r="M39" s="1129"/>
      <c r="N39" s="1129"/>
      <c r="O39" s="1137"/>
      <c r="P39" s="3322"/>
      <c r="Q39" s="1807">
        <f t="shared" si="14"/>
        <v>111</v>
      </c>
      <c r="R39" s="769" t="s">
        <v>17</v>
      </c>
      <c r="S39" s="770">
        <f t="shared" si="10"/>
        <v>100</v>
      </c>
      <c r="T39" s="769" t="s">
        <v>17</v>
      </c>
      <c r="U39" s="770">
        <f t="shared" si="11"/>
        <v>100</v>
      </c>
      <c r="V39" s="769" t="s">
        <v>17</v>
      </c>
      <c r="W39" s="770">
        <f t="shared" si="12"/>
        <v>100</v>
      </c>
      <c r="X39" s="1810"/>
      <c r="Y39" s="3322"/>
      <c r="Z39" s="1811">
        <f t="shared" si="13"/>
        <v>111</v>
      </c>
      <c r="AA39" s="1808">
        <f t="shared" si="3"/>
        <v>1</v>
      </c>
      <c r="AB39" s="1808">
        <f t="shared" si="4"/>
        <v>1</v>
      </c>
      <c r="AC39" s="1808">
        <f t="shared" si="5"/>
        <v>1</v>
      </c>
    </row>
    <row r="40" spans="1:29" s="466" customFormat="1" ht="15.75" thickBot="1">
      <c r="A40" s="463"/>
      <c r="B40" s="1385">
        <v>111</v>
      </c>
      <c r="C40" s="2703"/>
      <c r="D40" s="134">
        <v>100</v>
      </c>
      <c r="E40" s="669"/>
      <c r="F40" s="435">
        <f>SUMIF(120:120,E40,121:121)-SUMIF(120:120,C40,121:121)+100</f>
        <v>100</v>
      </c>
      <c r="G40" s="669"/>
      <c r="H40" s="435">
        <f>SUMIF(120:120,G40,121:121)-SUMIF(120:120,C40,121:121)+100</f>
        <v>100</v>
      </c>
      <c r="I40" s="544"/>
      <c r="J40" s="435">
        <f>SUMIF(120:120,I40,121:121)-SUMIF(120:120,C40,121:121)+100</f>
        <v>100</v>
      </c>
      <c r="K40" s="676"/>
      <c r="L40" s="1136"/>
      <c r="M40" s="1139"/>
      <c r="N40" s="1139"/>
      <c r="O40" s="1140"/>
      <c r="P40" s="3322"/>
      <c r="Q40" s="1807">
        <f t="shared" si="14"/>
        <v>111</v>
      </c>
      <c r="R40" s="772" t="s">
        <v>17</v>
      </c>
      <c r="S40" s="773">
        <f t="shared" si="10"/>
        <v>100</v>
      </c>
      <c r="T40" s="772" t="s">
        <v>17</v>
      </c>
      <c r="U40" s="773">
        <f t="shared" si="11"/>
        <v>100</v>
      </c>
      <c r="V40" s="772" t="s">
        <v>17</v>
      </c>
      <c r="W40" s="773">
        <f t="shared" si="12"/>
        <v>100</v>
      </c>
      <c r="X40" s="774"/>
      <c r="Y40" s="3322"/>
      <c r="Z40" s="775">
        <f t="shared" si="13"/>
        <v>111</v>
      </c>
      <c r="AA40" s="1808">
        <f t="shared" si="3"/>
        <v>1</v>
      </c>
      <c r="AB40" s="1808">
        <f t="shared" si="4"/>
        <v>1</v>
      </c>
      <c r="AC40" s="1808">
        <f t="shared" si="5"/>
        <v>1</v>
      </c>
    </row>
    <row r="41" spans="1:29" ht="15">
      <c r="A41" s="474" t="s">
        <v>2722</v>
      </c>
      <c r="B41" s="2704" t="s">
        <v>2799</v>
      </c>
      <c r="C41" s="677" t="s">
        <v>1</v>
      </c>
      <c r="D41" s="476"/>
      <c r="E41" s="477"/>
      <c r="F41" s="478"/>
      <c r="G41" s="479"/>
      <c r="H41" s="480"/>
      <c r="I41" s="477"/>
      <c r="J41" s="480"/>
      <c r="K41" s="778"/>
      <c r="L41" s="1141"/>
      <c r="M41" s="1129"/>
      <c r="N41" s="1129"/>
      <c r="O41" s="1142"/>
      <c r="P41" s="3315" t="str">
        <f>A41</f>
        <v>成交单价</v>
      </c>
      <c r="Q41" s="3315"/>
      <c r="R41" s="3346">
        <f>E41</f>
        <v>0</v>
      </c>
      <c r="S41" s="3346"/>
      <c r="T41" s="3346">
        <f>G41</f>
        <v>0</v>
      </c>
      <c r="U41" s="3346"/>
      <c r="V41" s="3346">
        <f>I41</f>
        <v>0</v>
      </c>
      <c r="W41" s="3346"/>
      <c r="X41" s="754"/>
      <c r="Y41" s="776"/>
      <c r="Z41" s="754"/>
      <c r="AA41" s="754"/>
      <c r="AB41" s="754"/>
      <c r="AC41" s="754"/>
    </row>
    <row r="42" spans="1:29" ht="15.75" thickBot="1">
      <c r="A42" s="481" t="s">
        <v>2671</v>
      </c>
      <c r="B42" s="678"/>
      <c r="C42" s="485" t="e">
        <f>R43</f>
        <v>#DIV/0!</v>
      </c>
      <c r="D42" s="484"/>
      <c r="E42" s="485" t="e">
        <f>R42</f>
        <v>#DIV/0!</v>
      </c>
      <c r="F42" s="486"/>
      <c r="G42" s="483" t="e">
        <f>T42</f>
        <v>#DIV/0!</v>
      </c>
      <c r="H42" s="484"/>
      <c r="I42" s="485" t="e">
        <f>V42</f>
        <v>#DIV/0!</v>
      </c>
      <c r="J42" s="484"/>
      <c r="K42" s="779"/>
      <c r="L42" s="1141"/>
      <c r="M42" s="1129"/>
      <c r="N42" s="1129"/>
      <c r="O42" s="1142"/>
      <c r="P42" s="3315" t="str">
        <f>A42</f>
        <v>比较价值（元/平方米）</v>
      </c>
      <c r="Q42" s="3315"/>
      <c r="R42" s="3405" t="e">
        <f>ROUND(PRODUCT(R41,AA7:AA40),0)</f>
        <v>#DIV/0!</v>
      </c>
      <c r="S42" s="3405"/>
      <c r="T42" s="3405" t="e">
        <f>ROUND(PRODUCT(T41,AB7:AB40),0)</f>
        <v>#DIV/0!</v>
      </c>
      <c r="U42" s="3405"/>
      <c r="V42" s="3405" t="e">
        <f>ROUND(PRODUCT(V41,AC7:AC40),0)</f>
        <v>#DIV/0!</v>
      </c>
      <c r="W42" s="3405"/>
      <c r="X42" s="754"/>
      <c r="Y42" s="754"/>
      <c r="Z42" s="754"/>
      <c r="AA42" s="754"/>
      <c r="AB42" s="754"/>
      <c r="AC42" s="754"/>
    </row>
    <row r="43" spans="1:29" ht="15.75" thickBot="1">
      <c r="A43" s="487" t="s">
        <v>2672</v>
      </c>
      <c r="B43" s="488"/>
      <c r="C43" s="489" t="e">
        <f>R43</f>
        <v>#DIV/0!</v>
      </c>
      <c r="D43" s="489"/>
      <c r="E43" s="489"/>
      <c r="F43" s="489"/>
      <c r="G43" s="489"/>
      <c r="H43" s="489"/>
      <c r="I43" s="489"/>
      <c r="J43" s="489"/>
      <c r="K43" s="780"/>
      <c r="L43" s="1141"/>
      <c r="M43" s="1129"/>
      <c r="N43" s="1129"/>
      <c r="O43" s="1142"/>
      <c r="P43" s="3312" t="str">
        <f>A43</f>
        <v>估价对象XX用房的比较价值（楼面单价，元/平方米）</v>
      </c>
      <c r="Q43" s="3313"/>
      <c r="R43" s="3406" t="e">
        <f>ROUND(AVERAGE(R42:V42),0)</f>
        <v>#DIV/0!</v>
      </c>
      <c r="S43" s="3406"/>
      <c r="T43" s="3406"/>
      <c r="U43" s="3406"/>
      <c r="V43" s="3406"/>
      <c r="W43" s="3406"/>
      <c r="X43" s="754"/>
      <c r="Y43" s="754"/>
      <c r="Z43" s="754"/>
      <c r="AA43" s="754"/>
      <c r="AB43" s="754"/>
      <c r="AC43" s="754"/>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2" t="s">
        <v>2673</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29"/>
      <c r="N46" s="1129"/>
      <c r="O46" s="1142"/>
    </row>
    <row r="47" spans="1:29" ht="13.5" customHeight="1">
      <c r="A47" s="1142"/>
      <c r="B47" s="1142"/>
      <c r="C47" s="492" t="s">
        <v>2674</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2675</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ht="15" thickBot="1">
      <c r="A49" s="1143"/>
      <c r="B49" s="1144"/>
      <c r="C49" s="757"/>
      <c r="D49" s="755"/>
      <c r="E49" s="755"/>
      <c r="F49" s="755"/>
      <c r="G49" s="755"/>
      <c r="H49" s="755"/>
      <c r="I49" s="755"/>
      <c r="J49" s="755"/>
      <c r="K49" s="1146"/>
      <c r="L49" s="1147"/>
      <c r="M49" s="1143"/>
      <c r="N49" s="1143"/>
      <c r="O49" s="1143"/>
    </row>
    <row r="50" spans="1:17" ht="27">
      <c r="A50" s="679" t="s">
        <v>2757</v>
      </c>
      <c r="B50" s="680" t="s">
        <v>2758</v>
      </c>
      <c r="C50" s="2705" t="s">
        <v>2759</v>
      </c>
      <c r="D50" s="2706" t="s">
        <v>2760</v>
      </c>
      <c r="E50" s="681" t="s">
        <v>2761</v>
      </c>
      <c r="F50" s="682" t="s">
        <v>2762</v>
      </c>
      <c r="G50" s="3330" t="s">
        <v>2763</v>
      </c>
      <c r="H50" s="3407"/>
      <c r="I50" s="1811" t="s">
        <v>2800</v>
      </c>
      <c r="J50" s="1811">
        <f>项目基本情况!F35</f>
        <v>0</v>
      </c>
      <c r="K50" s="2708" t="s">
        <v>2765</v>
      </c>
      <c r="L50" s="1104"/>
      <c r="M50" s="1142"/>
      <c r="N50" s="1142"/>
      <c r="O50" s="1142"/>
    </row>
    <row r="51" spans="1:17" s="687" customFormat="1">
      <c r="A51" s="683" t="s">
        <v>2766</v>
      </c>
      <c r="B51" s="684" t="e">
        <f>C43</f>
        <v>#DIV/0!</v>
      </c>
      <c r="C51" s="685">
        <v>1</v>
      </c>
      <c r="D51" s="1161">
        <v>1</v>
      </c>
      <c r="E51" s="685">
        <f>'数据-汇总表'!E8+'数据-汇总表'!E9</f>
        <v>1</v>
      </c>
      <c r="F51" s="686" t="e">
        <f t="shared" ref="F51:F60" si="15">ROUND(B51*E51/10000,0)</f>
        <v>#DIV/0!</v>
      </c>
      <c r="G51" s="3326"/>
      <c r="H51" s="3315"/>
      <c r="I51" s="940">
        <v>1</v>
      </c>
      <c r="J51" s="940">
        <v>1</v>
      </c>
      <c r="K51" s="1143"/>
      <c r="L51" s="939"/>
      <c r="M51" s="939"/>
      <c r="N51" s="939"/>
      <c r="O51" s="939"/>
    </row>
    <row r="52" spans="1:17" s="687" customFormat="1">
      <c r="A52" s="688" t="s">
        <v>2767</v>
      </c>
      <c r="B52" s="259" t="e">
        <f>ROUND($C$43*C52*D52,0)</f>
        <v>#DIV/0!</v>
      </c>
      <c r="C52" s="197">
        <f t="shared" ref="C52:C60" si="16">IF($C$50="北京市系数",I52,J52)</f>
        <v>0</v>
      </c>
      <c r="D52" s="1162">
        <v>0.25</v>
      </c>
      <c r="E52" s="689"/>
      <c r="F52" s="686" t="e">
        <f t="shared" si="15"/>
        <v>#DIV/0!</v>
      </c>
      <c r="G52" s="3408" t="s">
        <v>2768</v>
      </c>
      <c r="H52" s="1102">
        <f>项目基本情况!B37</f>
        <v>0</v>
      </c>
      <c r="I52" s="940">
        <f>SUMIF(修正!A45:A56,H52,修正!B45:B56)</f>
        <v>0</v>
      </c>
      <c r="J52" s="941"/>
      <c r="K52" s="1142"/>
      <c r="L52" s="939"/>
      <c r="M52" s="939"/>
      <c r="N52" s="939"/>
      <c r="O52" s="939"/>
    </row>
    <row r="53" spans="1:17" s="687" customFormat="1">
      <c r="A53" s="688" t="s">
        <v>2769</v>
      </c>
      <c r="B53" s="259" t="e">
        <f t="shared" ref="B53:B60" si="17">ROUND($C$43*C53*D53,0)</f>
        <v>#DIV/0!</v>
      </c>
      <c r="C53" s="197">
        <f t="shared" si="16"/>
        <v>0</v>
      </c>
      <c r="D53" s="1162">
        <v>0.25</v>
      </c>
      <c r="E53" s="689"/>
      <c r="F53" s="686" t="e">
        <f t="shared" si="15"/>
        <v>#DIV/0!</v>
      </c>
      <c r="G53" s="3408"/>
      <c r="H53" s="1102">
        <f>项目基本情况!B37</f>
        <v>0</v>
      </c>
      <c r="I53" s="940">
        <f>SUMIF(修正!A45:A56,H53,修正!C45:C56)</f>
        <v>0</v>
      </c>
      <c r="J53" s="941"/>
      <c r="K53" s="1143"/>
      <c r="L53" s="939"/>
      <c r="M53" s="939"/>
      <c r="N53" s="939"/>
      <c r="O53" s="939"/>
    </row>
    <row r="54" spans="1:17" s="687" customFormat="1">
      <c r="A54" s="688" t="s">
        <v>2770</v>
      </c>
      <c r="B54" s="259" t="e">
        <f t="shared" si="17"/>
        <v>#DIV/0!</v>
      </c>
      <c r="C54" s="197">
        <f t="shared" si="16"/>
        <v>0</v>
      </c>
      <c r="D54" s="1162">
        <v>0.25</v>
      </c>
      <c r="E54" s="689"/>
      <c r="F54" s="686" t="e">
        <f t="shared" si="15"/>
        <v>#DIV/0!</v>
      </c>
      <c r="G54" s="3408"/>
      <c r="H54" s="1102">
        <f>项目基本情况!B37</f>
        <v>0</v>
      </c>
      <c r="I54" s="940">
        <f>SUMIF(修正!A45:A56,H54,修正!D45:D56)</f>
        <v>0</v>
      </c>
      <c r="J54" s="941"/>
      <c r="K54" s="1142"/>
      <c r="L54" s="939"/>
      <c r="M54" s="939"/>
      <c r="N54" s="939"/>
      <c r="O54" s="939"/>
    </row>
    <row r="55" spans="1:17" s="687" customFormat="1">
      <c r="A55" s="688" t="s">
        <v>2771</v>
      </c>
      <c r="B55" s="259" t="e">
        <f t="shared" si="17"/>
        <v>#DIV/0!</v>
      </c>
      <c r="C55" s="197">
        <f t="shared" si="16"/>
        <v>0</v>
      </c>
      <c r="D55" s="1162">
        <v>0.25</v>
      </c>
      <c r="E55" s="689"/>
      <c r="F55" s="686" t="e">
        <f t="shared" si="15"/>
        <v>#DIV/0!</v>
      </c>
      <c r="G55" s="3408"/>
      <c r="H55" s="1102">
        <f>项目基本情况!B37</f>
        <v>0</v>
      </c>
      <c r="I55" s="940">
        <f>SUMIF(修正!A45:A56,H55,修正!E45:E56)</f>
        <v>0</v>
      </c>
      <c r="J55" s="941"/>
      <c r="K55" s="1143"/>
      <c r="L55" s="939"/>
      <c r="M55" s="939"/>
      <c r="N55" s="939"/>
      <c r="O55" s="939"/>
    </row>
    <row r="56" spans="1:17" s="687" customFormat="1">
      <c r="A56" s="688" t="s">
        <v>2772</v>
      </c>
      <c r="B56" s="259" t="e">
        <f t="shared" si="17"/>
        <v>#DIV/0!</v>
      </c>
      <c r="C56" s="197">
        <f t="shared" si="16"/>
        <v>0</v>
      </c>
      <c r="D56" s="1162">
        <v>0.25</v>
      </c>
      <c r="E56" s="258">
        <f>'数据-汇总表'!E11</f>
        <v>0</v>
      </c>
      <c r="F56" s="686" t="e">
        <f t="shared" si="15"/>
        <v>#DIV/0!</v>
      </c>
      <c r="G56" s="2709" t="s">
        <v>2773</v>
      </c>
      <c r="H56" s="1102">
        <f>项目基本情况!C37</f>
        <v>0</v>
      </c>
      <c r="I56" s="940">
        <f>SUMIF(修正!A45:A56,H56,修正!F45:F56)</f>
        <v>0</v>
      </c>
      <c r="J56" s="941"/>
      <c r="K56" s="1142"/>
      <c r="L56" s="939"/>
      <c r="M56" s="939"/>
      <c r="N56" s="939"/>
      <c r="O56" s="939"/>
    </row>
    <row r="57" spans="1:17" s="687" customFormat="1">
      <c r="A57" s="688" t="s">
        <v>2774</v>
      </c>
      <c r="B57" s="259" t="e">
        <f t="shared" si="17"/>
        <v>#DIV/0!</v>
      </c>
      <c r="C57" s="197">
        <f t="shared" si="16"/>
        <v>0</v>
      </c>
      <c r="D57" s="1162">
        <v>0.25</v>
      </c>
      <c r="E57" s="258">
        <f>'数据-汇总表'!E12</f>
        <v>0</v>
      </c>
      <c r="F57" s="686" t="e">
        <f t="shared" si="15"/>
        <v>#DIV/0!</v>
      </c>
      <c r="G57" s="1107" t="s">
        <v>2775</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87" customFormat="1">
      <c r="A58" s="688" t="s">
        <v>2776</v>
      </c>
      <c r="B58" s="259" t="e">
        <f t="shared" si="17"/>
        <v>#DIV/0!</v>
      </c>
      <c r="C58" s="197">
        <f t="shared" si="16"/>
        <v>0.15</v>
      </c>
      <c r="D58" s="1162">
        <v>0.25</v>
      </c>
      <c r="E58" s="258">
        <f>'数据-汇总表'!E13</f>
        <v>0</v>
      </c>
      <c r="F58" s="686" t="e">
        <f t="shared" si="15"/>
        <v>#DIV/0!</v>
      </c>
      <c r="G58" s="1107" t="s">
        <v>2777</v>
      </c>
      <c r="H58" s="1102" t="str">
        <f>IF(G58="商业",项目基本情况!B37,IF(G58="办公",项目基本情况!C37,IF(G58="住宅",项目基本情况!D37,项目基本情况!E37)))</f>
        <v>八级</v>
      </c>
      <c r="I58" s="940">
        <f>SUMIF(修正!A45:A56,H58,修正!H45:H56)</f>
        <v>0.15</v>
      </c>
      <c r="J58" s="941"/>
      <c r="K58" s="1142"/>
      <c r="L58" s="939"/>
      <c r="M58" s="939"/>
      <c r="N58" s="939"/>
      <c r="O58" s="939"/>
    </row>
    <row r="59" spans="1:17" s="687" customFormat="1">
      <c r="A59" s="688" t="s">
        <v>2778</v>
      </c>
      <c r="B59" s="259" t="e">
        <f t="shared" si="17"/>
        <v>#DIV/0!</v>
      </c>
      <c r="C59" s="197">
        <f t="shared" si="16"/>
        <v>0</v>
      </c>
      <c r="D59" s="1162">
        <v>0.25</v>
      </c>
      <c r="E59" s="258">
        <f>'数据-汇总表'!E14</f>
        <v>0</v>
      </c>
      <c r="F59" s="686" t="e">
        <f t="shared" si="15"/>
        <v>#DIV/0!</v>
      </c>
      <c r="G59" s="2709" t="s">
        <v>2768</v>
      </c>
      <c r="H59" s="1102">
        <f>项目基本情况!B37</f>
        <v>0</v>
      </c>
      <c r="I59" s="940">
        <f>SUMIF(修正!A45:A56,H59,修正!H45:H56)</f>
        <v>0</v>
      </c>
      <c r="J59" s="941"/>
      <c r="K59" s="1143"/>
      <c r="L59" s="939"/>
      <c r="M59" s="939"/>
      <c r="N59" s="939"/>
      <c r="O59" s="939"/>
    </row>
    <row r="60" spans="1:17" s="687" customFormat="1" ht="15" thickBot="1">
      <c r="A60" s="688" t="s">
        <v>2779</v>
      </c>
      <c r="B60" s="259" t="e">
        <f t="shared" si="17"/>
        <v>#DIV/0!</v>
      </c>
      <c r="C60" s="197">
        <f t="shared" si="16"/>
        <v>0</v>
      </c>
      <c r="D60" s="1162">
        <v>0.25</v>
      </c>
      <c r="E60" s="258">
        <f>'数据-汇总表'!E15</f>
        <v>0</v>
      </c>
      <c r="F60" s="686" t="e">
        <f t="shared" si="15"/>
        <v>#DIV/0!</v>
      </c>
      <c r="G60" s="2710" t="s">
        <v>2773</v>
      </c>
      <c r="H60" s="1112">
        <f>项目基本情况!C37</f>
        <v>0</v>
      </c>
      <c r="I60" s="940">
        <f>SUMIF(修正!A45:A56,H60,修正!H45:H56)</f>
        <v>0</v>
      </c>
      <c r="J60" s="941"/>
      <c r="K60" s="1142"/>
      <c r="L60" s="939"/>
      <c r="M60" s="939"/>
      <c r="N60" s="939"/>
      <c r="O60" s="939"/>
    </row>
    <row r="61" spans="1:17" s="687" customFormat="1" ht="15" thickBot="1">
      <c r="A61" s="690" t="s">
        <v>2780</v>
      </c>
      <c r="B61" s="691" t="s">
        <v>28</v>
      </c>
      <c r="C61" s="691" t="s">
        <v>29</v>
      </c>
      <c r="D61" s="691" t="s">
        <v>1029</v>
      </c>
      <c r="E61" s="691">
        <f>IF(B41="楼面地价",SUM(E51:E60),'数据-汇总表'!D3)</f>
        <v>0.4</v>
      </c>
      <c r="F61" s="692"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6" t="str">
        <f>YEAR(C7)&amp;"-"&amp;MONTH(C7)&amp;"-1"</f>
        <v>2019-6-1</v>
      </c>
      <c r="D63" s="756">
        <f>EDATE(C63,-3)</f>
        <v>43525</v>
      </c>
      <c r="E63" s="756">
        <f>EDATE(D63,-3)</f>
        <v>43435</v>
      </c>
      <c r="F63" s="756">
        <f t="shared" ref="F63:O63" si="18">EDATE(E63,-3)</f>
        <v>43344</v>
      </c>
      <c r="G63" s="756">
        <f t="shared" si="18"/>
        <v>43252</v>
      </c>
      <c r="H63" s="756">
        <f t="shared" si="18"/>
        <v>43160</v>
      </c>
      <c r="I63" s="756">
        <f t="shared" si="18"/>
        <v>43070</v>
      </c>
      <c r="J63" s="756">
        <f t="shared" si="18"/>
        <v>42979</v>
      </c>
      <c r="K63" s="756">
        <f t="shared" si="18"/>
        <v>42887</v>
      </c>
      <c r="L63" s="756">
        <f t="shared" si="18"/>
        <v>42795</v>
      </c>
      <c r="M63" s="756">
        <f t="shared" si="18"/>
        <v>42705</v>
      </c>
      <c r="N63" s="756">
        <f t="shared" si="18"/>
        <v>42614</v>
      </c>
      <c r="O63" s="756">
        <f t="shared" si="18"/>
        <v>42522</v>
      </c>
    </row>
    <row r="64" spans="1:17" ht="21.75" thickBot="1">
      <c r="A64" s="758" t="s">
        <v>2676</v>
      </c>
      <c r="B64" s="754"/>
      <c r="C64" s="759"/>
      <c r="D64" s="759"/>
      <c r="E64" s="759"/>
      <c r="F64" s="760"/>
      <c r="G64" s="760"/>
      <c r="H64" s="759"/>
      <c r="I64" s="759"/>
      <c r="J64" s="759"/>
      <c r="K64" s="761"/>
      <c r="L64" s="762"/>
      <c r="M64" s="759"/>
      <c r="N64" s="759"/>
      <c r="O64" s="1157"/>
      <c r="P64" s="498"/>
      <c r="Q64" s="499"/>
    </row>
    <row r="65" spans="1:17" s="503" customFormat="1" ht="15">
      <c r="A65" s="2711" t="s">
        <v>2781</v>
      </c>
      <c r="B65" s="1357"/>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2"/>
    </row>
    <row r="66" spans="1:17" s="116" customFormat="1" ht="30.75" customHeight="1">
      <c r="A66" s="2716" t="s">
        <v>2801</v>
      </c>
      <c r="B66" s="329" t="str">
        <f>"北京市平均增长率"&amp;TEXT(基准地价修正!P24,"0.00%")</f>
        <v>北京市平均增长率0.00%</v>
      </c>
      <c r="C66" s="598">
        <v>100</v>
      </c>
      <c r="D66" s="590"/>
      <c r="E66" s="590"/>
      <c r="F66" s="590"/>
      <c r="G66" s="590"/>
      <c r="H66" s="590"/>
      <c r="I66" s="590"/>
      <c r="J66" s="590"/>
      <c r="K66" s="590"/>
      <c r="L66" s="590"/>
      <c r="M66" s="1564"/>
      <c r="N66" s="1564"/>
      <c r="O66" s="1566"/>
      <c r="P66" s="499"/>
    </row>
    <row r="67" spans="1:17" s="116" customFormat="1" ht="15.75" thickBot="1">
      <c r="A67" s="510" t="s">
        <v>2587</v>
      </c>
      <c r="B67" s="511"/>
      <c r="C67" s="512"/>
      <c r="D67" s="513"/>
      <c r="E67" s="513"/>
      <c r="F67" s="513"/>
      <c r="G67" s="513"/>
      <c r="H67" s="513"/>
      <c r="I67" s="513"/>
      <c r="J67" s="513"/>
      <c r="K67" s="513"/>
      <c r="L67" s="513"/>
      <c r="M67" s="514"/>
      <c r="N67" s="514"/>
      <c r="O67" s="515"/>
      <c r="P67" s="499"/>
      <c r="Q67" s="499"/>
    </row>
    <row r="68" spans="1:17" s="116" customFormat="1" ht="15">
      <c r="A68" s="516" t="s">
        <v>2552</v>
      </c>
      <c r="B68" s="505"/>
      <c r="C68" s="517" t="s">
        <v>2654</v>
      </c>
      <c r="D68" s="518"/>
      <c r="E68" s="518"/>
      <c r="F68" s="518"/>
      <c r="G68" s="518"/>
      <c r="H68" s="518"/>
      <c r="I68" s="518"/>
      <c r="J68" s="518"/>
      <c r="K68" s="518"/>
      <c r="L68" s="519"/>
      <c r="M68" s="520"/>
      <c r="N68" s="1149"/>
      <c r="O68" s="1149"/>
      <c r="P68" s="521"/>
      <c r="Q68" s="499"/>
    </row>
    <row r="69" spans="1:17" s="116" customFormat="1" ht="15.75" thickBot="1">
      <c r="A69" s="516"/>
      <c r="B69" s="505"/>
      <c r="C69" s="634">
        <v>100</v>
      </c>
      <c r="D69" s="507"/>
      <c r="E69" s="507"/>
      <c r="F69" s="507"/>
      <c r="G69" s="507"/>
      <c r="H69" s="507"/>
      <c r="I69" s="507"/>
      <c r="J69" s="507"/>
      <c r="K69" s="507"/>
      <c r="L69" s="507"/>
      <c r="M69" s="509"/>
      <c r="N69" s="1149"/>
      <c r="O69" s="1149"/>
      <c r="P69" s="499"/>
      <c r="Q69" s="499"/>
    </row>
    <row r="70" spans="1:17">
      <c r="A70" s="522" t="s">
        <v>2590</v>
      </c>
      <c r="B70" s="523" t="s">
        <v>2556</v>
      </c>
      <c r="C70" s="525"/>
      <c r="D70" s="525"/>
      <c r="E70" s="525"/>
      <c r="F70" s="525"/>
      <c r="G70" s="525"/>
      <c r="H70" s="525"/>
      <c r="I70" s="525"/>
      <c r="J70" s="525"/>
      <c r="K70" s="526"/>
      <c r="L70" s="527"/>
      <c r="M70" s="528"/>
      <c r="N70" s="1150"/>
      <c r="O70" s="1150"/>
      <c r="P70" s="45"/>
      <c r="Q70" s="499"/>
    </row>
    <row r="71" spans="1:17" ht="15.75" thickBot="1">
      <c r="A71" s="529"/>
      <c r="B71" s="530"/>
      <c r="C71" s="531"/>
      <c r="D71" s="531"/>
      <c r="E71" s="531"/>
      <c r="F71" s="531"/>
      <c r="G71" s="531"/>
      <c r="H71" s="531"/>
      <c r="I71" s="531"/>
      <c r="J71" s="531"/>
      <c r="K71" s="531"/>
      <c r="L71" s="531"/>
      <c r="M71" s="532"/>
      <c r="N71" s="1151"/>
      <c r="O71" s="1151"/>
      <c r="P71" s="45"/>
      <c r="Q71" s="499"/>
    </row>
    <row r="72" spans="1:17" ht="27.75" thickTop="1">
      <c r="A72" s="529"/>
      <c r="B72" s="533" t="s">
        <v>2559</v>
      </c>
      <c r="C72" s="534"/>
      <c r="D72" s="534"/>
      <c r="E72" s="534"/>
      <c r="F72" s="534"/>
      <c r="G72" s="534"/>
      <c r="H72" s="534"/>
      <c r="I72" s="534"/>
      <c r="J72" s="534"/>
      <c r="K72" s="535"/>
      <c r="L72" s="536"/>
      <c r="M72" s="537"/>
      <c r="N72" s="1150"/>
      <c r="O72" s="1150"/>
      <c r="P72" s="45"/>
      <c r="Q72" s="499"/>
    </row>
    <row r="73" spans="1:17" ht="15.75" thickBot="1">
      <c r="A73" s="529"/>
      <c r="B73" s="538"/>
      <c r="C73" s="539"/>
      <c r="D73" s="539"/>
      <c r="E73" s="539"/>
      <c r="F73" s="539"/>
      <c r="G73" s="539"/>
      <c r="H73" s="539"/>
      <c r="I73" s="539"/>
      <c r="J73" s="539"/>
      <c r="K73" s="539"/>
      <c r="L73" s="539"/>
      <c r="M73" s="540"/>
      <c r="N73" s="1151"/>
      <c r="O73" s="1151"/>
      <c r="P73" s="45"/>
      <c r="Q73" s="499"/>
    </row>
    <row r="74" spans="1:17" ht="15.75" thickTop="1">
      <c r="A74" s="529"/>
      <c r="B74" s="541" t="s">
        <v>2560</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5" t="str">
        <f>M75&amp;"（含）"&amp;"-"&amp;P75</f>
        <v>（含）-</v>
      </c>
      <c r="N74" s="1151"/>
      <c r="O74" s="1151"/>
      <c r="P74" s="45"/>
      <c r="Q74" s="499"/>
    </row>
    <row r="75" spans="1:17" ht="15">
      <c r="A75" s="529"/>
      <c r="B75" s="543"/>
      <c r="C75" s="544"/>
      <c r="D75" s="544"/>
      <c r="E75" s="544"/>
      <c r="F75" s="544"/>
      <c r="G75" s="544"/>
      <c r="H75" s="544"/>
      <c r="I75" s="544"/>
      <c r="J75" s="544"/>
      <c r="K75" s="545"/>
      <c r="L75" s="546"/>
      <c r="M75" s="547"/>
      <c r="N75" s="1150"/>
      <c r="O75" s="1150"/>
      <c r="P75" s="45"/>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51"/>
      <c r="O76" s="1151"/>
      <c r="P76" s="45"/>
      <c r="Q76" s="499"/>
    </row>
    <row r="77" spans="1:17" s="466" customFormat="1" ht="15.75" thickTop="1">
      <c r="A77" s="548"/>
      <c r="B77" s="533">
        <f>B12</f>
        <v>111</v>
      </c>
      <c r="C77" s="549"/>
      <c r="D77" s="549"/>
      <c r="E77" s="549"/>
      <c r="F77" s="549"/>
      <c r="G77" s="549"/>
      <c r="H77" s="550"/>
      <c r="I77" s="550"/>
      <c r="J77" s="550"/>
      <c r="K77" s="550"/>
      <c r="L77" s="551"/>
      <c r="M77" s="552"/>
      <c r="N77" s="1152"/>
      <c r="O77" s="1152"/>
      <c r="P77" s="553"/>
      <c r="Q77" s="554"/>
    </row>
    <row r="78" spans="1:17" s="466" customFormat="1" ht="15.75" thickBot="1">
      <c r="A78" s="548"/>
      <c r="B78" s="538"/>
      <c r="C78" s="555"/>
      <c r="D78" s="531"/>
      <c r="E78" s="531"/>
      <c r="F78" s="531"/>
      <c r="G78" s="531"/>
      <c r="H78" s="531"/>
      <c r="I78" s="531"/>
      <c r="J78" s="531"/>
      <c r="K78" s="531"/>
      <c r="L78" s="531"/>
      <c r="M78" s="532"/>
      <c r="N78" s="1151"/>
      <c r="O78" s="1151"/>
      <c r="P78" s="553"/>
      <c r="Q78" s="554"/>
    </row>
    <row r="79" spans="1:17" s="466" customFormat="1" ht="15.75" thickTop="1">
      <c r="A79" s="548"/>
      <c r="B79" s="533">
        <f>B13</f>
        <v>111</v>
      </c>
      <c r="C79" s="549"/>
      <c r="D79" s="549"/>
      <c r="E79" s="549"/>
      <c r="F79" s="549"/>
      <c r="G79" s="549"/>
      <c r="H79" s="550"/>
      <c r="I79" s="550"/>
      <c r="J79" s="550"/>
      <c r="K79" s="550"/>
      <c r="L79" s="551"/>
      <c r="M79" s="552"/>
      <c r="N79" s="1152"/>
      <c r="O79" s="1152"/>
      <c r="P79" s="465"/>
      <c r="Q79" s="556"/>
    </row>
    <row r="80" spans="1:17" s="466" customFormat="1" ht="15.75" thickBot="1">
      <c r="A80" s="548"/>
      <c r="B80" s="538"/>
      <c r="C80" s="555"/>
      <c r="D80" s="555"/>
      <c r="E80" s="555"/>
      <c r="F80" s="555"/>
      <c r="G80" s="555"/>
      <c r="H80" s="557"/>
      <c r="I80" s="557"/>
      <c r="J80" s="557"/>
      <c r="K80" s="557"/>
      <c r="L80" s="557"/>
      <c r="M80" s="558"/>
      <c r="N80" s="1152"/>
      <c r="O80" s="1152"/>
      <c r="P80" s="553"/>
      <c r="Q80" s="554"/>
    </row>
    <row r="81" spans="1:17" s="466" customFormat="1" ht="15.75" thickTop="1">
      <c r="A81" s="548"/>
      <c r="B81" s="541">
        <f>B14</f>
        <v>111</v>
      </c>
      <c r="C81" s="518"/>
      <c r="D81" s="518"/>
      <c r="E81" s="518"/>
      <c r="F81" s="518"/>
      <c r="G81" s="518"/>
      <c r="H81" s="559"/>
      <c r="I81" s="559"/>
      <c r="J81" s="559"/>
      <c r="K81" s="559"/>
      <c r="L81" s="560"/>
      <c r="M81" s="561"/>
      <c r="N81" s="1152"/>
      <c r="O81" s="1152"/>
      <c r="P81" s="562"/>
      <c r="Q81" s="554"/>
    </row>
    <row r="82" spans="1:17" s="466" customFormat="1" ht="15.75" thickBot="1">
      <c r="A82" s="563"/>
      <c r="B82" s="564"/>
      <c r="C82" s="565"/>
      <c r="D82" s="565"/>
      <c r="E82" s="565"/>
      <c r="F82" s="565"/>
      <c r="G82" s="565"/>
      <c r="H82" s="566"/>
      <c r="I82" s="566"/>
      <c r="J82" s="566"/>
      <c r="K82" s="566"/>
      <c r="L82" s="566"/>
      <c r="M82" s="567"/>
      <c r="N82" s="1152"/>
      <c r="O82" s="1152"/>
      <c r="P82" s="553"/>
      <c r="Q82" s="554"/>
    </row>
    <row r="83" spans="1:17">
      <c r="A83" s="522" t="s">
        <v>2561</v>
      </c>
      <c r="B83" s="523" t="s">
        <v>2707</v>
      </c>
      <c r="C83" s="568" t="s">
        <v>2599</v>
      </c>
      <c r="D83" s="568" t="s">
        <v>2600</v>
      </c>
      <c r="E83" s="568" t="s">
        <v>2601</v>
      </c>
      <c r="F83" s="568" t="s">
        <v>2602</v>
      </c>
      <c r="G83" s="568" t="s">
        <v>2603</v>
      </c>
      <c r="H83" s="524"/>
      <c r="I83" s="524"/>
      <c r="J83" s="524"/>
      <c r="K83" s="569"/>
      <c r="L83" s="570"/>
      <c r="M83" s="571"/>
      <c r="N83" s="1150"/>
      <c r="O83" s="1150"/>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51"/>
      <c r="O84" s="1151"/>
      <c r="P84" s="45"/>
      <c r="Q84" s="499"/>
    </row>
    <row r="85" spans="1:17" ht="15.75" thickTop="1">
      <c r="A85" s="529"/>
      <c r="B85" s="533" t="s">
        <v>2604</v>
      </c>
      <c r="C85" s="573" t="s">
        <v>2599</v>
      </c>
      <c r="D85" s="573" t="s">
        <v>2600</v>
      </c>
      <c r="E85" s="573" t="s">
        <v>2601</v>
      </c>
      <c r="F85" s="573" t="s">
        <v>2602</v>
      </c>
      <c r="G85" s="573" t="s">
        <v>2603</v>
      </c>
      <c r="H85" s="534"/>
      <c r="I85" s="534"/>
      <c r="J85" s="534"/>
      <c r="K85" s="535"/>
      <c r="L85" s="536"/>
      <c r="M85" s="537"/>
      <c r="N85" s="1150"/>
      <c r="O85" s="1150"/>
      <c r="P85" s="45"/>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51"/>
      <c r="O86" s="1151"/>
      <c r="P86" s="45"/>
      <c r="Q86" s="499"/>
    </row>
    <row r="87" spans="1:17" s="116" customFormat="1" ht="15.75" thickTop="1">
      <c r="A87" s="574"/>
      <c r="B87" s="533" t="s">
        <v>2784</v>
      </c>
      <c r="C87" s="568" t="s">
        <v>2599</v>
      </c>
      <c r="D87" s="568" t="s">
        <v>2600</v>
      </c>
      <c r="E87" s="568" t="s">
        <v>2601</v>
      </c>
      <c r="F87" s="568" t="s">
        <v>2602</v>
      </c>
      <c r="G87" s="568" t="s">
        <v>2603</v>
      </c>
      <c r="H87" s="573"/>
      <c r="I87" s="573"/>
      <c r="J87" s="573"/>
      <c r="K87" s="573"/>
      <c r="L87" s="693"/>
      <c r="M87" s="617"/>
      <c r="N87" s="1149"/>
      <c r="O87" s="1149"/>
      <c r="P87" s="45"/>
      <c r="Q87" s="499"/>
    </row>
    <row r="88" spans="1:17" s="116" customFormat="1" ht="15.75" thickBot="1">
      <c r="A88" s="574"/>
      <c r="B88" s="538"/>
      <c r="C88" s="577">
        <v>100</v>
      </c>
      <c r="D88" s="539">
        <f>C88-$K19</f>
        <v>100</v>
      </c>
      <c r="E88" s="539">
        <f>D88-$K19</f>
        <v>100</v>
      </c>
      <c r="F88" s="539">
        <f>E88-$K19</f>
        <v>100</v>
      </c>
      <c r="G88" s="539">
        <f>F88-$K19</f>
        <v>100</v>
      </c>
      <c r="H88" s="539"/>
      <c r="I88" s="539"/>
      <c r="J88" s="539"/>
      <c r="K88" s="539"/>
      <c r="L88" s="539"/>
      <c r="M88" s="540"/>
      <c r="N88" s="1151"/>
      <c r="O88" s="1151"/>
      <c r="P88" s="45"/>
      <c r="Q88" s="499"/>
    </row>
    <row r="89" spans="1:17" s="116" customFormat="1" ht="27.75" thickTop="1">
      <c r="A89" s="574"/>
      <c r="B89" s="533" t="s">
        <v>2785</v>
      </c>
      <c r="C89" s="568" t="s">
        <v>2599</v>
      </c>
      <c r="D89" s="568" t="s">
        <v>2600</v>
      </c>
      <c r="E89" s="568" t="s">
        <v>2601</v>
      </c>
      <c r="F89" s="568" t="s">
        <v>2602</v>
      </c>
      <c r="G89" s="568" t="s">
        <v>2603</v>
      </c>
      <c r="H89" s="573"/>
      <c r="I89" s="573"/>
      <c r="J89" s="573"/>
      <c r="K89" s="573"/>
      <c r="L89" s="573"/>
      <c r="M89" s="617"/>
      <c r="N89" s="1149"/>
      <c r="O89" s="1149"/>
      <c r="P89" s="45"/>
      <c r="Q89" s="499"/>
    </row>
    <row r="90" spans="1:17" s="116" customFormat="1" ht="15.75" thickBot="1">
      <c r="A90" s="574"/>
      <c r="B90" s="538"/>
      <c r="C90" s="539">
        <v>100</v>
      </c>
      <c r="D90" s="539">
        <f>C90-$K21</f>
        <v>100</v>
      </c>
      <c r="E90" s="539">
        <f>D90-$K21</f>
        <v>100</v>
      </c>
      <c r="F90" s="539">
        <f>E90-$K21</f>
        <v>100</v>
      </c>
      <c r="G90" s="539">
        <f>F90-$K21</f>
        <v>100</v>
      </c>
      <c r="H90" s="539"/>
      <c r="I90" s="539"/>
      <c r="J90" s="539"/>
      <c r="K90" s="539"/>
      <c r="L90" s="539"/>
      <c r="M90" s="540"/>
      <c r="N90" s="1151"/>
      <c r="O90" s="1151"/>
      <c r="P90" s="45"/>
      <c r="Q90" s="499"/>
    </row>
    <row r="91" spans="1:17" s="466" customFormat="1" ht="15.75" thickTop="1">
      <c r="A91" s="548"/>
      <c r="B91" s="533" t="s">
        <v>2656</v>
      </c>
      <c r="C91" s="568" t="s">
        <v>2599</v>
      </c>
      <c r="D91" s="568" t="s">
        <v>2600</v>
      </c>
      <c r="E91" s="568" t="s">
        <v>2601</v>
      </c>
      <c r="F91" s="568" t="s">
        <v>2602</v>
      </c>
      <c r="G91" s="568" t="s">
        <v>2603</v>
      </c>
      <c r="H91" s="595"/>
      <c r="I91" s="595"/>
      <c r="J91" s="595"/>
      <c r="K91" s="595"/>
      <c r="L91" s="596"/>
      <c r="M91" s="597"/>
      <c r="N91" s="1152"/>
      <c r="O91" s="1152"/>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52"/>
      <c r="O92" s="1152"/>
      <c r="P92" s="553"/>
      <c r="Q92" s="554"/>
    </row>
    <row r="93" spans="1:17" s="466" customFormat="1" ht="15.75" thickTop="1">
      <c r="A93" s="548"/>
      <c r="B93" s="541" t="s">
        <v>2802</v>
      </c>
      <c r="C93" s="655" t="s">
        <v>2677</v>
      </c>
      <c r="D93" s="655" t="s">
        <v>2678</v>
      </c>
      <c r="E93" s="655" t="s">
        <v>2679</v>
      </c>
      <c r="F93" s="655" t="s">
        <v>2680</v>
      </c>
      <c r="G93" s="655" t="s">
        <v>2681</v>
      </c>
      <c r="H93" s="595"/>
      <c r="I93" s="595"/>
      <c r="J93" s="595"/>
      <c r="K93" s="595"/>
      <c r="L93" s="595"/>
      <c r="M93" s="597"/>
      <c r="N93" s="1152"/>
      <c r="O93" s="1152"/>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83"/>
      <c r="N94" s="1152"/>
      <c r="O94" s="1152"/>
      <c r="P94" s="553"/>
      <c r="Q94" s="554"/>
    </row>
    <row r="95" spans="1:17" ht="15.75" thickTop="1">
      <c r="A95" s="529"/>
      <c r="B95" s="533" t="str">
        <f>B27</f>
        <v>临街状况</v>
      </c>
      <c r="C95" s="534" t="s">
        <v>2786</v>
      </c>
      <c r="D95" s="534" t="s">
        <v>2787</v>
      </c>
      <c r="E95" s="534" t="s">
        <v>2788</v>
      </c>
      <c r="F95" s="534" t="s">
        <v>2789</v>
      </c>
      <c r="G95" s="534"/>
      <c r="H95" s="534"/>
      <c r="I95" s="534"/>
      <c r="J95" s="534"/>
      <c r="K95" s="535"/>
      <c r="L95" s="536"/>
      <c r="M95" s="537"/>
      <c r="N95" s="1150"/>
      <c r="O95" s="1150"/>
      <c r="P95" s="45"/>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51"/>
      <c r="O96" s="1151"/>
      <c r="P96" s="45"/>
      <c r="Q96" s="499"/>
    </row>
    <row r="97" spans="1:17" ht="27.75" thickTop="1">
      <c r="A97" s="529"/>
      <c r="B97" s="533" t="s">
        <v>2693</v>
      </c>
      <c r="C97" s="549"/>
      <c r="D97" s="549"/>
      <c r="E97" s="549"/>
      <c r="F97" s="549"/>
      <c r="G97" s="549"/>
      <c r="H97" s="578"/>
      <c r="I97" s="578"/>
      <c r="J97" s="578"/>
      <c r="K97" s="579"/>
      <c r="L97" s="580"/>
      <c r="M97" s="581"/>
      <c r="N97" s="1150"/>
      <c r="O97" s="1150"/>
      <c r="P97" s="45"/>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51"/>
      <c r="O98" s="1151"/>
      <c r="P98" s="45"/>
      <c r="Q98" s="499"/>
    </row>
    <row r="99" spans="1:17" ht="15.75" thickTop="1">
      <c r="A99" s="529"/>
      <c r="B99" s="533" t="s">
        <v>2750</v>
      </c>
      <c r="C99" s="578"/>
      <c r="D99" s="578"/>
      <c r="E99" s="578"/>
      <c r="F99" s="578"/>
      <c r="G99" s="578"/>
      <c r="H99" s="578"/>
      <c r="I99" s="578"/>
      <c r="J99" s="578"/>
      <c r="K99" s="579"/>
      <c r="L99" s="580"/>
      <c r="M99" s="581"/>
      <c r="N99" s="1150"/>
      <c r="O99" s="1150"/>
      <c r="P99" s="45"/>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51"/>
      <c r="O100" s="1151"/>
      <c r="P100" s="45"/>
      <c r="Q100" s="499"/>
    </row>
    <row r="101" spans="1:17" ht="15.75" thickTop="1">
      <c r="A101" s="529"/>
      <c r="B101" s="541">
        <f>B31</f>
        <v>111</v>
      </c>
      <c r="C101" s="549"/>
      <c r="D101" s="549"/>
      <c r="E101" s="549"/>
      <c r="F101" s="549"/>
      <c r="G101" s="582"/>
      <c r="H101" s="582"/>
      <c r="I101" s="582"/>
      <c r="J101" s="582"/>
      <c r="K101" s="583"/>
      <c r="L101" s="584"/>
      <c r="M101" s="585"/>
      <c r="N101" s="1150"/>
      <c r="O101" s="1150"/>
      <c r="P101" s="45"/>
      <c r="Q101" s="499"/>
    </row>
    <row r="102" spans="1:17" ht="15.75" thickBot="1">
      <c r="A102" s="529"/>
      <c r="B102" s="564"/>
      <c r="C102" s="555"/>
      <c r="D102" s="531"/>
      <c r="E102" s="531"/>
      <c r="F102" s="531"/>
      <c r="G102" s="586"/>
      <c r="H102" s="586"/>
      <c r="I102" s="586"/>
      <c r="J102" s="586"/>
      <c r="K102" s="586"/>
      <c r="L102" s="586"/>
      <c r="M102" s="587"/>
      <c r="N102" s="1151"/>
      <c r="O102" s="1151"/>
      <c r="P102" s="45"/>
      <c r="Q102" s="499"/>
    </row>
    <row r="103" spans="1:17" ht="15" thickTop="1">
      <c r="A103" s="670"/>
      <c r="B103" s="533">
        <f>B32</f>
        <v>111</v>
      </c>
      <c r="C103" s="549"/>
      <c r="D103" s="549"/>
      <c r="E103" s="549"/>
      <c r="F103" s="549"/>
      <c r="G103" s="578"/>
      <c r="H103" s="578"/>
      <c r="I103" s="578"/>
      <c r="J103" s="578"/>
      <c r="K103" s="579"/>
      <c r="L103" s="580"/>
      <c r="M103" s="581"/>
      <c r="N103" s="1150"/>
      <c r="O103" s="1150"/>
      <c r="P103" s="45"/>
      <c r="Q103" s="499"/>
    </row>
    <row r="104" spans="1:17" ht="15.75" thickBot="1">
      <c r="A104" s="529"/>
      <c r="B104" s="538"/>
      <c r="C104" s="555"/>
      <c r="D104" s="555"/>
      <c r="E104" s="555"/>
      <c r="F104" s="555"/>
      <c r="G104" s="531"/>
      <c r="H104" s="531"/>
      <c r="I104" s="531"/>
      <c r="J104" s="531"/>
      <c r="K104" s="531"/>
      <c r="L104" s="531"/>
      <c r="M104" s="532"/>
      <c r="N104" s="1151"/>
      <c r="O104" s="1151"/>
      <c r="P104" s="45"/>
      <c r="Q104" s="499"/>
    </row>
    <row r="105" spans="1:17" s="466" customFormat="1" ht="15" thickTop="1">
      <c r="A105" s="588"/>
      <c r="B105" s="589">
        <f>B33</f>
        <v>111</v>
      </c>
      <c r="C105" s="518"/>
      <c r="D105" s="518"/>
      <c r="E105" s="518"/>
      <c r="F105" s="518"/>
      <c r="G105" s="590"/>
      <c r="H105" s="590"/>
      <c r="I105" s="590"/>
      <c r="J105" s="591"/>
      <c r="K105" s="591"/>
      <c r="L105" s="592"/>
      <c r="M105" s="593"/>
      <c r="N105" s="1152"/>
      <c r="O105" s="1152"/>
      <c r="P105" s="553"/>
      <c r="Q105" s="554"/>
    </row>
    <row r="106" spans="1:17" s="466" customFormat="1" ht="15.75" thickBot="1">
      <c r="A106" s="548"/>
      <c r="B106" s="541"/>
      <c r="C106" s="565"/>
      <c r="D106" s="565"/>
      <c r="E106" s="565"/>
      <c r="F106" s="565"/>
      <c r="G106" s="672"/>
      <c r="H106" s="672"/>
      <c r="I106" s="672"/>
      <c r="J106" s="672"/>
      <c r="K106" s="672"/>
      <c r="L106" s="672"/>
      <c r="M106" s="694"/>
      <c r="N106" s="1151"/>
      <c r="O106" s="1151"/>
      <c r="P106" s="553"/>
      <c r="Q106" s="554"/>
    </row>
    <row r="107" spans="1:17">
      <c r="A107" s="522" t="s">
        <v>2565</v>
      </c>
      <c r="B107" s="523" t="s">
        <v>2790</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63" t="str">
        <f t="shared" si="25"/>
        <v>(含)-</v>
      </c>
      <c r="L107" s="1763" t="str">
        <f t="shared" si="25"/>
        <v>(含)-</v>
      </c>
      <c r="M107" s="1764" t="str">
        <f>M108&amp;"(含)"&amp;"-"&amp;P108</f>
        <v>(含)-</v>
      </c>
      <c r="N107" s="1150"/>
      <c r="O107" s="1150"/>
      <c r="P107" s="45"/>
      <c r="Q107" s="499"/>
    </row>
    <row r="108" spans="1:17" ht="15">
      <c r="A108" s="529"/>
      <c r="B108" s="541"/>
      <c r="C108" s="590"/>
      <c r="D108" s="590"/>
      <c r="E108" s="590"/>
      <c r="F108" s="590"/>
      <c r="G108" s="590"/>
      <c r="H108" s="590"/>
      <c r="I108" s="590"/>
      <c r="J108" s="591"/>
      <c r="K108" s="591"/>
      <c r="L108" s="592"/>
      <c r="M108" s="593"/>
      <c r="N108" s="1150"/>
      <c r="O108" s="1150"/>
      <c r="P108" s="45"/>
      <c r="Q108" s="499"/>
    </row>
    <row r="109" spans="1:17" ht="15.75" thickBot="1">
      <c r="A109" s="529"/>
      <c r="B109" s="538"/>
      <c r="C109" s="565"/>
      <c r="D109" s="586"/>
      <c r="E109" s="586"/>
      <c r="F109" s="586"/>
      <c r="G109" s="586"/>
      <c r="H109" s="586"/>
      <c r="I109" s="586"/>
      <c r="J109" s="586"/>
      <c r="K109" s="586"/>
      <c r="L109" s="586"/>
      <c r="M109" s="587"/>
      <c r="N109" s="1151"/>
      <c r="O109" s="1151"/>
      <c r="P109" s="45"/>
      <c r="Q109" s="499"/>
    </row>
    <row r="110" spans="1:17" ht="15" thickTop="1">
      <c r="A110" s="594"/>
      <c r="B110" s="533" t="s">
        <v>2791</v>
      </c>
      <c r="C110" s="578"/>
      <c r="D110" s="578"/>
      <c r="E110" s="578"/>
      <c r="F110" s="578"/>
      <c r="G110" s="578"/>
      <c r="H110" s="578"/>
      <c r="I110" s="578"/>
      <c r="J110" s="578"/>
      <c r="K110" s="579"/>
      <c r="L110" s="580"/>
      <c r="M110" s="581"/>
      <c r="N110" s="1150"/>
      <c r="O110" s="1150"/>
      <c r="P110" s="45"/>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51"/>
      <c r="O111" s="1151"/>
      <c r="P111" s="45"/>
      <c r="Q111" s="499"/>
    </row>
    <row r="112" spans="1:17" s="466" customFormat="1" ht="15" thickTop="1">
      <c r="A112" s="588"/>
      <c r="B112" s="533" t="s">
        <v>2793</v>
      </c>
      <c r="C112" s="549"/>
      <c r="D112" s="549"/>
      <c r="E112" s="549"/>
      <c r="F112" s="549"/>
      <c r="G112" s="549"/>
      <c r="H112" s="578"/>
      <c r="I112" s="578"/>
      <c r="J112" s="578"/>
      <c r="K112" s="579"/>
      <c r="L112" s="580"/>
      <c r="M112" s="581"/>
      <c r="N112" s="1152"/>
      <c r="O112" s="1152"/>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52"/>
      <c r="O113" s="1152"/>
      <c r="P113" s="553"/>
      <c r="Q113" s="554"/>
    </row>
    <row r="114" spans="1:17" ht="15" thickTop="1">
      <c r="A114" s="594"/>
      <c r="B114" s="533" t="s">
        <v>2794</v>
      </c>
      <c r="C114" s="549"/>
      <c r="D114" s="549"/>
      <c r="E114" s="578"/>
      <c r="F114" s="578"/>
      <c r="G114" s="578"/>
      <c r="H114" s="578"/>
      <c r="I114" s="578"/>
      <c r="J114" s="578"/>
      <c r="K114" s="579"/>
      <c r="L114" s="580"/>
      <c r="M114" s="581"/>
      <c r="N114" s="1150"/>
      <c r="O114" s="1150"/>
      <c r="P114" s="45"/>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45"/>
      <c r="Q115" s="499"/>
    </row>
    <row r="116" spans="1:17" ht="15" thickTop="1">
      <c r="A116" s="594"/>
      <c r="B116" s="533">
        <f>B38</f>
        <v>111</v>
      </c>
      <c r="C116" s="549"/>
      <c r="D116" s="549"/>
      <c r="E116" s="549"/>
      <c r="F116" s="549"/>
      <c r="G116" s="549"/>
      <c r="H116" s="578"/>
      <c r="I116" s="578"/>
      <c r="J116" s="578"/>
      <c r="K116" s="579"/>
      <c r="L116" s="580"/>
      <c r="M116" s="581"/>
      <c r="N116" s="1150"/>
      <c r="O116" s="1150"/>
      <c r="P116" s="45"/>
      <c r="Q116" s="499"/>
    </row>
    <row r="117" spans="1:17" ht="15.75" thickBot="1">
      <c r="A117" s="529"/>
      <c r="B117" s="538"/>
      <c r="C117" s="555"/>
      <c r="D117" s="531"/>
      <c r="E117" s="531"/>
      <c r="F117" s="531"/>
      <c r="G117" s="531"/>
      <c r="H117" s="531"/>
      <c r="I117" s="531"/>
      <c r="J117" s="531"/>
      <c r="K117" s="531"/>
      <c r="L117" s="531"/>
      <c r="M117" s="532"/>
      <c r="N117" s="1151"/>
      <c r="O117" s="1151"/>
      <c r="P117" s="45"/>
      <c r="Q117" s="499"/>
    </row>
    <row r="118" spans="1:17" ht="15" thickTop="1">
      <c r="A118" s="594"/>
      <c r="B118" s="533">
        <f>B39</f>
        <v>111</v>
      </c>
      <c r="C118" s="549"/>
      <c r="D118" s="549"/>
      <c r="E118" s="549"/>
      <c r="F118" s="549"/>
      <c r="G118" s="578"/>
      <c r="H118" s="578"/>
      <c r="I118" s="578"/>
      <c r="J118" s="578"/>
      <c r="K118" s="579"/>
      <c r="L118" s="580"/>
      <c r="M118" s="581"/>
      <c r="N118" s="1150"/>
      <c r="O118" s="1150"/>
      <c r="P118" s="45"/>
      <c r="Q118" s="499"/>
    </row>
    <row r="119" spans="1:17" ht="15.75" thickBot="1">
      <c r="A119" s="529"/>
      <c r="B119" s="538"/>
      <c r="C119" s="555"/>
      <c r="D119" s="555"/>
      <c r="E119" s="555"/>
      <c r="F119" s="555"/>
      <c r="G119" s="531"/>
      <c r="H119" s="531"/>
      <c r="I119" s="531"/>
      <c r="J119" s="531"/>
      <c r="K119" s="531"/>
      <c r="L119" s="531"/>
      <c r="M119" s="532"/>
      <c r="N119" s="1151"/>
      <c r="O119" s="1151"/>
      <c r="P119" s="45"/>
      <c r="Q119" s="499"/>
    </row>
    <row r="120" spans="1:17" s="466" customFormat="1" ht="15" thickTop="1">
      <c r="A120" s="588"/>
      <c r="B120" s="533">
        <f>B40</f>
        <v>111</v>
      </c>
      <c r="C120" s="518"/>
      <c r="D120" s="518"/>
      <c r="E120" s="518"/>
      <c r="F120" s="518"/>
      <c r="G120" s="550"/>
      <c r="H120" s="550"/>
      <c r="I120" s="550"/>
      <c r="J120" s="550"/>
      <c r="K120" s="550"/>
      <c r="L120" s="551"/>
      <c r="M120" s="552"/>
      <c r="N120" s="1152"/>
      <c r="O120" s="1152"/>
      <c r="P120" s="553"/>
      <c r="Q120" s="554"/>
    </row>
    <row r="121" spans="1:17" s="466" customFormat="1" ht="15.75" thickBot="1">
      <c r="A121" s="563"/>
      <c r="B121" s="695"/>
      <c r="C121" s="565"/>
      <c r="D121" s="565"/>
      <c r="E121" s="565"/>
      <c r="F121" s="565"/>
      <c r="G121" s="586"/>
      <c r="H121" s="586"/>
      <c r="I121" s="586"/>
      <c r="J121" s="586"/>
      <c r="K121" s="586"/>
      <c r="L121" s="586"/>
      <c r="M121" s="587"/>
      <c r="N121" s="1152"/>
      <c r="O121" s="1152"/>
      <c r="P121" s="553"/>
      <c r="Q121" s="5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6" sqref="H1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0" customWidth="1"/>
    <col min="33" max="36" width="9.375" style="2796" customWidth="1"/>
    <col min="37" max="38" width="9.375" style="2720" customWidth="1"/>
    <col min="39" max="16384" width="12" style="2720"/>
  </cols>
  <sheetData>
    <row r="1" spans="1:36" ht="28.5">
      <c r="A1" s="237" t="s">
        <v>2803</v>
      </c>
      <c r="B1" s="238"/>
      <c r="C1" s="242" t="s">
        <v>2804</v>
      </c>
      <c r="D1" s="385">
        <f>SUM(D29:D30,D33:D39)</f>
        <v>0</v>
      </c>
      <c r="E1" s="2717"/>
      <c r="F1" s="2717"/>
      <c r="G1" s="2717"/>
      <c r="H1" s="2717"/>
      <c r="I1" s="2717"/>
      <c r="J1" s="2717"/>
      <c r="K1" s="1368"/>
      <c r="L1" s="2718" t="s">
        <v>2805</v>
      </c>
      <c r="M1" s="1078">
        <f>SUMPRODUCT((区片价!B5:B9=I2)*(区片价!C3:F3=E2)*(区片价!C5:F9))</f>
        <v>0</v>
      </c>
      <c r="N1" s="1081">
        <f>SUMPRODUCT((因素修正幅度!B5:B9=I2)*(因素修正幅度!C3:F3=E2)*(因素修正幅度!C5:F9))</f>
        <v>0</v>
      </c>
      <c r="O1" s="2719"/>
      <c r="P1" s="2719"/>
      <c r="Q1" s="1368"/>
      <c r="R1" s="1599" t="s">
        <v>2806</v>
      </c>
      <c r="S1" s="1599" t="s">
        <v>2807</v>
      </c>
      <c r="T1" s="1599" t="s">
        <v>2808</v>
      </c>
      <c r="U1" s="1599" t="s">
        <v>2809</v>
      </c>
      <c r="V1" s="1599" t="s">
        <v>2810</v>
      </c>
      <c r="W1" s="1603"/>
      <c r="X1" s="1603"/>
      <c r="Y1" s="1603"/>
      <c r="Z1" s="1603"/>
      <c r="AA1" s="1603"/>
      <c r="AB1" s="1603"/>
      <c r="AC1" s="1604"/>
      <c r="AD1" s="1605"/>
      <c r="AE1" s="1605"/>
      <c r="AF1" s="1605"/>
      <c r="AG1" s="1605"/>
      <c r="AH1" s="1605"/>
      <c r="AI1" s="1605"/>
      <c r="AJ1" s="1606"/>
    </row>
    <row r="2" spans="1:36" ht="15.75">
      <c r="A2" s="242" t="s">
        <v>2811</v>
      </c>
      <c r="B2" s="245" t="e">
        <f>C26</f>
        <v>#DIV/0!</v>
      </c>
      <c r="C2" s="2721" t="s">
        <v>2812</v>
      </c>
      <c r="D2" s="2722" t="s">
        <v>2813</v>
      </c>
      <c r="E2" s="2723"/>
      <c r="F2" s="2722" t="s">
        <v>2814</v>
      </c>
      <c r="G2" s="2724">
        <f>IF(E2="商业",项目基本情况!B37,IF(E2="办公",项目基本情况!C37,IF(E2="住宅",项目基本情况!D37,项目基本情况!E37)))</f>
        <v>0</v>
      </c>
      <c r="H2" s="2722" t="s">
        <v>2815</v>
      </c>
      <c r="I2" s="2724">
        <f>IF(E2="商业",项目基本情况!B38,IF(E2="办公",项目基本情况!C38,IF(E2="住宅",项目基本情况!D38,项目基本情况!E38)))</f>
        <v>0</v>
      </c>
      <c r="J2" s="2725"/>
      <c r="K2" s="1368"/>
      <c r="L2" s="2726" t="s">
        <v>2816</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4" t="s">
        <v>2817</v>
      </c>
      <c r="B3" s="245" t="e">
        <f>ROUND(B2*10000/D1,0)</f>
        <v>#DIV/0!</v>
      </c>
      <c r="C3" s="2721" t="s">
        <v>2818</v>
      </c>
      <c r="D3" s="2722" t="s">
        <v>2819</v>
      </c>
      <c r="E3" s="2727"/>
      <c r="F3" s="2728" t="s">
        <v>2820</v>
      </c>
      <c r="G3" s="911">
        <f>IF(F3="宗地容积率",'数据-汇总表'!I4,IF(F3="估价对象容积率",'数据-汇总表'!I6,'数据-汇总表'!I7))</f>
        <v>2.5</v>
      </c>
      <c r="H3" s="195" t="s">
        <v>2821</v>
      </c>
      <c r="I3" s="942"/>
      <c r="J3" s="2725" t="s">
        <v>2822</v>
      </c>
      <c r="K3" s="1368"/>
      <c r="L3" s="2726" t="s">
        <v>2823</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426"/>
      <c r="B4" s="3427"/>
      <c r="C4" s="3427"/>
      <c r="D4" s="3428"/>
      <c r="E4" s="3428"/>
      <c r="F4" s="3428"/>
      <c r="G4" s="3428"/>
      <c r="H4" s="3428"/>
      <c r="I4" s="3428"/>
      <c r="J4" s="3429"/>
      <c r="K4" s="1368"/>
      <c r="L4" s="2726" t="s">
        <v>2824</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8" customFormat="1" ht="15.75" thickBot="1">
      <c r="A5" s="2729" t="s">
        <v>807</v>
      </c>
      <c r="B5" s="2730" t="s">
        <v>2825</v>
      </c>
      <c r="C5" s="912" t="e">
        <f>ROUND(IF(E2="商业",IF(F16="增加",C6*C7+C16,C6*C7-C16),IF(E2="住宅",IF(F16="增加",C6*C12+C16,C6*C12-C16),IF(F16="增加",C6+C16,C6-C16))),0)</f>
        <v>#DIV/0!</v>
      </c>
      <c r="D5" s="1784">
        <f>ROUND(IF(E2="商业",IF(F16="增加",C6+C16,C6-C16)),0)</f>
        <v>0</v>
      </c>
      <c r="E5" s="2731"/>
      <c r="F5" s="2731"/>
      <c r="G5" s="2732"/>
      <c r="H5" s="2732"/>
      <c r="I5" s="2732"/>
      <c r="J5" s="2733"/>
      <c r="K5" s="2734"/>
      <c r="L5" s="2726" t="s">
        <v>2826</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5"/>
      <c r="AD5" s="2736"/>
      <c r="AE5" s="2736"/>
      <c r="AF5" s="2736"/>
      <c r="AG5" s="2736"/>
      <c r="AH5" s="2736"/>
      <c r="AI5" s="2736"/>
      <c r="AJ5" s="2737"/>
    </row>
    <row r="6" spans="1:36" ht="15.75" thickBot="1">
      <c r="A6" s="2739" t="s">
        <v>2827</v>
      </c>
      <c r="B6" s="2740" t="s">
        <v>2828</v>
      </c>
      <c r="C6" s="913">
        <f>SUMIF(L1:L12,G2,M1:M12)</f>
        <v>0</v>
      </c>
      <c r="D6" s="2741" t="s">
        <v>2829</v>
      </c>
      <c r="E6" s="2742"/>
      <c r="F6" s="2742"/>
      <c r="G6" s="2743"/>
      <c r="H6" s="2743"/>
      <c r="I6" s="2743"/>
      <c r="J6" s="2744"/>
      <c r="K6" s="1839"/>
      <c r="L6" s="2726" t="s">
        <v>2830</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5"/>
      <c r="AD6" s="2736"/>
      <c r="AE6" s="2736"/>
      <c r="AF6" s="2736"/>
      <c r="AG6" s="2736"/>
      <c r="AH6" s="2736"/>
      <c r="AI6" s="2736"/>
      <c r="AJ6" s="2737"/>
    </row>
    <row r="7" spans="1:36" ht="24">
      <c r="A7" s="3430" t="str">
        <f>IF(E2="商业",IF(C8="不临58条商业街","",2),"")</f>
        <v/>
      </c>
      <c r="B7" s="2745" t="s">
        <v>2831</v>
      </c>
      <c r="C7" s="914" t="e">
        <f>IF(C8="不临58条商业街",1,ROUND(1+(1.6*E8+1.2*E9+0.8*E10+0.4*E11)*C9,4))</f>
        <v>#DIV/0!</v>
      </c>
      <c r="D7" s="2746" t="s">
        <v>2832</v>
      </c>
      <c r="E7" s="943"/>
      <c r="F7" s="2747"/>
      <c r="G7" s="2748"/>
      <c r="H7" s="2748"/>
      <c r="I7" s="2748"/>
      <c r="J7" s="2749"/>
      <c r="K7" s="1839"/>
      <c r="L7" s="2726" t="s">
        <v>2833</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2834</v>
      </c>
      <c r="X7" s="1601">
        <f>G2</f>
        <v>0</v>
      </c>
      <c r="Y7" s="1601" t="s">
        <v>2835</v>
      </c>
      <c r="Z7" s="1602">
        <f>G3</f>
        <v>2.5</v>
      </c>
      <c r="AA7" s="1603"/>
      <c r="AB7" s="1603"/>
      <c r="AC7" s="1604"/>
      <c r="AD7" s="1605"/>
      <c r="AE7" s="1605"/>
      <c r="AF7" s="1605"/>
      <c r="AG7" s="1605"/>
      <c r="AH7" s="1605"/>
      <c r="AI7" s="1605"/>
      <c r="AJ7" s="1606"/>
    </row>
    <row r="8" spans="1:36" ht="15">
      <c r="A8" s="3431"/>
      <c r="B8" s="195" t="s">
        <v>2836</v>
      </c>
      <c r="C8" s="2750"/>
      <c r="D8" s="915" t="s">
        <v>139</v>
      </c>
      <c r="E8" s="916" t="e">
        <f>ROUND(C11/E7,4)</f>
        <v>#DIV/0!</v>
      </c>
      <c r="F8" s="2751" t="s">
        <v>2837</v>
      </c>
      <c r="G8" s="2752"/>
      <c r="H8" s="2752"/>
      <c r="I8" s="2752"/>
      <c r="J8" s="2753"/>
      <c r="K8" s="1368"/>
      <c r="L8" s="2726" t="s">
        <v>2838</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423" t="s">
        <v>2839</v>
      </c>
      <c r="X8" s="3424"/>
      <c r="Y8" s="1607" t="s">
        <v>2840</v>
      </c>
      <c r="Z8" s="1607" t="s">
        <v>2841</v>
      </c>
      <c r="AA8" s="1607" t="s">
        <v>2842</v>
      </c>
      <c r="AB8" s="1607" t="s">
        <v>2843</v>
      </c>
      <c r="AC8" s="1607" t="s">
        <v>2844</v>
      </c>
      <c r="AD8" s="1607" t="s">
        <v>2845</v>
      </c>
      <c r="AE8" s="1607" t="s">
        <v>2846</v>
      </c>
      <c r="AF8" s="1607" t="s">
        <v>2847</v>
      </c>
      <c r="AG8" s="1607" t="s">
        <v>2848</v>
      </c>
      <c r="AH8" s="1607" t="s">
        <v>2849</v>
      </c>
      <c r="AI8" s="1607" t="s">
        <v>2850</v>
      </c>
      <c r="AJ8" s="1607" t="s">
        <v>2851</v>
      </c>
    </row>
    <row r="9" spans="1:36" ht="15">
      <c r="A9" s="3431"/>
      <c r="B9" s="195" t="s">
        <v>2852</v>
      </c>
      <c r="C9" s="917">
        <f>SUMIF(修正!C59:C119,C8,修正!E59:E119)</f>
        <v>0</v>
      </c>
      <c r="D9" s="197" t="s">
        <v>140</v>
      </c>
      <c r="E9" s="197" t="e">
        <f>ROUND(C11/E7,4)</f>
        <v>#DIV/0!</v>
      </c>
      <c r="F9" s="2751" t="s">
        <v>2853</v>
      </c>
      <c r="G9" s="2752"/>
      <c r="H9" s="2752"/>
      <c r="I9" s="2752"/>
      <c r="J9" s="2753"/>
      <c r="K9" s="1368"/>
      <c r="L9" s="2726" t="s">
        <v>2854</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425" t="s">
        <v>2855</v>
      </c>
      <c r="X9" s="1608" t="s">
        <v>2856</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431"/>
      <c r="B10" s="195" t="s">
        <v>2857</v>
      </c>
      <c r="C10" s="197">
        <f>SUMIF(修正!C59:C119,C8,修正!F59:F119)</f>
        <v>0</v>
      </c>
      <c r="D10" s="197" t="s">
        <v>141</v>
      </c>
      <c r="E10" s="197" t="e">
        <f>ROUND(C11/E7,4)</f>
        <v>#DIV/0!</v>
      </c>
      <c r="F10" s="2751" t="s">
        <v>2858</v>
      </c>
      <c r="G10" s="2752"/>
      <c r="H10" s="2752"/>
      <c r="I10" s="2752"/>
      <c r="J10" s="2753"/>
      <c r="K10" s="1368"/>
      <c r="L10" s="2726" t="s">
        <v>2859</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42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431"/>
      <c r="B11" s="2754" t="s">
        <v>2860</v>
      </c>
      <c r="C11" s="918">
        <f>C10/4</f>
        <v>0</v>
      </c>
      <c r="D11" s="918" t="s">
        <v>142</v>
      </c>
      <c r="E11" s="918" t="e">
        <f>ROUND(C11/E7,4)</f>
        <v>#DIV/0!</v>
      </c>
      <c r="F11" s="2755" t="s">
        <v>2861</v>
      </c>
      <c r="G11" s="2756"/>
      <c r="H11" s="2756"/>
      <c r="I11" s="2756"/>
      <c r="J11" s="2757"/>
      <c r="K11" s="1368"/>
      <c r="L11" s="2726" t="s">
        <v>2862</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425" t="s">
        <v>2863</v>
      </c>
      <c r="X11" s="1611" t="s">
        <v>2864</v>
      </c>
      <c r="Y11" s="1612">
        <f>$G$3</f>
        <v>2.5</v>
      </c>
      <c r="Z11" s="1612">
        <f t="shared" ref="Z11:AJ11" si="3">$G$3</f>
        <v>2.5</v>
      </c>
      <c r="AA11" s="1612">
        <f t="shared" si="3"/>
        <v>2.5</v>
      </c>
      <c r="AB11" s="1612">
        <f t="shared" si="3"/>
        <v>2.5</v>
      </c>
      <c r="AC11" s="1612">
        <f t="shared" si="3"/>
        <v>2.5</v>
      </c>
      <c r="AD11" s="1612">
        <f t="shared" si="3"/>
        <v>2.5</v>
      </c>
      <c r="AE11" s="1612">
        <f t="shared" si="3"/>
        <v>2.5</v>
      </c>
      <c r="AF11" s="1612">
        <f t="shared" si="3"/>
        <v>2.5</v>
      </c>
      <c r="AG11" s="1612">
        <f t="shared" si="3"/>
        <v>2.5</v>
      </c>
      <c r="AH11" s="1612">
        <f t="shared" si="3"/>
        <v>2.5</v>
      </c>
      <c r="AI11" s="1612">
        <f t="shared" si="3"/>
        <v>2.5</v>
      </c>
      <c r="AJ11" s="1612">
        <f t="shared" si="3"/>
        <v>2.5</v>
      </c>
    </row>
    <row r="12" spans="1:36" ht="25.5" thickBot="1">
      <c r="A12" s="3430" t="s">
        <v>2865</v>
      </c>
      <c r="B12" s="2758" t="s">
        <v>2866</v>
      </c>
      <c r="C12" s="914">
        <f>ROUND(C15*D15*E15*F15*G15*H15*I15*J15,4)</f>
        <v>1</v>
      </c>
      <c r="D12" s="2759" t="s">
        <v>2867</v>
      </c>
      <c r="E12" s="2760"/>
      <c r="F12" s="2760"/>
      <c r="G12" s="2761"/>
      <c r="H12" s="2761"/>
      <c r="I12" s="2761"/>
      <c r="J12" s="2762"/>
      <c r="K12" s="1368"/>
      <c r="L12" s="2763" t="s">
        <v>2868</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425"/>
      <c r="X12" s="1613" t="s">
        <v>2869</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432"/>
      <c r="B13" s="2764" t="s">
        <v>2870</v>
      </c>
      <c r="C13" s="2765" t="s">
        <v>2871</v>
      </c>
      <c r="D13" s="1805" t="s">
        <v>2872</v>
      </c>
      <c r="E13" s="1805" t="s">
        <v>2873</v>
      </c>
      <c r="F13" s="30" t="s">
        <v>2874</v>
      </c>
      <c r="G13" s="2766" t="s">
        <v>2875</v>
      </c>
      <c r="H13" s="2766" t="s">
        <v>2875</v>
      </c>
      <c r="I13" s="2766" t="s">
        <v>2875</v>
      </c>
      <c r="J13" s="2767" t="s">
        <v>2875</v>
      </c>
      <c r="K13" s="1368"/>
      <c r="L13" s="1368"/>
      <c r="M13" s="1368"/>
      <c r="N13" s="1368"/>
      <c r="O13" s="1368"/>
      <c r="P13" s="1368"/>
      <c r="Q13" s="1368"/>
      <c r="R13" s="1599">
        <v>12</v>
      </c>
      <c r="S13" s="1600"/>
      <c r="T13" s="1599" t="e">
        <f t="shared" si="0"/>
        <v>#DIV/0!</v>
      </c>
      <c r="U13" s="1600"/>
      <c r="V13" s="1599" t="e">
        <f t="shared" si="1"/>
        <v>#DIV/0!</v>
      </c>
      <c r="W13" s="3425"/>
      <c r="X13" s="1613"/>
      <c r="Y13" s="1610">
        <f>(-0.163*(Y12^2)-0.59*Y12+7617)*(10^(-4))/Y11</f>
        <v>0.30468000000000001</v>
      </c>
      <c r="Z13" s="1610">
        <f t="shared" ref="Z13:AJ13" si="5">(-0.163*(Z12^2)-0.59*Z12+7617)*(10^(-4))/Z11</f>
        <v>0.30468000000000001</v>
      </c>
      <c r="AA13" s="1610">
        <f t="shared" si="5"/>
        <v>0.30468000000000001</v>
      </c>
      <c r="AB13" s="1610">
        <f t="shared" si="5"/>
        <v>0.30468000000000001</v>
      </c>
      <c r="AC13" s="1610">
        <f t="shared" si="5"/>
        <v>0.30468000000000001</v>
      </c>
      <c r="AD13" s="1610">
        <f t="shared" si="5"/>
        <v>0.30468000000000001</v>
      </c>
      <c r="AE13" s="1610">
        <f t="shared" si="5"/>
        <v>0.30468000000000001</v>
      </c>
      <c r="AF13" s="1610">
        <f t="shared" si="5"/>
        <v>0.30468000000000001</v>
      </c>
      <c r="AG13" s="1610">
        <f t="shared" si="5"/>
        <v>0.30468000000000001</v>
      </c>
      <c r="AH13" s="1610">
        <f t="shared" si="5"/>
        <v>0.30468000000000001</v>
      </c>
      <c r="AI13" s="1610">
        <f t="shared" si="5"/>
        <v>0.30468000000000001</v>
      </c>
      <c r="AJ13" s="1610">
        <f t="shared" si="5"/>
        <v>0.30468000000000001</v>
      </c>
    </row>
    <row r="14" spans="1:36" ht="15">
      <c r="A14" s="3432"/>
      <c r="B14" s="2768"/>
      <c r="C14" s="2769"/>
      <c r="D14" s="2770"/>
      <c r="E14" s="2770"/>
      <c r="F14" s="2771"/>
      <c r="G14" s="2772" t="s">
        <v>2876</v>
      </c>
      <c r="H14" s="2773"/>
      <c r="I14" s="2774"/>
      <c r="J14" s="2775"/>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433"/>
      <c r="B15" s="2776" t="s">
        <v>2877</v>
      </c>
      <c r="C15" s="226">
        <f>IF(C14="有",1.1,1)</f>
        <v>1</v>
      </c>
      <c r="D15" s="226">
        <f>IF(D14="有",1.1,1)</f>
        <v>1</v>
      </c>
      <c r="E15" s="226">
        <f>IF(E14="有",1.1,1)</f>
        <v>1</v>
      </c>
      <c r="F15" s="226">
        <f>IF(F14="500米范围内",1.2,IF(F14="500-1000米",1.1,1))</f>
        <v>1</v>
      </c>
      <c r="G15" s="944">
        <v>1</v>
      </c>
      <c r="H15" s="944">
        <v>1</v>
      </c>
      <c r="I15" s="944">
        <v>1</v>
      </c>
      <c r="J15" s="945">
        <v>1</v>
      </c>
      <c r="K15" s="1368"/>
      <c r="L15" s="2777" t="s">
        <v>2813</v>
      </c>
      <c r="M15" s="915" t="s">
        <v>2878</v>
      </c>
      <c r="N15" s="915" t="s">
        <v>2879</v>
      </c>
      <c r="O15" s="915" t="s">
        <v>2880</v>
      </c>
      <c r="P15" s="2778" t="s">
        <v>2881</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430" t="s">
        <v>2882</v>
      </c>
      <c r="B16" s="2745" t="s">
        <v>2883</v>
      </c>
      <c r="C16" s="1798" t="e">
        <f>ROUND(SUM(G17:J17)/C17,0)</f>
        <v>#DIV/0!</v>
      </c>
      <c r="D16" s="2779" t="s">
        <v>2884</v>
      </c>
      <c r="E16" s="2780" t="s">
        <v>3181</v>
      </c>
      <c r="F16" s="2781" t="s">
        <v>3324</v>
      </c>
      <c r="G16" s="2782" t="s">
        <v>3325</v>
      </c>
      <c r="H16" s="2782"/>
      <c r="I16" s="2782"/>
      <c r="J16" s="2783"/>
      <c r="K16" s="1368"/>
      <c r="L16" s="2784" t="s">
        <v>2885</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431"/>
      <c r="B17" s="2785" t="s">
        <v>2886</v>
      </c>
      <c r="C17" s="919">
        <f>SUMPRODUCT((修正!A2:A5=E2)*(修正!B1:M1=G2)*(修正!B2:M5))</f>
        <v>0</v>
      </c>
      <c r="D17" s="2786" t="s">
        <v>2887</v>
      </c>
      <c r="E17" s="918" t="str">
        <f>IF(OR(G2="八级",G2="九级",G2="十级",G2="十一级",G2="十二级"),"五通一平","七通一平")</f>
        <v>七通一平</v>
      </c>
      <c r="F17" s="919" t="s">
        <v>2888</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7" t="s">
        <v>2889</v>
      </c>
      <c r="M17" s="208">
        <f ca="1">ROUND($E$20*(1+M16),3)</f>
        <v>5.3999999999999999E-2</v>
      </c>
      <c r="N17" s="208">
        <f ca="1">ROUND($E$20*(1+N16),3)</f>
        <v>5.1999999999999998E-2</v>
      </c>
      <c r="O17" s="208">
        <f ca="1">ROUND($E$20*(1+O16),3)</f>
        <v>0.05</v>
      </c>
      <c r="P17" s="1371">
        <f ca="1">ROUND($E$20*(1+P16),3)</f>
        <v>4.8000000000000001E-2</v>
      </c>
      <c r="Q17" s="1368"/>
      <c r="R17" s="1368"/>
      <c r="S17" s="1368"/>
      <c r="T17" s="1368"/>
      <c r="U17" s="1368"/>
      <c r="V17" s="1368"/>
      <c r="W17" s="1368"/>
      <c r="X17" s="1368"/>
      <c r="Y17" s="1368"/>
      <c r="Z17" s="1369"/>
      <c r="AE17" s="2788"/>
      <c r="AF17" s="2788"/>
      <c r="AG17" s="2720"/>
      <c r="AH17" s="2720"/>
      <c r="AI17" s="2720"/>
      <c r="AJ17" s="2720"/>
    </row>
    <row r="18" spans="1:37" s="2738" customFormat="1" ht="15.75" thickBot="1">
      <c r="A18" s="2789" t="s">
        <v>808</v>
      </c>
      <c r="B18" s="2790" t="s">
        <v>2890</v>
      </c>
      <c r="C18" s="921">
        <f>SUMIF(修正!C18:C39,E3,修正!E18:E39)</f>
        <v>0</v>
      </c>
      <c r="D18" s="2791"/>
      <c r="E18" s="2792"/>
      <c r="F18" s="2793"/>
      <c r="G18" s="2794"/>
      <c r="H18" s="2794"/>
      <c r="I18" s="2794"/>
      <c r="J18" s="2795"/>
      <c r="K18" s="1375"/>
      <c r="O18" s="1373"/>
      <c r="P18" s="1373"/>
      <c r="Q18" s="1374"/>
      <c r="R18" s="1374"/>
      <c r="S18" s="1374"/>
      <c r="T18" s="1369"/>
      <c r="U18" s="1369"/>
      <c r="V18" s="1369"/>
      <c r="W18" s="1368"/>
      <c r="X18" s="1368"/>
      <c r="Y18" s="1368"/>
      <c r="Z18" s="1375"/>
      <c r="AA18" s="1376"/>
      <c r="AB18" s="1376"/>
      <c r="AC18" s="1376"/>
      <c r="AD18" s="1376"/>
      <c r="AE18" s="1370"/>
      <c r="AF18" s="1370"/>
      <c r="AG18" s="2796"/>
      <c r="AH18" s="2796"/>
      <c r="AI18" s="2796"/>
    </row>
    <row r="19" spans="1:37" s="2738" customFormat="1" ht="27.75" thickBot="1">
      <c r="A19" s="2789" t="s">
        <v>809</v>
      </c>
      <c r="B19" s="2790" t="s">
        <v>2891</v>
      </c>
      <c r="C19" s="922" t="e">
        <f>ROUND(IF(H19="按公示增长率计算",SUMPRODUCT((地价!A3:A23=YEAR(G19)&amp;"-"&amp;ROUNDUP(MONTH(G19)/3,0))*(地价!X2:AB2=E2)*(地价!X3:AB23)),IF(H19="地价指数",M20/M19,(1+I19)^O19)),4)</f>
        <v>#DIV/0!</v>
      </c>
      <c r="D19" s="2797" t="s">
        <v>2892</v>
      </c>
      <c r="E19" s="923">
        <v>41640</v>
      </c>
      <c r="F19" s="2797" t="s">
        <v>2893</v>
      </c>
      <c r="G19" s="924">
        <f>'数据-取费表'!B2</f>
        <v>43621</v>
      </c>
      <c r="H19" s="2798" t="s">
        <v>2894</v>
      </c>
      <c r="I19" s="925" t="str">
        <f>IF(H19="季度增幅（自定义）",SUMIF(N21:N24,E2,O21:O24),"")</f>
        <v/>
      </c>
      <c r="J19" s="2795"/>
      <c r="K19" s="1375"/>
      <c r="L19" s="2799" t="s">
        <v>2895</v>
      </c>
      <c r="M19" s="1731">
        <f>ROUND(SUMIF(地价!B2:F2,E2,地价!B23:F23),0)</f>
        <v>0</v>
      </c>
      <c r="N19" s="2800" t="s">
        <v>2896</v>
      </c>
      <c r="O19" s="926">
        <f>ROUNDDOWN(DATEDIF(E19,G19,"M")/3,0)</f>
        <v>21</v>
      </c>
      <c r="P19" s="1372"/>
      <c r="Q19" s="1374"/>
      <c r="R19" s="1374"/>
      <c r="S19" s="1374"/>
      <c r="T19" s="1369"/>
      <c r="U19" s="1369"/>
      <c r="V19" s="1369"/>
      <c r="W19" s="1368"/>
      <c r="X19" s="1368"/>
      <c r="Y19" s="1368"/>
      <c r="Z19" s="1375"/>
      <c r="AA19" s="1376"/>
      <c r="AB19" s="1376"/>
      <c r="AC19" s="1376"/>
      <c r="AD19" s="1376"/>
      <c r="AE19" s="1376"/>
      <c r="AF19" s="2801"/>
      <c r="AG19" s="2802"/>
      <c r="AH19" s="2796"/>
      <c r="AI19" s="2803"/>
      <c r="AJ19" s="2803"/>
      <c r="AK19" s="2803"/>
    </row>
    <row r="20" spans="1:37" s="2738" customFormat="1" ht="27.75" thickBot="1">
      <c r="A20" s="2804" t="s">
        <v>810</v>
      </c>
      <c r="B20" s="2805" t="s">
        <v>2897</v>
      </c>
      <c r="C20" s="927" t="e">
        <f>ROUND(POWER(1+G20,J20-I20)*(POWER(1+G20,I20)-1)/(POWER(1+G20,J20)-1),4)</f>
        <v>#DIV/0!</v>
      </c>
      <c r="D20" s="2806" t="s">
        <v>2898</v>
      </c>
      <c r="E20" s="1765">
        <f ca="1">存贷款利率!D4/100</f>
        <v>4.3499999999999997E-2</v>
      </c>
      <c r="F20" s="2806" t="s">
        <v>2889</v>
      </c>
      <c r="G20" s="932">
        <f>SUMIF(M15:P15,E2,M17:P17)</f>
        <v>0</v>
      </c>
      <c r="H20" s="2806" t="s">
        <v>2899</v>
      </c>
      <c r="I20" s="933" t="e">
        <f>SUMIF('数据-取费表'!C6:C15,E2,'数据-取费表'!F6:F15)/COUNTIF('数据-取费表'!C6:C15,E2)</f>
        <v>#DIV/0!</v>
      </c>
      <c r="J20" s="934">
        <f>IF(E2="住宅",70,IF(E2="商业",40,50))</f>
        <v>50</v>
      </c>
      <c r="K20" s="1375"/>
      <c r="L20" s="2807" t="s">
        <v>2900</v>
      </c>
      <c r="M20" s="1732">
        <f>ROUND(SUMPRODUCT((地价!A4:A23=YEAR(G19)&amp;"-"&amp;ROUNDUP(MONTH(G19)/3,0))*(地价!B2:F2=E2)*(地价!B4:F23)),0)</f>
        <v>0</v>
      </c>
      <c r="N20" s="2808" t="s">
        <v>2901</v>
      </c>
      <c r="O20" s="2809" t="s">
        <v>2902</v>
      </c>
      <c r="P20" s="2810" t="s">
        <v>2903</v>
      </c>
      <c r="R20" s="1374"/>
      <c r="S20" s="1374"/>
      <c r="T20" s="1369"/>
      <c r="U20" s="1369"/>
      <c r="V20" s="1369"/>
      <c r="W20" s="1368"/>
      <c r="X20" s="1368"/>
      <c r="Y20" s="1368"/>
      <c r="Z20" s="1375"/>
      <c r="AA20" s="1376"/>
      <c r="AB20" s="1376"/>
      <c r="AC20" s="1376"/>
      <c r="AD20" s="1376"/>
      <c r="AE20" s="1376"/>
      <c r="AF20" s="1376"/>
    </row>
    <row r="21" spans="1:37" s="2738" customFormat="1" ht="15">
      <c r="A21" s="2811" t="s">
        <v>811</v>
      </c>
      <c r="B21" s="2812" t="s">
        <v>2904</v>
      </c>
      <c r="C21" s="935">
        <f>IF(B21="容积率修正",IF(G3&lt;=10,D22,J22),C23)</f>
        <v>0</v>
      </c>
      <c r="D21" s="2813"/>
      <c r="E21" s="2813"/>
      <c r="F21" s="2813"/>
      <c r="G21" s="2813"/>
      <c r="H21" s="2813"/>
      <c r="I21" s="2813"/>
      <c r="J21" s="2814"/>
      <c r="K21" s="1375"/>
      <c r="N21" s="2815" t="s">
        <v>2905</v>
      </c>
      <c r="O21" s="1558"/>
      <c r="P21" s="1559">
        <f>SUMPRODUCT((地价!A3:A23=YEAR(G19)&amp;"-"&amp;ROUNDUP(MONTH(G19)/3,0))*(地价!AD2:AH2=N21)*(地价!AD3:AH23))</f>
        <v>0</v>
      </c>
      <c r="R21" s="1374"/>
      <c r="S21" s="1374"/>
      <c r="T21" s="1369"/>
      <c r="U21" s="1369"/>
      <c r="V21" s="1369"/>
      <c r="W21" s="1368"/>
      <c r="X21" s="1368"/>
      <c r="Y21" s="1368"/>
      <c r="Z21" s="1375"/>
      <c r="AA21" s="1376"/>
      <c r="AB21" s="1376"/>
      <c r="AC21" s="1376"/>
      <c r="AD21" s="1376"/>
      <c r="AE21" s="1376"/>
      <c r="AF21" s="1376"/>
    </row>
    <row r="22" spans="1:37" s="2738" customFormat="1" ht="14.25">
      <c r="A22" s="2664" t="s">
        <v>2906</v>
      </c>
      <c r="B22" s="2816" t="s">
        <v>2907</v>
      </c>
      <c r="C22" s="1807" t="s">
        <v>2908</v>
      </c>
      <c r="D22" s="1807" t="b">
        <f>IF(E22=G22,F22,IF(G3&lt;=10,ROUND(F22+(H22-F22)*(G3-E22)/(G22-E22),4),"——"))</f>
        <v>0</v>
      </c>
      <c r="E22" s="911">
        <f>ROUNDDOWN(G3,1)</f>
        <v>2.5</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2.5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15" t="s">
        <v>2909</v>
      </c>
      <c r="O22" s="1558"/>
      <c r="P22" s="1559">
        <f>SUMPRODUCT((地价!A3:A23=YEAR(G19)&amp;"-"&amp;ROUNDUP(MONTH(G19)/3,0))*(地价!AD2:AH2=N22)*(地价!AD3:AH23))</f>
        <v>0</v>
      </c>
      <c r="R22" s="1374"/>
      <c r="S22" s="1374"/>
      <c r="T22" s="1369"/>
      <c r="U22" s="1369"/>
      <c r="V22" s="1369"/>
      <c r="W22" s="1368"/>
      <c r="X22" s="1368"/>
      <c r="Y22" s="1368"/>
      <c r="Z22" s="1375"/>
      <c r="AA22" s="1376"/>
      <c r="AB22" s="1376"/>
      <c r="AC22" s="1376"/>
      <c r="AD22" s="1376"/>
      <c r="AE22" s="1376"/>
      <c r="AF22" s="1376"/>
    </row>
    <row r="23" spans="1:37" ht="27.75" thickBot="1">
      <c r="A23" s="2664" t="s">
        <v>2910</v>
      </c>
      <c r="B23" s="2817" t="s">
        <v>2911</v>
      </c>
      <c r="C23" s="1011">
        <f>ROUND(IF(G3&gt;1,IF(I3&lt;7,SUMPRODUCT((B93:B98=I3)*(C92:N92=G2)*(C93:N98)),SUMIF(C92:N92,G2,C100:N100)),IF(I3&lt;7,SUMPRODUCT((B102:B107=I3)*(C92:N92=G2)*(C102:N107)),SUMIF(C92:N92,G2,C109:N109))),4)</f>
        <v>0</v>
      </c>
      <c r="D23" s="2773"/>
      <c r="E23" s="2773"/>
      <c r="F23" s="2818"/>
      <c r="G23" s="2819"/>
      <c r="H23" s="2820"/>
      <c r="I23" s="2821"/>
      <c r="J23" s="2822"/>
      <c r="K23" s="1368"/>
      <c r="N23" s="2815" t="s">
        <v>2912</v>
      </c>
      <c r="O23" s="1558"/>
      <c r="P23" s="1559">
        <f>SUMPRODUCT((地价!A3:A23=YEAR(G19)&amp;"-"&amp;ROUNDUP(MONTH(G19)/3,0))*(地价!AD2:AH2=N23)*(地价!AD3:AH23))</f>
        <v>0</v>
      </c>
      <c r="R23" s="1374"/>
      <c r="S23" s="1374"/>
      <c r="T23" s="1369"/>
      <c r="U23" s="1369"/>
      <c r="V23" s="1369"/>
      <c r="W23" s="1368"/>
      <c r="X23" s="1368"/>
      <c r="Y23" s="1368"/>
      <c r="Z23" s="1375"/>
      <c r="AA23" s="1376"/>
      <c r="AB23" s="1376"/>
      <c r="AC23" s="1376"/>
      <c r="AD23" s="1376"/>
      <c r="AK23" s="2796"/>
    </row>
    <row r="24" spans="1:37" s="2738" customFormat="1" ht="15.75" thickBot="1">
      <c r="A24" s="2804" t="s">
        <v>812</v>
      </c>
      <c r="B24" s="2790" t="s">
        <v>2913</v>
      </c>
      <c r="C24" s="922">
        <f>SUMIF(A45:A88,E2,B45:B88)</f>
        <v>0</v>
      </c>
      <c r="D24" s="2793"/>
      <c r="E24" s="2823"/>
      <c r="F24" s="2823"/>
      <c r="G24" s="2823"/>
      <c r="H24" s="2823"/>
      <c r="I24" s="2823"/>
      <c r="J24" s="2824"/>
      <c r="K24" s="1375"/>
      <c r="N24" s="2825" t="s">
        <v>2914</v>
      </c>
      <c r="O24" s="1560"/>
      <c r="P24" s="1561">
        <f>SUMPRODUCT((地价!A3:A23=YEAR(G19)&amp;"-"&amp;ROUNDUP(MONTH(G19)/3,0))*(地价!AD2:AH2=N24)*(地价!AD3:AH23))</f>
        <v>0</v>
      </c>
      <c r="R24" s="1374"/>
      <c r="S24" s="1374"/>
      <c r="T24" s="1369"/>
      <c r="U24" s="1369"/>
      <c r="V24" s="1369"/>
      <c r="W24" s="1368"/>
      <c r="X24" s="1368"/>
      <c r="Y24" s="1368"/>
      <c r="Z24" s="1375"/>
      <c r="AA24" s="1376"/>
      <c r="AB24" s="1376"/>
      <c r="AC24" s="1376"/>
      <c r="AD24" s="1376"/>
      <c r="AE24" s="1376"/>
      <c r="AF24" s="1376"/>
    </row>
    <row r="25" spans="1:37" ht="15.75" thickBot="1">
      <c r="A25" s="2804" t="s">
        <v>813</v>
      </c>
      <c r="B25" s="2826" t="s">
        <v>2915</v>
      </c>
      <c r="C25" s="928"/>
      <c r="D25" s="2748"/>
      <c r="E25" s="2748"/>
      <c r="F25" s="2827"/>
      <c r="G25" s="2748"/>
      <c r="H25" s="2748"/>
      <c r="I25" s="2748"/>
      <c r="J25" s="2749"/>
      <c r="K25" s="1368"/>
      <c r="N25" s="2828" t="s">
        <v>2916</v>
      </c>
      <c r="O25" s="1562"/>
      <c r="P25" s="1561">
        <f>SUMPRODUCT((地价!A3:A23=YEAR(G19)&amp;"-"&amp;ROUNDUP(MONTH(G19)/3,0))*(地价!AD2:AH2=N25)*(地价!AD3:AH23))</f>
        <v>0</v>
      </c>
      <c r="R25" s="1374"/>
      <c r="S25" s="1374"/>
      <c r="T25" s="1369"/>
      <c r="U25" s="1369"/>
      <c r="V25" s="1369"/>
      <c r="W25" s="1368"/>
      <c r="X25" s="1368"/>
      <c r="Y25" s="1368"/>
      <c r="Z25" s="1375"/>
      <c r="AA25" s="1376"/>
      <c r="AB25" s="1376"/>
      <c r="AC25" s="1376"/>
      <c r="AD25" s="1376"/>
    </row>
    <row r="26" spans="1:37" ht="15">
      <c r="A26" s="2829"/>
      <c r="B26" s="2816" t="s">
        <v>2917</v>
      </c>
      <c r="C26" s="203" t="e">
        <f>E29+SUM(E33:E39)</f>
        <v>#DIV/0!</v>
      </c>
      <c r="D26" s="2830"/>
      <c r="E26" s="2773"/>
      <c r="F26" s="2831"/>
      <c r="G26" s="2773"/>
      <c r="H26" s="2773"/>
      <c r="I26" s="2773"/>
      <c r="J26" s="2832"/>
      <c r="K26" s="1368"/>
      <c r="R26" s="1374"/>
      <c r="S26" s="1374"/>
      <c r="T26" s="1369"/>
      <c r="U26" s="1369"/>
      <c r="V26" s="1369"/>
      <c r="W26" s="1368"/>
      <c r="X26" s="1368"/>
      <c r="Y26" s="1368"/>
      <c r="Z26" s="1375"/>
      <c r="AA26" s="1376"/>
      <c r="AB26" s="1376"/>
      <c r="AC26" s="1376"/>
      <c r="AD26" s="1376"/>
    </row>
    <row r="27" spans="1:37" ht="15.75" thickBot="1">
      <c r="A27" s="2829"/>
      <c r="B27" s="2833" t="s">
        <v>2918</v>
      </c>
      <c r="C27" s="929" t="e">
        <f>E30+SUM(I33:I39)</f>
        <v>#DIV/0!</v>
      </c>
      <c r="D27" s="2834"/>
      <c r="E27" s="2835"/>
      <c r="F27" s="2836"/>
      <c r="G27" s="2835"/>
      <c r="H27" s="2835"/>
      <c r="I27" s="2835"/>
      <c r="J27" s="2837"/>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8"/>
      <c r="B28" s="2839" t="s">
        <v>2919</v>
      </c>
      <c r="C28" s="2840" t="s">
        <v>2920</v>
      </c>
      <c r="D28" s="2840" t="s">
        <v>2921</v>
      </c>
      <c r="E28" s="2841" t="s">
        <v>2922</v>
      </c>
      <c r="F28" s="2842"/>
      <c r="G28" s="2761"/>
      <c r="H28" s="2761"/>
      <c r="I28" s="2761"/>
      <c r="J28" s="2762"/>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3"/>
      <c r="B29" s="2844" t="s">
        <v>2923</v>
      </c>
      <c r="C29" s="203" t="e">
        <f>ROUND(C5*C18*C19*C20*C21*C24,0)</f>
        <v>#DIV/0!</v>
      </c>
      <c r="D29" s="2845"/>
      <c r="E29" s="940" t="e">
        <f>ROUND(C29*D29/10000,0)</f>
        <v>#DIV/0!</v>
      </c>
      <c r="F29" s="2846" t="s">
        <v>2924</v>
      </c>
      <c r="G29" s="2847"/>
      <c r="H29" s="2847"/>
      <c r="I29" s="2847"/>
      <c r="J29" s="2848"/>
      <c r="K29" s="1368"/>
      <c r="L29" s="1368"/>
      <c r="M29" s="1368"/>
      <c r="N29" s="1368"/>
      <c r="O29" s="1373"/>
      <c r="P29" s="1373"/>
      <c r="Q29" s="1374"/>
      <c r="R29" s="1374"/>
      <c r="S29" s="1374"/>
      <c r="T29" s="1369"/>
      <c r="U29" s="1369"/>
      <c r="V29" s="1369"/>
      <c r="W29" s="1368"/>
      <c r="X29" s="1368"/>
      <c r="Y29" s="1368"/>
      <c r="Z29" s="1375"/>
      <c r="AA29" s="1376"/>
      <c r="AB29" s="1376"/>
      <c r="AC29" s="1376"/>
      <c r="AD29" s="1376"/>
      <c r="AE29" s="2788"/>
      <c r="AF29" s="2788"/>
      <c r="AG29" s="2720"/>
      <c r="AH29" s="2720"/>
      <c r="AI29" s="2720"/>
      <c r="AJ29" s="2720"/>
    </row>
    <row r="30" spans="1:37" ht="25.5" thickBot="1">
      <c r="A30" s="2849"/>
      <c r="B30" s="2850" t="s">
        <v>2925</v>
      </c>
      <c r="C30" s="226" t="e">
        <f>ROUND(IF(E2="工业",C29*M39,C29*M38),0)</f>
        <v>#DIV/0!</v>
      </c>
      <c r="D30" s="2851"/>
      <c r="E30" s="940" t="e">
        <f>ROUND(C30*D30/10000,0)</f>
        <v>#DIV/0!</v>
      </c>
      <c r="F30" s="2852" t="s">
        <v>2926</v>
      </c>
      <c r="G30" s="2853"/>
      <c r="H30" s="2853"/>
      <c r="I30" s="2853"/>
      <c r="J30" s="2854"/>
      <c r="K30" s="1368"/>
      <c r="L30" s="1368"/>
      <c r="M30" s="1368"/>
      <c r="N30" s="1368"/>
      <c r="O30" s="1373"/>
      <c r="P30" s="1373"/>
      <c r="Q30" s="1374"/>
      <c r="R30" s="1374"/>
      <c r="S30" s="1374"/>
      <c r="T30" s="1369"/>
      <c r="U30" s="1369"/>
      <c r="V30" s="1369"/>
      <c r="W30" s="1368"/>
      <c r="X30" s="1368"/>
      <c r="Y30" s="1368"/>
      <c r="Z30" s="1375"/>
      <c r="AA30" s="1376"/>
      <c r="AB30" s="1376"/>
      <c r="AC30" s="1376"/>
      <c r="AD30" s="1376"/>
      <c r="AE30" s="2788"/>
      <c r="AF30" s="2788"/>
      <c r="AG30" s="2720"/>
      <c r="AH30" s="2720"/>
      <c r="AI30" s="2720"/>
      <c r="AJ30" s="2720"/>
    </row>
    <row r="31" spans="1:37" ht="14.25">
      <c r="A31" s="2855"/>
      <c r="B31" s="2856" t="s">
        <v>2927</v>
      </c>
      <c r="C31" s="2857" t="s">
        <v>2928</v>
      </c>
      <c r="D31" s="2761"/>
      <c r="E31" s="2857"/>
      <c r="F31" s="2857"/>
      <c r="G31" s="2759" t="s">
        <v>2929</v>
      </c>
      <c r="H31" s="2761"/>
      <c r="I31" s="2858"/>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8"/>
      <c r="AF31" s="2788"/>
      <c r="AG31" s="2720"/>
      <c r="AH31" s="2720"/>
      <c r="AI31" s="2720"/>
      <c r="AJ31" s="2720"/>
    </row>
    <row r="32" spans="1:37" ht="24">
      <c r="A32" s="2843"/>
      <c r="B32" s="2859"/>
      <c r="C32" s="496" t="s">
        <v>2920</v>
      </c>
      <c r="D32" s="493" t="s">
        <v>2921</v>
      </c>
      <c r="E32" s="493" t="s">
        <v>2922</v>
      </c>
      <c r="F32" s="385" t="s">
        <v>2930</v>
      </c>
      <c r="G32" s="2860" t="s">
        <v>2920</v>
      </c>
      <c r="H32" s="2860" t="s">
        <v>2921</v>
      </c>
      <c r="I32" s="2860" t="s">
        <v>2922</v>
      </c>
      <c r="J32" s="284"/>
      <c r="K32" s="1368"/>
      <c r="L32" s="1368"/>
      <c r="M32" s="1368"/>
      <c r="N32" s="1368"/>
      <c r="O32" s="1373"/>
      <c r="P32" s="1373"/>
      <c r="Q32" s="1374"/>
      <c r="R32" s="1374"/>
      <c r="S32" s="1374"/>
      <c r="T32" s="1369"/>
      <c r="U32" s="1369"/>
      <c r="V32" s="1369"/>
      <c r="W32" s="1368"/>
      <c r="X32" s="1368"/>
      <c r="Y32" s="1368"/>
      <c r="Z32" s="1375"/>
      <c r="AA32" s="1376"/>
      <c r="AB32" s="1376"/>
      <c r="AC32" s="1376"/>
      <c r="AD32" s="1376"/>
      <c r="AE32" s="2788"/>
      <c r="AF32" s="2788"/>
      <c r="AG32" s="2720"/>
      <c r="AH32" s="2720"/>
      <c r="AI32" s="2720"/>
      <c r="AJ32" s="2720"/>
    </row>
    <row r="33" spans="1:37" ht="36" customHeight="1">
      <c r="A33" s="3440" t="s">
        <v>2931</v>
      </c>
      <c r="B33" s="2861" t="s">
        <v>2932</v>
      </c>
      <c r="C33" s="203" t="e">
        <f>ROUND(D5*C19*C20*C24*F33,0)</f>
        <v>#DIV/0!</v>
      </c>
      <c r="D33" s="2845"/>
      <c r="E33" s="197" t="e">
        <f>ROUND(C33*D33/10000,0)</f>
        <v>#DIV/0!</v>
      </c>
      <c r="F33" s="197">
        <f>SUMIF(修正!A45:A56,G2,修正!B45:B56)</f>
        <v>0</v>
      </c>
      <c r="G33" s="197" t="e">
        <f t="shared" ref="G33" si="6">ROUND(IF(E2="工业",C33*$M$39,C33*$M$38),0)</f>
        <v>#DIV/0!</v>
      </c>
      <c r="H33" s="197">
        <f>D33</f>
        <v>0</v>
      </c>
      <c r="I33" s="197" t="e">
        <f>ROUND(G33*H33/10000,0)</f>
        <v>#DIV/0!</v>
      </c>
      <c r="J33" s="286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441"/>
      <c r="B34" s="2765" t="s">
        <v>2933</v>
      </c>
      <c r="C34" s="203" t="e">
        <f>ROUND(D5*C19*C20*C24*F34,0)</f>
        <v>#DIV/0!</v>
      </c>
      <c r="D34" s="2845"/>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6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441"/>
      <c r="B35" s="2765" t="s">
        <v>2934</v>
      </c>
      <c r="C35" s="203" t="e">
        <f>ROUND(D5*C19*C20*C24*F35,0)</f>
        <v>#DIV/0!</v>
      </c>
      <c r="D35" s="2845"/>
      <c r="E35" s="197" t="e">
        <f t="shared" si="7"/>
        <v>#DIV/0!</v>
      </c>
      <c r="F35" s="197">
        <f>SUMIF(修正!A45:A56,G2,修正!D45:D56)</f>
        <v>0</v>
      </c>
      <c r="G35" s="197" t="e">
        <f>ROUND(IF(E2="工业",C35*$M$39,C35*$M$38),0)</f>
        <v>#DIV/0!</v>
      </c>
      <c r="H35" s="197">
        <f t="shared" si="8"/>
        <v>0</v>
      </c>
      <c r="I35" s="197" t="e">
        <f t="shared" si="9"/>
        <v>#DIV/0!</v>
      </c>
      <c r="J35" s="2862"/>
      <c r="K35" s="1368"/>
      <c r="L35" s="1368"/>
      <c r="M35" s="1368"/>
      <c r="N35" s="1368"/>
      <c r="O35" s="1368"/>
      <c r="P35" s="1368"/>
      <c r="Q35" s="1368"/>
      <c r="R35" s="1368"/>
      <c r="S35" s="1368"/>
      <c r="T35" s="1368"/>
      <c r="U35" s="1368"/>
      <c r="V35" s="1368"/>
      <c r="W35" s="1368"/>
      <c r="X35" s="1368"/>
      <c r="Y35" s="1368"/>
      <c r="Z35" s="1369"/>
    </row>
    <row r="36" spans="1:37" ht="13.5" thickBot="1">
      <c r="A36" s="3442"/>
      <c r="B36" s="2765" t="s">
        <v>2935</v>
      </c>
      <c r="C36" s="203" t="e">
        <f>ROUND(D5*C19*C20*C24*F36,0)</f>
        <v>#DIV/0!</v>
      </c>
      <c r="D36" s="2845"/>
      <c r="E36" s="197" t="e">
        <f t="shared" si="7"/>
        <v>#DIV/0!</v>
      </c>
      <c r="F36" s="197">
        <f>SUMIF(修正!A45:A56,G2,修正!E45:E56)</f>
        <v>0</v>
      </c>
      <c r="G36" s="197" t="e">
        <f>ROUND(IF(E2="工业",C36*$M$39,C36*$M$38),0)</f>
        <v>#DIV/0!</v>
      </c>
      <c r="H36" s="197">
        <f t="shared" si="8"/>
        <v>0</v>
      </c>
      <c r="I36" s="197" t="e">
        <f t="shared" si="9"/>
        <v>#DIV/0!</v>
      </c>
      <c r="J36" s="2862"/>
      <c r="K36" s="1368"/>
      <c r="L36" s="2719"/>
      <c r="M36" s="2719"/>
      <c r="N36" s="1368"/>
      <c r="O36" s="1368"/>
      <c r="P36" s="1368"/>
      <c r="Q36" s="1368"/>
      <c r="R36" s="1368"/>
      <c r="S36" s="1368"/>
      <c r="T36" s="1368"/>
      <c r="U36" s="1368"/>
      <c r="V36" s="1368"/>
      <c r="W36" s="1368"/>
      <c r="X36" s="1368"/>
      <c r="Y36" s="1368"/>
      <c r="Z36" s="1369"/>
    </row>
    <row r="37" spans="1:37">
      <c r="A37" s="2863"/>
      <c r="B37" s="2765" t="s">
        <v>2936</v>
      </c>
      <c r="C37" s="197" t="e">
        <f>ROUND(C5*C19*C20*C24*F37,0)</f>
        <v>#DIV/0!</v>
      </c>
      <c r="D37" s="2845"/>
      <c r="E37" s="197" t="e">
        <f t="shared" si="7"/>
        <v>#DIV/0!</v>
      </c>
      <c r="F37" s="203">
        <f>SUMIF(修正!A45:A56,G2,修正!F45:F56)</f>
        <v>0</v>
      </c>
      <c r="G37" s="197" t="e">
        <f>ROUND(IF(E2="工业",C37*$M$39,C37*$M$38),0)</f>
        <v>#DIV/0!</v>
      </c>
      <c r="H37" s="197">
        <f t="shared" si="8"/>
        <v>0</v>
      </c>
      <c r="I37" s="197" t="e">
        <f t="shared" si="9"/>
        <v>#DIV/0!</v>
      </c>
      <c r="J37" s="2862"/>
      <c r="K37" s="1368"/>
      <c r="L37" s="2864" t="s">
        <v>2937</v>
      </c>
      <c r="M37" s="2865"/>
      <c r="N37" s="1368"/>
      <c r="O37" s="1368"/>
      <c r="P37" s="1368"/>
      <c r="Q37" s="1368"/>
      <c r="R37" s="1368"/>
      <c r="S37" s="1368"/>
      <c r="T37" s="1368"/>
      <c r="U37" s="1368"/>
      <c r="V37" s="1368"/>
      <c r="W37" s="1368"/>
      <c r="X37" s="1368"/>
      <c r="Y37" s="1368"/>
      <c r="Z37" s="1369"/>
    </row>
    <row r="38" spans="1:37">
      <c r="A38" s="2863"/>
      <c r="B38" s="2765" t="s">
        <v>2938</v>
      </c>
      <c r="C38" s="197" t="e">
        <f>ROUND(C5*C19*C20*C24*F38,0)</f>
        <v>#DIV/0!</v>
      </c>
      <c r="D38" s="2845"/>
      <c r="E38" s="197" t="e">
        <f t="shared" si="7"/>
        <v>#DIV/0!</v>
      </c>
      <c r="F38" s="203">
        <f>SUMIF(修正!A45:A56,G2,修正!G45:G56)</f>
        <v>0</v>
      </c>
      <c r="G38" s="197" t="e">
        <f>ROUND(IF(E2="工业",C38*$M$39,C38*$M$38),0)</f>
        <v>#DIV/0!</v>
      </c>
      <c r="H38" s="197">
        <f t="shared" si="8"/>
        <v>0</v>
      </c>
      <c r="I38" s="197" t="e">
        <f t="shared" si="9"/>
        <v>#DIV/0!</v>
      </c>
      <c r="J38" s="2862"/>
      <c r="K38" s="1368"/>
      <c r="L38" s="1884" t="s">
        <v>2939</v>
      </c>
      <c r="M38" s="2866">
        <v>0.25</v>
      </c>
      <c r="N38" s="1368"/>
      <c r="O38" s="1368"/>
      <c r="P38" s="1368"/>
      <c r="Q38" s="1368"/>
      <c r="R38" s="1368"/>
      <c r="S38" s="1368"/>
      <c r="T38" s="1368"/>
      <c r="U38" s="1368"/>
      <c r="V38" s="1368"/>
      <c r="W38" s="1368"/>
      <c r="X38" s="1368"/>
      <c r="Y38" s="1368"/>
      <c r="Z38" s="1369"/>
    </row>
    <row r="39" spans="1:37" ht="13.5" thickBot="1">
      <c r="A39" s="2849"/>
      <c r="B39" s="2867" t="s">
        <v>2940</v>
      </c>
      <c r="C39" s="226" t="e">
        <f>ROUND(C5*C19*C20*C24*F39,0)</f>
        <v>#DIV/0!</v>
      </c>
      <c r="D39" s="2851"/>
      <c r="E39" s="226" t="e">
        <f t="shared" si="7"/>
        <v>#DIV/0!</v>
      </c>
      <c r="F39" s="930">
        <f>SUMIF(修正!A45:A56,G2,修正!H45:H56)</f>
        <v>0</v>
      </c>
      <c r="G39" s="226" t="e">
        <f>ROUND(IF(E2="工业",C39*$M$39,C39*$M$38),0)</f>
        <v>#DIV/0!</v>
      </c>
      <c r="H39" s="226">
        <f t="shared" si="8"/>
        <v>0</v>
      </c>
      <c r="I39" s="226" t="e">
        <f t="shared" si="9"/>
        <v>#DIV/0!</v>
      </c>
      <c r="J39" s="2868"/>
      <c r="K39" s="1368"/>
      <c r="L39" s="2869" t="s">
        <v>2881</v>
      </c>
      <c r="M39" s="287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1"/>
      <c r="Z41" s="1369"/>
      <c r="AA41" s="1369"/>
      <c r="AB41" s="1369"/>
      <c r="AC41" s="1369"/>
      <c r="AD41" s="1369"/>
      <c r="AE41" s="1369"/>
      <c r="AF41" s="1369"/>
      <c r="AG41" s="1369"/>
      <c r="AH41" s="1369"/>
      <c r="AI41" s="1369"/>
      <c r="AJ41" s="1369"/>
    </row>
    <row r="42" spans="1:37" s="1368" customFormat="1">
      <c r="A42" s="1369"/>
      <c r="B42" s="2871"/>
      <c r="Z42" s="1369"/>
      <c r="AA42" s="1369"/>
      <c r="AB42" s="1369"/>
      <c r="AC42" s="1369"/>
      <c r="AD42" s="1369"/>
      <c r="AE42" s="1369"/>
      <c r="AF42" s="1369"/>
      <c r="AG42" s="1369"/>
      <c r="AH42" s="1369"/>
      <c r="AI42" s="1369"/>
      <c r="AJ42" s="1369"/>
    </row>
    <row r="43" spans="1:37" s="1368" customFormat="1">
      <c r="A43" s="1369"/>
      <c r="B43" s="2871"/>
      <c r="Z43" s="1369"/>
      <c r="AA43" s="1369"/>
      <c r="AB43" s="1369"/>
      <c r="AC43" s="1369"/>
      <c r="AD43" s="1369"/>
      <c r="AE43" s="1369"/>
      <c r="AF43" s="1369"/>
      <c r="AG43" s="1369"/>
      <c r="AH43" s="1369"/>
      <c r="AI43" s="1369"/>
      <c r="AJ43" s="1369"/>
    </row>
    <row r="44" spans="1:37" s="1368" customFormat="1">
      <c r="A44" s="1369"/>
      <c r="B44" s="2871"/>
      <c r="Z44" s="1369"/>
      <c r="AA44" s="1369"/>
      <c r="AB44" s="1369"/>
      <c r="AC44" s="1369"/>
      <c r="AD44" s="1369"/>
      <c r="AE44" s="1369"/>
      <c r="AF44" s="1369"/>
      <c r="AG44" s="1369"/>
      <c r="AH44" s="1369"/>
      <c r="AI44" s="1369"/>
      <c r="AJ44" s="1369"/>
    </row>
    <row r="45" spans="1:37" s="1368" customFormat="1" ht="15.75" thickBot="1">
      <c r="A45" s="2872" t="s">
        <v>2941</v>
      </c>
      <c r="B45" s="2873"/>
      <c r="C45" s="7"/>
      <c r="D45" s="7"/>
      <c r="E45" s="7"/>
      <c r="F45" s="6"/>
      <c r="G45" s="6"/>
      <c r="H45" s="6"/>
      <c r="I45" s="7"/>
      <c r="J45" s="7"/>
      <c r="K45" s="7"/>
      <c r="L45" s="7"/>
      <c r="M45" s="7"/>
      <c r="N45" s="2788"/>
      <c r="Z45" s="1369"/>
      <c r="AA45" s="1369"/>
      <c r="AB45" s="1369"/>
      <c r="AC45" s="1369"/>
      <c r="AD45" s="1369"/>
      <c r="AE45" s="1369"/>
      <c r="AF45" s="1369"/>
      <c r="AG45" s="1369"/>
      <c r="AH45" s="1369"/>
      <c r="AI45" s="1369"/>
      <c r="AJ45" s="1369"/>
    </row>
    <row r="46" spans="1:37" s="1368" customFormat="1" ht="15">
      <c r="A46" s="2874" t="s">
        <v>2942</v>
      </c>
      <c r="B46" s="2875">
        <f>1+E48</f>
        <v>1</v>
      </c>
      <c r="C46" s="2876"/>
      <c r="D46" s="809"/>
      <c r="E46" s="810"/>
      <c r="F46" s="2877"/>
      <c r="G46" s="6"/>
      <c r="H46" s="7"/>
      <c r="I46" s="7"/>
      <c r="J46" s="7"/>
      <c r="K46" s="7"/>
      <c r="L46" s="7"/>
      <c r="M46" s="7"/>
      <c r="N46" s="2788"/>
      <c r="Z46" s="1369"/>
      <c r="AA46" s="1369"/>
      <c r="AB46" s="1369"/>
      <c r="AC46" s="1369"/>
      <c r="AD46" s="1369"/>
      <c r="AE46" s="1369"/>
      <c r="AF46" s="1369"/>
      <c r="AG46" s="1369"/>
      <c r="AH46" s="1369"/>
      <c r="AI46" s="1369"/>
      <c r="AJ46" s="1369"/>
    </row>
    <row r="47" spans="1:37" s="1368" customFormat="1" ht="24.75">
      <c r="A47" s="2878" t="s">
        <v>2943</v>
      </c>
      <c r="B47" s="1806" t="s">
        <v>2944</v>
      </c>
      <c r="C47" s="1806" t="s">
        <v>2945</v>
      </c>
      <c r="D47" s="1806" t="s">
        <v>2946</v>
      </c>
      <c r="E47" s="814" t="s">
        <v>2947</v>
      </c>
      <c r="F47" s="2879" t="s">
        <v>2948</v>
      </c>
      <c r="G47" s="1806" t="s">
        <v>754</v>
      </c>
      <c r="H47" s="2880" t="s">
        <v>2949</v>
      </c>
      <c r="I47" s="1806" t="s">
        <v>2950</v>
      </c>
      <c r="J47" s="598" t="s">
        <v>2599</v>
      </c>
      <c r="K47" s="598" t="s">
        <v>2600</v>
      </c>
      <c r="L47" s="598" t="s">
        <v>2601</v>
      </c>
      <c r="M47" s="598" t="s">
        <v>2602</v>
      </c>
      <c r="N47" s="598" t="s">
        <v>2603</v>
      </c>
      <c r="AA47" s="1369"/>
      <c r="AB47" s="1369"/>
      <c r="AC47" s="1369"/>
      <c r="AD47" s="1369"/>
      <c r="AE47" s="1369"/>
      <c r="AF47" s="1369"/>
      <c r="AG47" s="1369"/>
      <c r="AH47" s="1369"/>
      <c r="AI47" s="1369"/>
      <c r="AJ47" s="1369"/>
      <c r="AK47" s="1369"/>
    </row>
    <row r="48" spans="1:37" s="1368" customFormat="1" ht="38.25">
      <c r="A48" s="2878" t="s">
        <v>2951</v>
      </c>
      <c r="B48" s="2881" t="str">
        <f>估价对象房地状况!C4</f>
        <v>估价对象位于XX商圈，周边商业氛围成熟，人流量大，商业繁华度好</v>
      </c>
      <c r="C48" s="2770"/>
      <c r="D48" s="1284">
        <f t="shared" ref="D48:D56" si="10">SUMIF($J$47:$N$47,C48,J48:N48)</f>
        <v>0</v>
      </c>
      <c r="E48" s="816">
        <f>ROUND(SUM(D48:D56),4)</f>
        <v>0</v>
      </c>
      <c r="F48" s="2501"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14.75">
      <c r="A49" s="2878" t="s">
        <v>2952</v>
      </c>
      <c r="B49" s="2882" t="str">
        <f>估价对象房地状况!C18</f>
        <v>估价对象紧邻城市次干道—安宁庄路，距首都机场约30公里、距北京火车站约25公里，周边有运通114、运通119、392、636路等公交线路，西北侧约1.5公里为城铁13号线西二旗站，综合评价交通便捷度较好。</v>
      </c>
      <c r="C49" s="2770"/>
      <c r="D49" s="1284">
        <f t="shared" si="10"/>
        <v>0</v>
      </c>
      <c r="E49" s="817"/>
      <c r="F49" s="2501"/>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8" t="s">
        <v>2953</v>
      </c>
      <c r="B50" s="2882">
        <f>估价对象房地状况!C19</f>
        <v>0</v>
      </c>
      <c r="C50" s="2770"/>
      <c r="D50" s="1284">
        <f t="shared" si="10"/>
        <v>0</v>
      </c>
      <c r="E50" s="817"/>
      <c r="F50" s="2501"/>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8" t="s">
        <v>2954</v>
      </c>
      <c r="B51" s="2883" t="s">
        <v>2955</v>
      </c>
      <c r="C51" s="2770"/>
      <c r="D51" s="1284">
        <f t="shared" si="10"/>
        <v>0</v>
      </c>
      <c r="E51" s="817"/>
      <c r="F51" s="2501"/>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8" t="s">
        <v>2956</v>
      </c>
      <c r="B52" s="2882" t="str">
        <f>估价对象房地状况!C24</f>
        <v>紧邻城市支路-门头沟路</v>
      </c>
      <c r="C52" s="2770"/>
      <c r="D52" s="1284">
        <f t="shared" si="10"/>
        <v>0</v>
      </c>
      <c r="E52" s="817"/>
      <c r="F52" s="2501"/>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8" t="s">
        <v>2957</v>
      </c>
      <c r="B53" s="2884" t="s">
        <v>2958</v>
      </c>
      <c r="C53" s="2770"/>
      <c r="D53" s="1284">
        <f t="shared" si="10"/>
        <v>0</v>
      </c>
      <c r="E53" s="817"/>
      <c r="F53" s="2501"/>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89.25">
      <c r="A54" s="2885" t="s">
        <v>2959</v>
      </c>
      <c r="B54" s="1722" t="str">
        <f>估价对象房地状况!C21</f>
        <v>估价对象周边有教育机构（育鹰小学、西二旗小学）、医疗设施（清河社区卫生服务站）、金融机构（农商银行、建设银行）等，公共配套设施状况一般。</v>
      </c>
      <c r="C54" s="2770"/>
      <c r="D54" s="1284">
        <f t="shared" si="10"/>
        <v>0</v>
      </c>
      <c r="E54" s="817"/>
      <c r="F54" s="2501"/>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5" t="s">
        <v>2960</v>
      </c>
      <c r="B55" s="2882" t="str">
        <f>估价对象房地状况!C22</f>
        <v>估价对象所在区域基础设施水平为五通一平</v>
      </c>
      <c r="C55" s="2770"/>
      <c r="D55" s="1284">
        <f t="shared" si="10"/>
        <v>0</v>
      </c>
      <c r="E55" s="817"/>
      <c r="F55" s="2501"/>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64.5" thickBot="1">
      <c r="A56" s="2886" t="s">
        <v>2961</v>
      </c>
      <c r="B56" s="2887" t="str">
        <f>估价对象房地状况!C20</f>
        <v>估价对象西北侧隔路有加油站；周边2公里范围内无大型绿化及博物馆、高等教育学校等人文设施；综合评价环境状况较差。</v>
      </c>
      <c r="C56" s="2770"/>
      <c r="D56" s="1284">
        <f t="shared" si="10"/>
        <v>0</v>
      </c>
      <c r="E56" s="820"/>
      <c r="F56" s="2501"/>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4" t="s">
        <v>2962</v>
      </c>
      <c r="B57" s="2875">
        <f>1+E59</f>
        <v>1</v>
      </c>
      <c r="C57" s="809"/>
      <c r="D57" s="809"/>
      <c r="E57" s="810"/>
      <c r="F57" s="287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8" t="s">
        <v>2943</v>
      </c>
      <c r="B58" s="1806"/>
      <c r="C58" s="1806" t="s">
        <v>2945</v>
      </c>
      <c r="D58" s="1806" t="s">
        <v>2946</v>
      </c>
      <c r="E58" s="814" t="s">
        <v>2947</v>
      </c>
      <c r="F58" s="2879" t="s">
        <v>2963</v>
      </c>
      <c r="G58" s="1806" t="s">
        <v>754</v>
      </c>
      <c r="H58" s="2880" t="s">
        <v>2949</v>
      </c>
      <c r="I58" s="1806" t="s">
        <v>2950</v>
      </c>
      <c r="J58" s="598" t="s">
        <v>2599</v>
      </c>
      <c r="K58" s="598" t="s">
        <v>2600</v>
      </c>
      <c r="L58" s="598" t="s">
        <v>2601</v>
      </c>
      <c r="M58" s="598" t="s">
        <v>2602</v>
      </c>
      <c r="N58" s="598" t="s">
        <v>2603</v>
      </c>
      <c r="AA58" s="1369"/>
      <c r="AB58" s="1369"/>
      <c r="AC58" s="1369"/>
      <c r="AD58" s="1369"/>
      <c r="AE58" s="1369"/>
      <c r="AF58" s="1369"/>
      <c r="AG58" s="1369"/>
      <c r="AH58" s="1369"/>
      <c r="AI58" s="1369"/>
      <c r="AJ58" s="1369"/>
      <c r="AK58" s="1369"/>
    </row>
    <row r="59" spans="1:37" s="1368" customFormat="1" ht="38.25">
      <c r="A59" s="2878" t="s">
        <v>2964</v>
      </c>
      <c r="B59" s="2881" t="str">
        <f>估价对象房地状况!C17</f>
        <v>估价对象位于XX商圈，周边办公楼项目较多，入驻率高，办公集聚程度较好</v>
      </c>
      <c r="C59" s="2770"/>
      <c r="D59" s="1284">
        <f t="shared" ref="D59:D67" si="15">SUMIF($J$58:$N$58,C59,J59:N59)</f>
        <v>0</v>
      </c>
      <c r="E59" s="816">
        <f>ROUND(SUM(D59:D67),4)</f>
        <v>0</v>
      </c>
      <c r="F59" s="2501"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14.75">
      <c r="A60" s="2878" t="s">
        <v>2952</v>
      </c>
      <c r="B60" s="2882" t="str">
        <f>估价对象房地状况!C18</f>
        <v>估价对象紧邻城市次干道—安宁庄路，距首都机场约30公里、距北京火车站约25公里，周边有运通114、运通119、392、636路等公交线路，西北侧约1.5公里为城铁13号线西二旗站，综合评价交通便捷度较好。</v>
      </c>
      <c r="C60" s="2770"/>
      <c r="D60" s="1284">
        <f t="shared" si="15"/>
        <v>0</v>
      </c>
      <c r="E60" s="817"/>
      <c r="F60" s="2501"/>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8" t="s">
        <v>2953</v>
      </c>
      <c r="B61" s="2882">
        <f>估价对象房地状况!C19</f>
        <v>0</v>
      </c>
      <c r="C61" s="2770"/>
      <c r="D61" s="1284">
        <f t="shared" si="15"/>
        <v>0</v>
      </c>
      <c r="E61" s="817"/>
      <c r="F61" s="2501"/>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8" t="s">
        <v>2954</v>
      </c>
      <c r="B62" s="2883" t="s">
        <v>2955</v>
      </c>
      <c r="C62" s="2770"/>
      <c r="D62" s="1284">
        <f t="shared" si="15"/>
        <v>0</v>
      </c>
      <c r="E62" s="817"/>
      <c r="F62" s="2501"/>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8" t="s">
        <v>2956</v>
      </c>
      <c r="B63" s="2882" t="str">
        <f>估价对象房地状况!C24</f>
        <v>紧邻城市支路-门头沟路</v>
      </c>
      <c r="C63" s="2770"/>
      <c r="D63" s="1284">
        <f t="shared" si="15"/>
        <v>0</v>
      </c>
      <c r="E63" s="817"/>
      <c r="F63" s="2501"/>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8" t="s">
        <v>2957</v>
      </c>
      <c r="B64" s="2884" t="s">
        <v>2958</v>
      </c>
      <c r="C64" s="2770"/>
      <c r="D64" s="1284">
        <f t="shared" si="15"/>
        <v>0</v>
      </c>
      <c r="E64" s="817"/>
      <c r="F64" s="2501"/>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89.25">
      <c r="A65" s="2878" t="s">
        <v>2959</v>
      </c>
      <c r="B65" s="1722" t="str">
        <f>估价对象房地状况!C21</f>
        <v>估价对象周边有教育机构（育鹰小学、西二旗小学）、医疗设施（清河社区卫生服务站）、金融机构（农商银行、建设银行）等，公共配套设施状况一般。</v>
      </c>
      <c r="C65" s="2770"/>
      <c r="D65" s="1284">
        <f t="shared" si="15"/>
        <v>0</v>
      </c>
      <c r="E65" s="817"/>
      <c r="F65" s="2501"/>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8" t="s">
        <v>2960</v>
      </c>
      <c r="B66" s="1722" t="str">
        <f>估价对象房地状况!C22</f>
        <v>估价对象所在区域基础设施水平为五通一平</v>
      </c>
      <c r="C66" s="2770"/>
      <c r="D66" s="1284">
        <f t="shared" si="15"/>
        <v>0</v>
      </c>
      <c r="E66" s="817"/>
      <c r="F66" s="2501"/>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64.5" thickBot="1">
      <c r="A67" s="2886" t="s">
        <v>2961</v>
      </c>
      <c r="B67" s="2888" t="str">
        <f>估价对象房地状况!C20</f>
        <v>估价对象西北侧隔路有加油站；周边2公里范围内无大型绿化及博物馆、高等教育学校等人文设施；综合评价环境状况较差。</v>
      </c>
      <c r="C67" s="2770"/>
      <c r="D67" s="1284">
        <f t="shared" si="15"/>
        <v>0</v>
      </c>
      <c r="E67" s="820"/>
      <c r="F67" s="2501"/>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4" t="s">
        <v>2965</v>
      </c>
      <c r="B68" s="2875">
        <f>1+E70</f>
        <v>1</v>
      </c>
      <c r="C68" s="809"/>
      <c r="D68" s="809"/>
      <c r="E68" s="810"/>
      <c r="F68" s="287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8" t="s">
        <v>2943</v>
      </c>
      <c r="B69" s="1806"/>
      <c r="C69" s="1806" t="s">
        <v>2945</v>
      </c>
      <c r="D69" s="1806" t="s">
        <v>2946</v>
      </c>
      <c r="E69" s="814" t="s">
        <v>2947</v>
      </c>
      <c r="F69" s="2879" t="s">
        <v>2963</v>
      </c>
      <c r="G69" s="1806" t="s">
        <v>754</v>
      </c>
      <c r="H69" s="2880" t="s">
        <v>2949</v>
      </c>
      <c r="I69" s="1806" t="s">
        <v>2950</v>
      </c>
      <c r="J69" s="598" t="s">
        <v>2599</v>
      </c>
      <c r="K69" s="598" t="s">
        <v>2600</v>
      </c>
      <c r="L69" s="598" t="s">
        <v>2601</v>
      </c>
      <c r="M69" s="598" t="s">
        <v>2602</v>
      </c>
      <c r="N69" s="598" t="s">
        <v>2603</v>
      </c>
      <c r="AA69" s="1369"/>
      <c r="AB69" s="1369"/>
      <c r="AC69" s="1369"/>
      <c r="AD69" s="1369"/>
      <c r="AE69" s="1369"/>
      <c r="AF69" s="1369"/>
      <c r="AG69" s="1369"/>
      <c r="AH69" s="1369"/>
      <c r="AI69" s="1369"/>
      <c r="AJ69" s="1369"/>
      <c r="AK69" s="1369"/>
    </row>
    <row r="70" spans="1:37" s="1368" customFormat="1" ht="76.5">
      <c r="A70" s="2878" t="s">
        <v>2966</v>
      </c>
      <c r="B70" s="2881" t="str">
        <f>估价对象房地状况!C15</f>
        <v>估价对象周边有安宁华庭、安宁佳园、当代城市家园等小区、居住小区规模较大，入住率较高，综合评价居住社区成熟度较好。</v>
      </c>
      <c r="C70" s="2770"/>
      <c r="D70" s="1284">
        <f t="shared" ref="D70:D78" si="20">SUMIF($J$69:$N$69,C70,J70:N70)</f>
        <v>0</v>
      </c>
      <c r="E70" s="816">
        <f>ROUND(SUM(D70:D78),4)</f>
        <v>0</v>
      </c>
      <c r="F70" s="2501"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14.75">
      <c r="A71" s="2878" t="s">
        <v>2952</v>
      </c>
      <c r="B71" s="2882" t="str">
        <f>估价对象房地状况!C18</f>
        <v>估价对象紧邻城市次干道—安宁庄路，距首都机场约30公里、距北京火车站约25公里，周边有运通114、运通119、392、636路等公交线路，西北侧约1.5公里为城铁13号线西二旗站，综合评价交通便捷度较好。</v>
      </c>
      <c r="C71" s="2770"/>
      <c r="D71" s="1284">
        <f t="shared" si="20"/>
        <v>0</v>
      </c>
      <c r="E71" s="821"/>
      <c r="F71" s="2501"/>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8" t="s">
        <v>2953</v>
      </c>
      <c r="B72" s="2882">
        <f>估价对象房地状况!C19</f>
        <v>0</v>
      </c>
      <c r="C72" s="2770"/>
      <c r="D72" s="1284">
        <f t="shared" si="20"/>
        <v>0</v>
      </c>
      <c r="E72" s="821"/>
      <c r="F72" s="2501"/>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8" t="s">
        <v>2967</v>
      </c>
      <c r="B73" s="2882" t="str">
        <f>估价对象房地状况!C24</f>
        <v>紧邻城市支路-门头沟路</v>
      </c>
      <c r="C73" s="2770"/>
      <c r="D73" s="1284">
        <f t="shared" si="20"/>
        <v>0</v>
      </c>
      <c r="E73" s="821"/>
      <c r="F73" s="2501"/>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89.25">
      <c r="A74" s="2878" t="s">
        <v>2959</v>
      </c>
      <c r="B74" s="1722" t="str">
        <f>估价对象房地状况!C21</f>
        <v>估价对象周边有教育机构（育鹰小学、西二旗小学）、医疗设施（清河社区卫生服务站）、金融机构（农商银行、建设银行）等，公共配套设施状况一般。</v>
      </c>
      <c r="C74" s="2770"/>
      <c r="D74" s="1284">
        <f t="shared" si="20"/>
        <v>0</v>
      </c>
      <c r="E74" s="821"/>
      <c r="F74" s="2501"/>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8" t="s">
        <v>2960</v>
      </c>
      <c r="B75" s="1722" t="str">
        <f>估价对象房地状况!C22</f>
        <v>估价对象所在区域基础设施水平为五通一平</v>
      </c>
      <c r="C75" s="2770"/>
      <c r="D75" s="1284">
        <f t="shared" si="20"/>
        <v>0</v>
      </c>
      <c r="E75" s="821"/>
      <c r="F75" s="2501"/>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8" t="s">
        <v>2957</v>
      </c>
      <c r="B76" s="2884" t="s">
        <v>2958</v>
      </c>
      <c r="C76" s="2770"/>
      <c r="D76" s="1284">
        <f t="shared" si="20"/>
        <v>0</v>
      </c>
      <c r="E76" s="821"/>
      <c r="F76" s="2501"/>
      <c r="G76" s="1282"/>
      <c r="H76" s="1286" t="str">
        <f t="shared" si="21"/>
        <v>——</v>
      </c>
      <c r="I76" s="815">
        <v>0.05</v>
      </c>
      <c r="J76" s="1283">
        <f t="shared" si="22"/>
        <v>0</v>
      </c>
      <c r="K76" s="1283">
        <f t="shared" si="23"/>
        <v>0</v>
      </c>
      <c r="L76" s="1283">
        <v>0</v>
      </c>
      <c r="M76" s="1283">
        <f t="shared" si="24"/>
        <v>0</v>
      </c>
      <c r="N76" s="1283">
        <f t="shared" si="24"/>
        <v>0</v>
      </c>
      <c r="AA76" s="2889"/>
      <c r="AB76" s="1369"/>
      <c r="AC76" s="1369"/>
      <c r="AD76" s="1369"/>
      <c r="AE76" s="1369"/>
      <c r="AF76" s="1369"/>
      <c r="AG76" s="1369"/>
      <c r="AH76" s="2889"/>
      <c r="AI76" s="2889"/>
      <c r="AJ76" s="2889"/>
      <c r="AK76" s="2889"/>
    </row>
    <row r="77" spans="1:37" ht="63.75">
      <c r="A77" s="2878" t="s">
        <v>2961</v>
      </c>
      <c r="B77" s="2881" t="str">
        <f>估价对象房地状况!C20</f>
        <v>估价对象西北侧隔路有加油站；周边2公里范围内无大型绿化及博物馆、高等教育学校等人文设施；综合评价环境状况较差。</v>
      </c>
      <c r="C77" s="2770"/>
      <c r="D77" s="1284">
        <f t="shared" si="20"/>
        <v>0</v>
      </c>
      <c r="E77" s="821"/>
      <c r="F77" s="2501"/>
      <c r="G77" s="1282"/>
      <c r="H77" s="1286" t="str">
        <f t="shared" si="21"/>
        <v>——</v>
      </c>
      <c r="I77" s="815">
        <v>0.15</v>
      </c>
      <c r="J77" s="1283">
        <f t="shared" si="22"/>
        <v>0</v>
      </c>
      <c r="K77" s="1283">
        <f t="shared" si="23"/>
        <v>0</v>
      </c>
      <c r="L77" s="1283">
        <v>0</v>
      </c>
      <c r="M77" s="1283">
        <f t="shared" si="24"/>
        <v>0</v>
      </c>
      <c r="N77" s="1283">
        <f t="shared" si="24"/>
        <v>0</v>
      </c>
      <c r="Z77" s="2720"/>
      <c r="AA77" s="2796"/>
      <c r="AG77" s="1370"/>
      <c r="AK77" s="2796"/>
    </row>
    <row r="78" spans="1:37" ht="24.75" thickBot="1">
      <c r="A78" s="2886" t="s">
        <v>2968</v>
      </c>
      <c r="B78" s="2890"/>
      <c r="C78" s="2770"/>
      <c r="D78" s="1284">
        <f t="shared" si="20"/>
        <v>0</v>
      </c>
      <c r="E78" s="822"/>
      <c r="F78" s="2501"/>
      <c r="G78" s="1282"/>
      <c r="H78" s="1286" t="str">
        <f t="shared" si="21"/>
        <v>——</v>
      </c>
      <c r="I78" s="819">
        <v>0.04</v>
      </c>
      <c r="J78" s="1283">
        <f t="shared" si="22"/>
        <v>0</v>
      </c>
      <c r="K78" s="1283">
        <f t="shared" si="23"/>
        <v>0</v>
      </c>
      <c r="L78" s="1283">
        <v>0</v>
      </c>
      <c r="M78" s="1283">
        <f t="shared" si="24"/>
        <v>0</v>
      </c>
      <c r="N78" s="1283">
        <f t="shared" si="24"/>
        <v>0</v>
      </c>
      <c r="Z78" s="2720"/>
      <c r="AA78" s="2796"/>
      <c r="AG78" s="1370"/>
      <c r="AK78" s="2796"/>
    </row>
    <row r="79" spans="1:37" ht="15">
      <c r="A79" s="2874" t="s">
        <v>2969</v>
      </c>
      <c r="B79" s="2875">
        <f>1+E81</f>
        <v>1</v>
      </c>
      <c r="C79" s="809"/>
      <c r="D79" s="809"/>
      <c r="E79" s="810"/>
      <c r="F79" s="2877"/>
      <c r="G79" s="6"/>
      <c r="H79" s="6"/>
      <c r="I79" s="6"/>
      <c r="J79" s="7"/>
      <c r="K79" s="7"/>
      <c r="L79" s="7"/>
      <c r="M79" s="7"/>
      <c r="N79" s="7"/>
      <c r="Z79" s="2720"/>
      <c r="AA79" s="2796"/>
      <c r="AG79" s="1370"/>
      <c r="AK79" s="2796"/>
    </row>
    <row r="80" spans="1:37" ht="24.75">
      <c r="A80" s="2878" t="s">
        <v>2943</v>
      </c>
      <c r="B80" s="1806"/>
      <c r="C80" s="1806" t="s">
        <v>2945</v>
      </c>
      <c r="D80" s="1806" t="s">
        <v>2946</v>
      </c>
      <c r="E80" s="814" t="s">
        <v>2947</v>
      </c>
      <c r="F80" s="2879" t="s">
        <v>2963</v>
      </c>
      <c r="G80" s="1806" t="s">
        <v>754</v>
      </c>
      <c r="H80" s="2880" t="s">
        <v>2949</v>
      </c>
      <c r="I80" s="1806" t="s">
        <v>2950</v>
      </c>
      <c r="J80" s="598" t="s">
        <v>2599</v>
      </c>
      <c r="K80" s="598" t="s">
        <v>2600</v>
      </c>
      <c r="L80" s="598" t="s">
        <v>2601</v>
      </c>
      <c r="M80" s="598" t="s">
        <v>2602</v>
      </c>
      <c r="N80" s="598" t="s">
        <v>2603</v>
      </c>
      <c r="Z80" s="2720"/>
      <c r="AA80" s="2796"/>
      <c r="AG80" s="1370"/>
      <c r="AK80" s="2796"/>
    </row>
    <row r="81" spans="1:37" ht="38.25">
      <c r="A81" s="2878" t="s">
        <v>2970</v>
      </c>
      <c r="B81" s="2882" t="str">
        <f>估价对象房地状况!G15</f>
        <v>估价对象位于XX开发区，园区建设成熟度XX，产业集聚程度XX</v>
      </c>
      <c r="C81" s="2770"/>
      <c r="D81" s="1284">
        <f t="shared" ref="D81:D88" si="25">SUMIF($J$80:$N$80,C81,J81:N81)</f>
        <v>0</v>
      </c>
      <c r="E81" s="816">
        <f>ROUND(SUM(D81:D88),4)</f>
        <v>0</v>
      </c>
      <c r="F81" s="2501"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20"/>
      <c r="AA81" s="2796"/>
      <c r="AG81" s="1370"/>
      <c r="AK81" s="2796"/>
    </row>
    <row r="82" spans="1:37" ht="51">
      <c r="A82" s="2878" t="s">
        <v>2952</v>
      </c>
      <c r="B82" s="2882" t="str">
        <f>估价对象房地状况!G16</f>
        <v>估价对象周边道路状况、公共交通通达情况、停车便捷程度，综合评价交通便捷度较好</v>
      </c>
      <c r="C82" s="2770"/>
      <c r="D82" s="1284">
        <f t="shared" si="25"/>
        <v>0</v>
      </c>
      <c r="E82" s="821"/>
      <c r="F82" s="2501"/>
      <c r="G82" s="1282"/>
      <c r="H82" s="1286" t="str">
        <f t="shared" si="26"/>
        <v>——</v>
      </c>
      <c r="I82" s="815">
        <v>0.33</v>
      </c>
      <c r="J82" s="1283">
        <f t="shared" si="27"/>
        <v>0</v>
      </c>
      <c r="K82" s="1283">
        <f t="shared" si="28"/>
        <v>0</v>
      </c>
      <c r="L82" s="1283">
        <v>0</v>
      </c>
      <c r="M82" s="1283">
        <f t="shared" si="29"/>
        <v>0</v>
      </c>
      <c r="N82" s="1283">
        <f t="shared" si="29"/>
        <v>0</v>
      </c>
      <c r="Z82" s="2720"/>
      <c r="AA82" s="2796"/>
      <c r="AG82" s="1370"/>
      <c r="AK82" s="2796"/>
    </row>
    <row r="83" spans="1:37" ht="24">
      <c r="A83" s="2878" t="s">
        <v>2953</v>
      </c>
      <c r="B83" s="2882">
        <f>估价对象房地状况!G17</f>
        <v>0</v>
      </c>
      <c r="C83" s="2770"/>
      <c r="D83" s="1284">
        <f t="shared" si="25"/>
        <v>0</v>
      </c>
      <c r="E83" s="821"/>
      <c r="F83" s="2501"/>
      <c r="G83" s="1282"/>
      <c r="H83" s="1286" t="str">
        <f t="shared" si="26"/>
        <v>——</v>
      </c>
      <c r="I83" s="815">
        <v>0.05</v>
      </c>
      <c r="J83" s="1283">
        <f t="shared" si="27"/>
        <v>0</v>
      </c>
      <c r="K83" s="1283">
        <f t="shared" si="28"/>
        <v>0</v>
      </c>
      <c r="L83" s="1283">
        <v>0</v>
      </c>
      <c r="M83" s="1283">
        <f t="shared" si="29"/>
        <v>0</v>
      </c>
      <c r="N83" s="1283">
        <f t="shared" si="29"/>
        <v>0</v>
      </c>
      <c r="Z83" s="2720"/>
      <c r="AA83" s="2796"/>
      <c r="AG83" s="1370"/>
      <c r="AK83" s="2796"/>
    </row>
    <row r="84" spans="1:37" ht="14.25">
      <c r="A84" s="2878" t="s">
        <v>2967</v>
      </c>
      <c r="B84" s="2882">
        <f>估价对象房地状况!G22</f>
        <v>0</v>
      </c>
      <c r="C84" s="2770"/>
      <c r="D84" s="1284">
        <f t="shared" si="25"/>
        <v>0</v>
      </c>
      <c r="E84" s="821"/>
      <c r="F84" s="2501"/>
      <c r="G84" s="1282"/>
      <c r="H84" s="1286" t="str">
        <f t="shared" si="26"/>
        <v>——</v>
      </c>
      <c r="I84" s="815">
        <v>0.04</v>
      </c>
      <c r="J84" s="1283">
        <f t="shared" si="27"/>
        <v>0</v>
      </c>
      <c r="K84" s="1283">
        <f t="shared" si="28"/>
        <v>0</v>
      </c>
      <c r="L84" s="1283">
        <v>0</v>
      </c>
      <c r="M84" s="1283">
        <f t="shared" si="29"/>
        <v>0</v>
      </c>
      <c r="N84" s="1283">
        <f t="shared" si="29"/>
        <v>0</v>
      </c>
      <c r="Z84" s="2720"/>
      <c r="AA84" s="2796"/>
      <c r="AG84" s="1370"/>
      <c r="AK84" s="2796"/>
    </row>
    <row r="85" spans="1:37" ht="25.5">
      <c r="A85" s="2878" t="s">
        <v>2959</v>
      </c>
      <c r="B85" s="1722" t="str">
        <f>估价对象房地状况!G19</f>
        <v>估价对象所在区域公共配套设施齐备情况</v>
      </c>
      <c r="C85" s="2770"/>
      <c r="D85" s="1284">
        <f t="shared" si="25"/>
        <v>0</v>
      </c>
      <c r="E85" s="821"/>
      <c r="F85" s="2501"/>
      <c r="G85" s="1282"/>
      <c r="H85" s="1286" t="str">
        <f t="shared" si="26"/>
        <v>——</v>
      </c>
      <c r="I85" s="815">
        <v>0.06</v>
      </c>
      <c r="J85" s="1283">
        <f t="shared" si="27"/>
        <v>0</v>
      </c>
      <c r="K85" s="1283">
        <f t="shared" si="28"/>
        <v>0</v>
      </c>
      <c r="L85" s="1283">
        <v>0</v>
      </c>
      <c r="M85" s="1283">
        <f t="shared" si="29"/>
        <v>0</v>
      </c>
      <c r="N85" s="1283">
        <f t="shared" si="29"/>
        <v>0</v>
      </c>
      <c r="Z85" s="2720"/>
      <c r="AA85" s="2796"/>
      <c r="AG85" s="1370"/>
      <c r="AK85" s="2796"/>
    </row>
    <row r="86" spans="1:37" ht="25.5">
      <c r="A86" s="2878" t="s">
        <v>2960</v>
      </c>
      <c r="B86" s="1722" t="str">
        <f>估价对象房地状况!G20</f>
        <v>估价对象所在区域基础设施水平</v>
      </c>
      <c r="C86" s="2770"/>
      <c r="D86" s="1284">
        <f t="shared" si="25"/>
        <v>0</v>
      </c>
      <c r="E86" s="821"/>
      <c r="F86" s="2501"/>
      <c r="G86" s="1282"/>
      <c r="H86" s="1286" t="str">
        <f t="shared" si="26"/>
        <v>——</v>
      </c>
      <c r="I86" s="815">
        <v>0.15</v>
      </c>
      <c r="J86" s="1283">
        <f t="shared" si="27"/>
        <v>0</v>
      </c>
      <c r="K86" s="1283">
        <f t="shared" si="28"/>
        <v>0</v>
      </c>
      <c r="L86" s="1283">
        <v>0</v>
      </c>
      <c r="M86" s="1283">
        <f t="shared" si="29"/>
        <v>0</v>
      </c>
      <c r="N86" s="1283">
        <f t="shared" si="29"/>
        <v>0</v>
      </c>
      <c r="Z86" s="2720"/>
      <c r="AA86" s="2796"/>
      <c r="AG86" s="1370"/>
      <c r="AK86" s="2796"/>
    </row>
    <row r="87" spans="1:37" ht="24">
      <c r="A87" s="2878" t="s">
        <v>2957</v>
      </c>
      <c r="B87" s="2884" t="s">
        <v>2971</v>
      </c>
      <c r="C87" s="2770"/>
      <c r="D87" s="1284">
        <f t="shared" si="25"/>
        <v>0</v>
      </c>
      <c r="E87" s="821"/>
      <c r="F87" s="2501"/>
      <c r="G87" s="1282"/>
      <c r="H87" s="1286" t="str">
        <f t="shared" si="26"/>
        <v>——</v>
      </c>
      <c r="I87" s="815">
        <v>0.05</v>
      </c>
      <c r="J87" s="1283">
        <f t="shared" si="27"/>
        <v>0</v>
      </c>
      <c r="K87" s="1283">
        <f t="shared" si="28"/>
        <v>0</v>
      </c>
      <c r="L87" s="1283">
        <v>0</v>
      </c>
      <c r="M87" s="1283">
        <f t="shared" si="29"/>
        <v>0</v>
      </c>
      <c r="N87" s="1283">
        <f t="shared" si="29"/>
        <v>0</v>
      </c>
      <c r="Z87" s="2720"/>
      <c r="AA87" s="2796"/>
      <c r="AG87" s="1370"/>
      <c r="AK87" s="2796"/>
    </row>
    <row r="88" spans="1:37" ht="39" thickBot="1">
      <c r="A88" s="2886" t="s">
        <v>2972</v>
      </c>
      <c r="B88" s="2891" t="str">
        <f>估价对象房地状况!G18</f>
        <v>该园区内是否有污染型企业，绿化情况，卫生条件，整体环境状况判断</v>
      </c>
      <c r="C88" s="2770"/>
      <c r="D88" s="1284">
        <f t="shared" si="25"/>
        <v>0</v>
      </c>
      <c r="E88" s="822"/>
      <c r="F88" s="2501"/>
      <c r="G88" s="1282"/>
      <c r="H88" s="1286" t="str">
        <f t="shared" si="26"/>
        <v>——</v>
      </c>
      <c r="I88" s="819">
        <v>0.06</v>
      </c>
      <c r="J88" s="1283">
        <f t="shared" si="27"/>
        <v>0</v>
      </c>
      <c r="K88" s="1283">
        <f t="shared" si="28"/>
        <v>0</v>
      </c>
      <c r="L88" s="1283">
        <v>0</v>
      </c>
      <c r="M88" s="1283">
        <f t="shared" si="29"/>
        <v>0</v>
      </c>
      <c r="N88" s="1283">
        <f t="shared" si="29"/>
        <v>0</v>
      </c>
      <c r="Z88" s="2720"/>
      <c r="AA88" s="2796"/>
      <c r="AG88" s="1370"/>
      <c r="AK88" s="2796"/>
    </row>
    <row r="90" spans="1:37">
      <c r="A90" s="3434" t="s">
        <v>2973</v>
      </c>
      <c r="B90" s="3434"/>
      <c r="C90" s="3434"/>
      <c r="D90" s="3434"/>
      <c r="E90" s="3434"/>
      <c r="F90" s="3434"/>
      <c r="G90" s="3434"/>
      <c r="H90" s="3434"/>
      <c r="I90" s="3434"/>
      <c r="J90" s="3434"/>
      <c r="K90" s="2892"/>
      <c r="L90" s="2892"/>
      <c r="M90" s="2892"/>
      <c r="N90" s="2892"/>
    </row>
    <row r="91" spans="1:37">
      <c r="A91" s="3436" t="s">
        <v>2974</v>
      </c>
      <c r="B91" s="3436" t="s">
        <v>2975</v>
      </c>
      <c r="C91" s="2846" t="s">
        <v>2976</v>
      </c>
      <c r="D91" s="2847"/>
      <c r="E91" s="2847"/>
      <c r="F91" s="2847"/>
      <c r="G91" s="2847"/>
      <c r="H91" s="2847"/>
      <c r="I91" s="2847"/>
      <c r="J91" s="2893"/>
      <c r="K91" s="2894"/>
      <c r="L91" s="2894"/>
      <c r="M91" s="2894"/>
      <c r="N91" s="2894"/>
    </row>
    <row r="92" spans="1:37">
      <c r="A92" s="3436"/>
      <c r="B92" s="3436"/>
      <c r="C92" s="940" t="s">
        <v>2840</v>
      </c>
      <c r="D92" s="940" t="s">
        <v>2841</v>
      </c>
      <c r="E92" s="940" t="s">
        <v>2842</v>
      </c>
      <c r="F92" s="940" t="s">
        <v>2843</v>
      </c>
      <c r="G92" s="940" t="s">
        <v>2844</v>
      </c>
      <c r="H92" s="940" t="s">
        <v>2845</v>
      </c>
      <c r="I92" s="940" t="s">
        <v>2846</v>
      </c>
      <c r="J92" s="940" t="s">
        <v>2847</v>
      </c>
      <c r="K92" s="940" t="s">
        <v>2848</v>
      </c>
      <c r="L92" s="940" t="s">
        <v>2849</v>
      </c>
      <c r="M92" s="940" t="s">
        <v>2850</v>
      </c>
      <c r="N92" s="940" t="s">
        <v>2851</v>
      </c>
    </row>
    <row r="93" spans="1:37">
      <c r="A93" s="3437"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438"/>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438"/>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438"/>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438"/>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438"/>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438"/>
      <c r="B99" s="2895" t="s">
        <v>2856</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439"/>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437" t="s">
        <v>2978</v>
      </c>
      <c r="B101" s="2899" t="s">
        <v>2979</v>
      </c>
      <c r="C101" s="2900">
        <f>$G$3</f>
        <v>2.5</v>
      </c>
      <c r="D101" s="2900">
        <f t="shared" ref="D101:N101" si="31">$G$3</f>
        <v>2.5</v>
      </c>
      <c r="E101" s="2900">
        <f t="shared" si="31"/>
        <v>2.5</v>
      </c>
      <c r="F101" s="2900">
        <f t="shared" si="31"/>
        <v>2.5</v>
      </c>
      <c r="G101" s="2900">
        <f t="shared" si="31"/>
        <v>2.5</v>
      </c>
      <c r="H101" s="2900">
        <f t="shared" si="31"/>
        <v>2.5</v>
      </c>
      <c r="I101" s="2900">
        <f t="shared" si="31"/>
        <v>2.5</v>
      </c>
      <c r="J101" s="2900">
        <f t="shared" si="31"/>
        <v>2.5</v>
      </c>
      <c r="K101" s="2900">
        <f t="shared" si="31"/>
        <v>2.5</v>
      </c>
      <c r="L101" s="2900">
        <f t="shared" si="31"/>
        <v>2.5</v>
      </c>
      <c r="M101" s="2900">
        <f t="shared" si="31"/>
        <v>2.5</v>
      </c>
      <c r="N101" s="2900">
        <f t="shared" si="31"/>
        <v>2.5</v>
      </c>
    </row>
    <row r="102" spans="1:14">
      <c r="A102" s="3438"/>
      <c r="B102" s="2895">
        <v>1</v>
      </c>
      <c r="C102" s="2896">
        <f>1.9362/C101</f>
        <v>0.77447999999999995</v>
      </c>
      <c r="D102" s="2896">
        <f>1.9362/D101</f>
        <v>0.77447999999999995</v>
      </c>
      <c r="E102" s="2896">
        <f>1.8629/E101</f>
        <v>0.74516000000000004</v>
      </c>
      <c r="F102" s="2896">
        <f>1.8629/F101</f>
        <v>0.74516000000000004</v>
      </c>
      <c r="G102" s="2896">
        <f>1.8629/G101</f>
        <v>0.74516000000000004</v>
      </c>
      <c r="H102" s="2896">
        <f>1.8629/H101</f>
        <v>0.74516000000000004</v>
      </c>
      <c r="I102" s="2896">
        <f>1.8629/I101</f>
        <v>0.74516000000000004</v>
      </c>
      <c r="J102" s="2896">
        <f>1.942/J101</f>
        <v>0.77679999999999993</v>
      </c>
      <c r="K102" s="2896">
        <f>1.942/K101</f>
        <v>0.77679999999999993</v>
      </c>
      <c r="L102" s="2896">
        <f>1.942/L101</f>
        <v>0.77679999999999993</v>
      </c>
      <c r="M102" s="2896">
        <f>1.942/M101</f>
        <v>0.77679999999999993</v>
      </c>
      <c r="N102" s="2896">
        <f>1.942/N101</f>
        <v>0.77679999999999993</v>
      </c>
    </row>
    <row r="103" spans="1:14">
      <c r="A103" s="3438"/>
      <c r="B103" s="2895">
        <v>2</v>
      </c>
      <c r="C103" s="2896">
        <f>1.4198/C101</f>
        <v>0.56791999999999998</v>
      </c>
      <c r="D103" s="2896">
        <f>1.4198/D101</f>
        <v>0.56791999999999998</v>
      </c>
      <c r="E103" s="2896">
        <f>1.3372/E101</f>
        <v>0.53488000000000002</v>
      </c>
      <c r="F103" s="2896">
        <f>1.3372/F101</f>
        <v>0.53488000000000002</v>
      </c>
      <c r="G103" s="2896">
        <f>1.3372/G101</f>
        <v>0.53488000000000002</v>
      </c>
      <c r="H103" s="2896">
        <f>1.3372/H101</f>
        <v>0.53488000000000002</v>
      </c>
      <c r="I103" s="2896">
        <f>1.3372/I101</f>
        <v>0.53488000000000002</v>
      </c>
      <c r="J103" s="2896">
        <f>1.2799/J101</f>
        <v>0.51195999999999997</v>
      </c>
      <c r="K103" s="2896">
        <f>1.2799/K101</f>
        <v>0.51195999999999997</v>
      </c>
      <c r="L103" s="2896">
        <f>1.2799/L101</f>
        <v>0.51195999999999997</v>
      </c>
      <c r="M103" s="2896">
        <f>1.2799/M101</f>
        <v>0.51195999999999997</v>
      </c>
      <c r="N103" s="2896">
        <f>1.2799/N101</f>
        <v>0.51195999999999997</v>
      </c>
    </row>
    <row r="104" spans="1:14">
      <c r="A104" s="3438"/>
      <c r="B104" s="2895">
        <v>3</v>
      </c>
      <c r="C104" s="2896">
        <f>1.1594/C101</f>
        <v>0.46376000000000001</v>
      </c>
      <c r="D104" s="2896">
        <f>1.1594/D101</f>
        <v>0.46376000000000001</v>
      </c>
      <c r="E104" s="2896">
        <f>1.0788/E101</f>
        <v>0.43152000000000001</v>
      </c>
      <c r="F104" s="2896">
        <f>1.0788/F101</f>
        <v>0.43152000000000001</v>
      </c>
      <c r="G104" s="2896">
        <f>1.0788/G101</f>
        <v>0.43152000000000001</v>
      </c>
      <c r="H104" s="2896">
        <f>1.0788/H101</f>
        <v>0.43152000000000001</v>
      </c>
      <c r="I104" s="2896">
        <f>1.0788/I101</f>
        <v>0.43152000000000001</v>
      </c>
      <c r="J104" s="2896">
        <f>1.0072/J101</f>
        <v>0.40288000000000002</v>
      </c>
      <c r="K104" s="2896">
        <f>1.0072/K101</f>
        <v>0.40288000000000002</v>
      </c>
      <c r="L104" s="2896">
        <f>1.0072/L101</f>
        <v>0.40288000000000002</v>
      </c>
      <c r="M104" s="2896">
        <f>1.0072/M101</f>
        <v>0.40288000000000002</v>
      </c>
      <c r="N104" s="2896">
        <f>1.0072/N101</f>
        <v>0.40288000000000002</v>
      </c>
    </row>
    <row r="105" spans="1:14">
      <c r="A105" s="3438"/>
      <c r="B105" s="2895">
        <v>4</v>
      </c>
      <c r="C105" s="2896">
        <f>0.9622/C101</f>
        <v>0.38488</v>
      </c>
      <c r="D105" s="2896">
        <f>0.9622/D101</f>
        <v>0.38488</v>
      </c>
      <c r="E105" s="2896">
        <f>0.8656/E101</f>
        <v>0.34623999999999999</v>
      </c>
      <c r="F105" s="2896">
        <f>0.8656/F101</f>
        <v>0.34623999999999999</v>
      </c>
      <c r="G105" s="2896">
        <f>0.8656/G101</f>
        <v>0.34623999999999999</v>
      </c>
      <c r="H105" s="2896">
        <f>0.8656/H101</f>
        <v>0.34623999999999999</v>
      </c>
      <c r="I105" s="2896">
        <f>0.8656/I101</f>
        <v>0.34623999999999999</v>
      </c>
      <c r="J105" s="2896">
        <f>0.7525/J101</f>
        <v>0.30099999999999999</v>
      </c>
      <c r="K105" s="2896">
        <f>0.7525/K101</f>
        <v>0.30099999999999999</v>
      </c>
      <c r="L105" s="2896">
        <f>0.7525/L101</f>
        <v>0.30099999999999999</v>
      </c>
      <c r="M105" s="2896">
        <f>0.7525/M101</f>
        <v>0.30099999999999999</v>
      </c>
      <c r="N105" s="2896">
        <f>0.7525/N101</f>
        <v>0.30099999999999999</v>
      </c>
    </row>
    <row r="106" spans="1:14">
      <c r="A106" s="3438"/>
      <c r="B106" s="2895">
        <v>5</v>
      </c>
      <c r="C106" s="2896">
        <f>0.8417/C101</f>
        <v>0.33667999999999998</v>
      </c>
      <c r="D106" s="2896">
        <f>0.8417/D101</f>
        <v>0.33667999999999998</v>
      </c>
      <c r="E106" s="2896">
        <f>0.7371/E101</f>
        <v>0.29483999999999999</v>
      </c>
      <c r="F106" s="2896">
        <f>0.7371/F101</f>
        <v>0.29483999999999999</v>
      </c>
      <c r="G106" s="2896">
        <f>0.7371/G101</f>
        <v>0.29483999999999999</v>
      </c>
      <c r="H106" s="2896">
        <f>0.7371/H101</f>
        <v>0.29483999999999999</v>
      </c>
      <c r="I106" s="2896">
        <f>0.7371/I101</f>
        <v>0.29483999999999999</v>
      </c>
      <c r="J106" s="2896">
        <f>0.5659/J101</f>
        <v>0.22635999999999998</v>
      </c>
      <c r="K106" s="2896">
        <f>0.5659/K101</f>
        <v>0.22635999999999998</v>
      </c>
      <c r="L106" s="2896">
        <f>0.5659/L101</f>
        <v>0.22635999999999998</v>
      </c>
      <c r="M106" s="2896">
        <f>0.5659/M101</f>
        <v>0.22635999999999998</v>
      </c>
      <c r="N106" s="2896">
        <f>0.5659/N101</f>
        <v>0.22635999999999998</v>
      </c>
    </row>
    <row r="107" spans="1:14">
      <c r="A107" s="3438"/>
      <c r="B107" s="2895">
        <v>6</v>
      </c>
      <c r="C107" s="2896">
        <f>0.7608/C101</f>
        <v>0.30432000000000003</v>
      </c>
      <c r="D107" s="2896">
        <f>0.7608/D101</f>
        <v>0.30432000000000003</v>
      </c>
      <c r="E107" s="2896">
        <f>0.6482/E101</f>
        <v>0.25928000000000001</v>
      </c>
      <c r="F107" s="2896">
        <f>0.6482/F101</f>
        <v>0.25928000000000001</v>
      </c>
      <c r="G107" s="2896">
        <f>0.6482/G101</f>
        <v>0.25928000000000001</v>
      </c>
      <c r="H107" s="2896">
        <f>0.6482/H101</f>
        <v>0.25928000000000001</v>
      </c>
      <c r="I107" s="2896">
        <f>0.6482/I101</f>
        <v>0.25928000000000001</v>
      </c>
      <c r="J107" s="2896">
        <f>0.4525/J101</f>
        <v>0.18099999999999999</v>
      </c>
      <c r="K107" s="2896">
        <f>0.4525/K101</f>
        <v>0.18099999999999999</v>
      </c>
      <c r="L107" s="2896">
        <f>0.4525/L101</f>
        <v>0.18099999999999999</v>
      </c>
      <c r="M107" s="2896">
        <f>0.4525/M101</f>
        <v>0.18099999999999999</v>
      </c>
      <c r="N107" s="2896">
        <f>0.4525/N101</f>
        <v>0.18099999999999999</v>
      </c>
    </row>
    <row r="108" spans="1:14">
      <c r="A108" s="3438"/>
      <c r="B108" s="3282"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439"/>
      <c r="B109" s="3283"/>
      <c r="C109" s="2898">
        <f>(-0.163*(C108^2)-0.59*C108+7617)*(10^(-4))/C101</f>
        <v>0.30468000000000001</v>
      </c>
      <c r="D109" s="2898">
        <f>(-0.163*(D108^2)-0.59*D108+7617)*(10^(-4))/D101</f>
        <v>0.30468000000000001</v>
      </c>
      <c r="E109" s="2898">
        <f>(-0.161*(E108^2)-7.509*E108+6533)*(10^(-4))/E101</f>
        <v>0.26132</v>
      </c>
      <c r="F109" s="2898">
        <f>(-0.161*(F108^2)-7.509*F108+6533)*(10^(-4))/F101</f>
        <v>0.26132</v>
      </c>
      <c r="G109" s="2898">
        <f>(-0.161*(G108^2)-7.509*G108+6533)*(10^(-4))/G101</f>
        <v>0.26132</v>
      </c>
      <c r="H109" s="2898">
        <f>(-0.161*(H108^2)-7.509*H108+6533)*(10^(-4))/H101</f>
        <v>0.26132</v>
      </c>
      <c r="I109" s="2898">
        <f>(-0.161*(I108^2)-7.509*I108+6533)*(10^(-4))/I101</f>
        <v>0.26132</v>
      </c>
      <c r="J109" s="2898">
        <f>(-0.214*(J108^2)-21.991*J108+4665)*(10^(-4))/J101</f>
        <v>0.18660000000000002</v>
      </c>
      <c r="K109" s="2898">
        <f>(-0.214*(K108^2)-21.991*K108+4665)*(10^(-4))/K101</f>
        <v>0.18660000000000002</v>
      </c>
      <c r="L109" s="2898">
        <f>(-0.214*(L108^2)-21.991*L108+4665)*(10^(-4))/L101</f>
        <v>0.18660000000000002</v>
      </c>
      <c r="M109" s="2898">
        <f>(-0.214*(M108^2)-21.991*M108+4665)*(10^(-4))/M101</f>
        <v>0.18660000000000002</v>
      </c>
      <c r="N109" s="2898">
        <f>(-0.214*(N108^2)-21.991*N108+4665)*(10^(-4))/N101</f>
        <v>0.18660000000000002</v>
      </c>
    </row>
    <row r="110" spans="1:14">
      <c r="A110" s="3435" t="s">
        <v>2981</v>
      </c>
      <c r="B110" s="3435"/>
      <c r="C110" s="3435"/>
      <c r="D110" s="3435"/>
      <c r="E110" s="3435"/>
      <c r="F110" s="3435"/>
      <c r="G110" s="3435"/>
      <c r="H110" s="3435"/>
      <c r="I110" s="3435"/>
      <c r="J110" s="3435"/>
      <c r="K110" s="2901"/>
      <c r="L110" s="2901"/>
      <c r="M110" s="2901"/>
      <c r="N110" s="2901"/>
    </row>
    <row r="112" spans="1:14" ht="13.5" thickBot="1"/>
    <row r="113" spans="1:13" ht="25.5" thickBot="1">
      <c r="A113" s="898" t="s">
        <v>2982</v>
      </c>
      <c r="B113" s="1285">
        <f>G3</f>
        <v>2.5</v>
      </c>
      <c r="C113" s="899" t="s">
        <v>2983</v>
      </c>
      <c r="D113" s="900">
        <f>SUMPRODUCT((A115:A118=F113)*(B114:M114=H113)*B115:M118)</f>
        <v>0</v>
      </c>
      <c r="E113" s="2724" t="s">
        <v>2813</v>
      </c>
      <c r="F113" s="2903">
        <f>E2</f>
        <v>0</v>
      </c>
      <c r="G113" s="2724" t="s">
        <v>2814</v>
      </c>
      <c r="H113" s="2903">
        <f>G2</f>
        <v>0</v>
      </c>
      <c r="I113" s="2724"/>
      <c r="J113" s="2904"/>
      <c r="K113" s="2904"/>
      <c r="L113" s="2904"/>
      <c r="M113" s="2904"/>
    </row>
    <row r="114" spans="1:13">
      <c r="A114" s="903"/>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4" t="s">
        <v>2878</v>
      </c>
      <c r="B115" s="905">
        <f>ROUND(0.9335-0.0094*B113,4)</f>
        <v>0.91</v>
      </c>
      <c r="C115" s="905">
        <f>B115</f>
        <v>0.91</v>
      </c>
      <c r="D115" s="905">
        <f>ROUND(0.8331-0.0109*B113,4)</f>
        <v>0.80589999999999995</v>
      </c>
      <c r="E115" s="905">
        <f>D115</f>
        <v>0.80589999999999995</v>
      </c>
      <c r="F115" s="905">
        <f>E115</f>
        <v>0.80589999999999995</v>
      </c>
      <c r="G115" s="905">
        <f>F115</f>
        <v>0.80589999999999995</v>
      </c>
      <c r="H115" s="905">
        <f>G115</f>
        <v>0.80589999999999995</v>
      </c>
      <c r="I115" s="905">
        <f>ROUND(0.689-0.0155*B113,4)</f>
        <v>0.65029999999999999</v>
      </c>
      <c r="J115" s="905">
        <f t="shared" ref="J115:M118" si="33">I115</f>
        <v>0.65029999999999999</v>
      </c>
      <c r="K115" s="905">
        <f t="shared" si="33"/>
        <v>0.65029999999999999</v>
      </c>
      <c r="L115" s="905">
        <f t="shared" si="33"/>
        <v>0.65029999999999999</v>
      </c>
      <c r="M115" s="906">
        <f t="shared" si="33"/>
        <v>0.65029999999999999</v>
      </c>
    </row>
    <row r="116" spans="1:13">
      <c r="A116" s="904" t="s">
        <v>2879</v>
      </c>
      <c r="B116" s="905">
        <f>ROUND(0.949-0.012*B113,4)</f>
        <v>0.91900000000000004</v>
      </c>
      <c r="C116" s="905">
        <f>B116</f>
        <v>0.91900000000000004</v>
      </c>
      <c r="D116" s="905">
        <f>ROUND(0.8567-0.013*B113,4)</f>
        <v>0.82420000000000004</v>
      </c>
      <c r="E116" s="905">
        <f t="shared" ref="E116:H117" si="34">D116</f>
        <v>0.82420000000000004</v>
      </c>
      <c r="F116" s="905">
        <f t="shared" si="34"/>
        <v>0.82420000000000004</v>
      </c>
      <c r="G116" s="905">
        <f t="shared" si="34"/>
        <v>0.82420000000000004</v>
      </c>
      <c r="H116" s="905">
        <f t="shared" si="34"/>
        <v>0.82420000000000004</v>
      </c>
      <c r="I116" s="905">
        <f>ROUND(0.7694-0.014*B113,4)</f>
        <v>0.73440000000000005</v>
      </c>
      <c r="J116" s="905">
        <f t="shared" si="33"/>
        <v>0.73440000000000005</v>
      </c>
      <c r="K116" s="905">
        <f t="shared" si="33"/>
        <v>0.73440000000000005</v>
      </c>
      <c r="L116" s="905">
        <f t="shared" si="33"/>
        <v>0.73440000000000005</v>
      </c>
      <c r="M116" s="906">
        <f t="shared" si="33"/>
        <v>0.73440000000000005</v>
      </c>
    </row>
    <row r="117" spans="1:13">
      <c r="A117" s="904" t="s">
        <v>2880</v>
      </c>
      <c r="B117" s="905">
        <f>ROUND(0.8808-0.006*B113,4)</f>
        <v>0.86580000000000001</v>
      </c>
      <c r="C117" s="905">
        <f>B117</f>
        <v>0.86580000000000001</v>
      </c>
      <c r="D117" s="905">
        <f>ROUND(0.8748-0.008*B113,4)</f>
        <v>0.8548</v>
      </c>
      <c r="E117" s="905">
        <f t="shared" si="34"/>
        <v>0.8548</v>
      </c>
      <c r="F117" s="905">
        <f t="shared" si="34"/>
        <v>0.8548</v>
      </c>
      <c r="G117" s="905">
        <f t="shared" si="34"/>
        <v>0.8548</v>
      </c>
      <c r="H117" s="905">
        <f t="shared" si="34"/>
        <v>0.8548</v>
      </c>
      <c r="I117" s="905">
        <f>ROUND(0.7412-0.0095*B113,4)</f>
        <v>0.71750000000000003</v>
      </c>
      <c r="J117" s="905">
        <f t="shared" si="33"/>
        <v>0.71750000000000003</v>
      </c>
      <c r="K117" s="905">
        <f t="shared" si="33"/>
        <v>0.71750000000000003</v>
      </c>
      <c r="L117" s="905">
        <f t="shared" si="33"/>
        <v>0.71750000000000003</v>
      </c>
      <c r="M117" s="906">
        <f t="shared" si="33"/>
        <v>0.71750000000000003</v>
      </c>
    </row>
    <row r="118" spans="1:13" ht="13.5" thickBot="1">
      <c r="A118" s="709" t="s">
        <v>2881</v>
      </c>
      <c r="B118" s="907">
        <f>ROUND(0.7275-0.01*B113,4)</f>
        <v>0.70250000000000001</v>
      </c>
      <c r="C118" s="907">
        <f>B118</f>
        <v>0.70250000000000001</v>
      </c>
      <c r="D118" s="907">
        <f>ROUND(0.7043-0.012*B113,4)</f>
        <v>0.67430000000000001</v>
      </c>
      <c r="E118" s="907">
        <f>D118</f>
        <v>0.67430000000000001</v>
      </c>
      <c r="F118" s="907">
        <f>E118</f>
        <v>0.67430000000000001</v>
      </c>
      <c r="G118" s="907">
        <f>ROUND(0.6299-0.0122*B113,4)</f>
        <v>0.59940000000000004</v>
      </c>
      <c r="H118" s="907">
        <f>G118</f>
        <v>0.59940000000000004</v>
      </c>
      <c r="I118" s="907">
        <f>ROUND(0.5667-0.0136*B113,4)</f>
        <v>0.53269999999999995</v>
      </c>
      <c r="J118" s="907">
        <f t="shared" si="33"/>
        <v>0.53269999999999995</v>
      </c>
      <c r="K118" s="907">
        <f t="shared" si="33"/>
        <v>0.53269999999999995</v>
      </c>
      <c r="L118" s="907">
        <f t="shared" si="33"/>
        <v>0.53269999999999995</v>
      </c>
      <c r="M118" s="90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443" t="s">
        <v>183</v>
      </c>
      <c r="B18" s="877" t="s">
        <v>560</v>
      </c>
      <c r="C18" s="878" t="s">
        <v>561</v>
      </c>
      <c r="D18" s="879"/>
      <c r="E18" s="877">
        <v>1</v>
      </c>
      <c r="F18" s="880" t="s">
        <v>562</v>
      </c>
      <c r="G18" s="881"/>
      <c r="H18" s="873"/>
      <c r="I18" s="873"/>
    </row>
    <row r="19" spans="1:9" s="882" customFormat="1" ht="19.5" customHeight="1">
      <c r="A19" s="3443"/>
      <c r="B19" s="3443" t="s">
        <v>563</v>
      </c>
      <c r="C19" s="878" t="s">
        <v>564</v>
      </c>
      <c r="D19" s="879"/>
      <c r="E19" s="877">
        <v>0.9</v>
      </c>
      <c r="F19" s="880" t="s">
        <v>565</v>
      </c>
      <c r="G19" s="881"/>
      <c r="H19" s="873"/>
      <c r="I19" s="873"/>
    </row>
    <row r="20" spans="1:9" s="882" customFormat="1" ht="19.5" customHeight="1">
      <c r="A20" s="3443"/>
      <c r="B20" s="3443"/>
      <c r="C20" s="878" t="s">
        <v>566</v>
      </c>
      <c r="D20" s="879"/>
      <c r="E20" s="877">
        <v>1.1000000000000001</v>
      </c>
      <c r="F20" s="880" t="s">
        <v>567</v>
      </c>
      <c r="G20" s="881"/>
      <c r="H20" s="873"/>
      <c r="I20" s="873"/>
    </row>
    <row r="21" spans="1:9" s="882" customFormat="1" ht="19.5" customHeight="1">
      <c r="A21" s="3443"/>
      <c r="B21" s="3443"/>
      <c r="C21" s="878" t="s">
        <v>568</v>
      </c>
      <c r="D21" s="879"/>
      <c r="E21" s="877">
        <v>0.8</v>
      </c>
      <c r="F21" s="880" t="s">
        <v>569</v>
      </c>
      <c r="G21" s="881"/>
      <c r="H21" s="873"/>
      <c r="I21" s="873"/>
    </row>
    <row r="22" spans="1:9" s="882" customFormat="1" ht="19.5" customHeight="1">
      <c r="A22" s="3443"/>
      <c r="B22" s="3443"/>
      <c r="C22" s="878" t="s">
        <v>570</v>
      </c>
      <c r="D22" s="879"/>
      <c r="E22" s="877">
        <v>0.5</v>
      </c>
      <c r="F22" s="880"/>
      <c r="G22" s="881"/>
      <c r="H22" s="873"/>
      <c r="I22" s="873"/>
    </row>
    <row r="23" spans="1:9" s="882" customFormat="1" ht="19.5" customHeight="1">
      <c r="A23" s="3443" t="s">
        <v>184</v>
      </c>
      <c r="B23" s="877" t="s">
        <v>560</v>
      </c>
      <c r="C23" s="878" t="s">
        <v>571</v>
      </c>
      <c r="D23" s="879"/>
      <c r="E23" s="877">
        <v>1</v>
      </c>
      <c r="F23" s="880" t="s">
        <v>572</v>
      </c>
      <c r="G23" s="881"/>
      <c r="H23" s="873"/>
      <c r="I23" s="873"/>
    </row>
    <row r="24" spans="1:9" s="882" customFormat="1" ht="19.5" customHeight="1">
      <c r="A24" s="3443"/>
      <c r="B24" s="3443" t="s">
        <v>563</v>
      </c>
      <c r="C24" s="878" t="s">
        <v>573</v>
      </c>
      <c r="D24" s="879"/>
      <c r="E24" s="877">
        <v>0.5</v>
      </c>
      <c r="F24" s="880"/>
      <c r="G24" s="881"/>
      <c r="H24" s="873"/>
      <c r="I24" s="873"/>
    </row>
    <row r="25" spans="1:9" s="882" customFormat="1" ht="19.5" customHeight="1">
      <c r="A25" s="3443"/>
      <c r="B25" s="3443"/>
      <c r="C25" s="878" t="s">
        <v>574</v>
      </c>
      <c r="D25" s="879"/>
      <c r="E25" s="877">
        <v>1.1000000000000001</v>
      </c>
      <c r="F25" s="880"/>
      <c r="G25" s="881"/>
      <c r="H25" s="873"/>
      <c r="I25" s="873"/>
    </row>
    <row r="26" spans="1:9" s="882" customFormat="1" ht="19.5" customHeight="1">
      <c r="A26" s="3443"/>
      <c r="B26" s="3443"/>
      <c r="C26" s="878" t="s">
        <v>575</v>
      </c>
      <c r="D26" s="879"/>
      <c r="E26" s="877">
        <v>1.1000000000000001</v>
      </c>
      <c r="F26" s="880"/>
      <c r="G26" s="881"/>
      <c r="H26" s="873"/>
      <c r="I26" s="873"/>
    </row>
    <row r="27" spans="1:9" s="882" customFormat="1" ht="19.5" customHeight="1">
      <c r="A27" s="3443"/>
      <c r="B27" s="3443"/>
      <c r="C27" s="878" t="s">
        <v>576</v>
      </c>
      <c r="D27" s="879"/>
      <c r="E27" s="877">
        <v>0.9</v>
      </c>
      <c r="F27" s="880" t="s">
        <v>577</v>
      </c>
      <c r="G27" s="881"/>
      <c r="H27" s="873"/>
      <c r="I27" s="873"/>
    </row>
    <row r="28" spans="1:9" s="882" customFormat="1" ht="19.5" customHeight="1">
      <c r="A28" s="3443"/>
      <c r="B28" s="3443"/>
      <c r="C28" s="878" t="s">
        <v>578</v>
      </c>
      <c r="D28" s="879"/>
      <c r="E28" s="877">
        <v>0.9</v>
      </c>
      <c r="F28" s="880" t="s">
        <v>579</v>
      </c>
      <c r="G28" s="881"/>
      <c r="H28" s="873"/>
      <c r="I28" s="873"/>
    </row>
    <row r="29" spans="1:9" s="882" customFormat="1" ht="19.5" customHeight="1">
      <c r="A29" s="3443"/>
      <c r="B29" s="3443"/>
      <c r="C29" s="878" t="s">
        <v>580</v>
      </c>
      <c r="D29" s="879"/>
      <c r="E29" s="877">
        <v>0.9</v>
      </c>
      <c r="F29" s="880" t="s">
        <v>581</v>
      </c>
      <c r="G29" s="881"/>
      <c r="H29" s="873"/>
      <c r="I29" s="873"/>
    </row>
    <row r="30" spans="1:9" s="882" customFormat="1" ht="19.5" customHeight="1">
      <c r="A30" s="3443"/>
      <c r="B30" s="3443"/>
      <c r="C30" s="878" t="s">
        <v>582</v>
      </c>
      <c r="D30" s="879"/>
      <c r="E30" s="877">
        <v>0.9</v>
      </c>
      <c r="F30" s="880" t="s">
        <v>583</v>
      </c>
      <c r="G30" s="881"/>
      <c r="H30" s="873"/>
      <c r="I30" s="873"/>
    </row>
    <row r="31" spans="1:9" s="882" customFormat="1" ht="19.5" customHeight="1">
      <c r="A31" s="3443"/>
      <c r="B31" s="3443"/>
      <c r="C31" s="878" t="s">
        <v>584</v>
      </c>
      <c r="D31" s="879"/>
      <c r="E31" s="877">
        <v>0.8</v>
      </c>
      <c r="F31" s="880" t="s">
        <v>585</v>
      </c>
      <c r="G31" s="881"/>
      <c r="H31" s="873"/>
      <c r="I31" s="873"/>
    </row>
    <row r="32" spans="1:9" s="882" customFormat="1" ht="19.5" customHeight="1">
      <c r="A32" s="3443"/>
      <c r="B32" s="3443"/>
      <c r="C32" s="878" t="s">
        <v>586</v>
      </c>
      <c r="D32" s="879"/>
      <c r="E32" s="877">
        <v>0.8</v>
      </c>
      <c r="F32" s="880" t="s">
        <v>587</v>
      </c>
      <c r="G32" s="881"/>
      <c r="H32" s="873"/>
      <c r="I32" s="873"/>
    </row>
    <row r="33" spans="1:9" s="882" customFormat="1" ht="19.5" customHeight="1">
      <c r="A33" s="3443" t="s">
        <v>185</v>
      </c>
      <c r="B33" s="877" t="s">
        <v>560</v>
      </c>
      <c r="C33" s="878" t="s">
        <v>588</v>
      </c>
      <c r="D33" s="879"/>
      <c r="E33" s="877">
        <v>1</v>
      </c>
      <c r="F33" s="880" t="s">
        <v>589</v>
      </c>
      <c r="G33" s="881"/>
      <c r="H33" s="873"/>
      <c r="I33" s="873"/>
    </row>
    <row r="34" spans="1:9" s="882" customFormat="1" ht="19.5" customHeight="1">
      <c r="A34" s="3443"/>
      <c r="B34" s="877" t="s">
        <v>563</v>
      </c>
      <c r="C34" s="878" t="s">
        <v>590</v>
      </c>
      <c r="D34" s="879"/>
      <c r="E34" s="877">
        <v>1.5</v>
      </c>
      <c r="F34" s="880" t="s">
        <v>591</v>
      </c>
      <c r="G34" s="881"/>
      <c r="H34" s="873"/>
      <c r="I34" s="873"/>
    </row>
    <row r="35" spans="1:9" s="882" customFormat="1" ht="19.5" customHeight="1">
      <c r="A35" s="3443" t="s">
        <v>186</v>
      </c>
      <c r="B35" s="877" t="s">
        <v>560</v>
      </c>
      <c r="C35" s="878" t="s">
        <v>592</v>
      </c>
      <c r="D35" s="879"/>
      <c r="E35" s="877">
        <v>1</v>
      </c>
      <c r="F35" s="880" t="s">
        <v>593</v>
      </c>
      <c r="G35" s="881"/>
      <c r="H35" s="873"/>
      <c r="I35" s="873"/>
    </row>
    <row r="36" spans="1:9" s="882" customFormat="1" ht="19.5" customHeight="1">
      <c r="A36" s="3443"/>
      <c r="B36" s="3443" t="s">
        <v>563</v>
      </c>
      <c r="C36" s="878" t="s">
        <v>594</v>
      </c>
      <c r="D36" s="879"/>
      <c r="E36" s="877">
        <v>1</v>
      </c>
      <c r="F36" s="880" t="s">
        <v>595</v>
      </c>
      <c r="G36" s="881"/>
      <c r="H36" s="873"/>
      <c r="I36" s="873"/>
    </row>
    <row r="37" spans="1:9" s="882" customFormat="1" ht="19.5" customHeight="1">
      <c r="A37" s="3443"/>
      <c r="B37" s="3443"/>
      <c r="C37" s="878" t="s">
        <v>596</v>
      </c>
      <c r="D37" s="879"/>
      <c r="E37" s="877">
        <v>1.5</v>
      </c>
      <c r="F37" s="880" t="s">
        <v>597</v>
      </c>
      <c r="G37" s="881"/>
      <c r="H37" s="873"/>
      <c r="I37" s="873"/>
    </row>
    <row r="38" spans="1:9" s="882" customFormat="1" ht="19.5" customHeight="1">
      <c r="A38" s="3443"/>
      <c r="B38" s="3443"/>
      <c r="C38" s="878" t="s">
        <v>598</v>
      </c>
      <c r="D38" s="879"/>
      <c r="E38" s="877">
        <v>1</v>
      </c>
      <c r="F38" s="880" t="s">
        <v>599</v>
      </c>
      <c r="G38" s="881"/>
      <c r="H38" s="873"/>
      <c r="I38" s="873"/>
    </row>
    <row r="39" spans="1:9" s="882" customFormat="1" ht="19.5" customHeight="1">
      <c r="A39" s="3443"/>
      <c r="B39" s="3443"/>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443" t="s">
        <v>614</v>
      </c>
      <c r="C61" s="813" t="s">
        <v>615</v>
      </c>
      <c r="D61" s="813" t="s">
        <v>616</v>
      </c>
      <c r="E61" s="890">
        <v>0.5</v>
      </c>
      <c r="F61" s="877">
        <v>80</v>
      </c>
    </row>
    <row r="62" spans="1:8" s="873" customFormat="1" ht="24">
      <c r="A62" s="877">
        <v>2</v>
      </c>
      <c r="B62" s="3443"/>
      <c r="C62" s="813" t="s">
        <v>617</v>
      </c>
      <c r="D62" s="813" t="s">
        <v>618</v>
      </c>
      <c r="E62" s="890">
        <v>0.5</v>
      </c>
      <c r="F62" s="877">
        <v>80</v>
      </c>
    </row>
    <row r="63" spans="1:8" s="873" customFormat="1" ht="36">
      <c r="A63" s="877">
        <v>3</v>
      </c>
      <c r="B63" s="3443"/>
      <c r="C63" s="813" t="s">
        <v>619</v>
      </c>
      <c r="D63" s="813" t="s">
        <v>620</v>
      </c>
      <c r="E63" s="890">
        <v>0.5</v>
      </c>
      <c r="F63" s="877">
        <v>80</v>
      </c>
    </row>
    <row r="64" spans="1:8" s="873" customFormat="1" ht="36">
      <c r="A64" s="877">
        <v>4</v>
      </c>
      <c r="B64" s="3443"/>
      <c r="C64" s="813" t="s">
        <v>621</v>
      </c>
      <c r="D64" s="813" t="s">
        <v>622</v>
      </c>
      <c r="E64" s="890">
        <v>0.4</v>
      </c>
      <c r="F64" s="877">
        <v>60</v>
      </c>
    </row>
    <row r="65" spans="1:6" s="873" customFormat="1" ht="36">
      <c r="A65" s="877">
        <v>5</v>
      </c>
      <c r="B65" s="3443"/>
      <c r="C65" s="813" t="s">
        <v>623</v>
      </c>
      <c r="D65" s="813" t="s">
        <v>624</v>
      </c>
      <c r="E65" s="890">
        <v>0.2</v>
      </c>
      <c r="F65" s="877">
        <v>30</v>
      </c>
    </row>
    <row r="66" spans="1:6" s="873" customFormat="1" ht="36">
      <c r="A66" s="877">
        <v>6</v>
      </c>
      <c r="B66" s="3443"/>
      <c r="C66" s="813" t="s">
        <v>625</v>
      </c>
      <c r="D66" s="813" t="s">
        <v>626</v>
      </c>
      <c r="E66" s="890">
        <v>0.3</v>
      </c>
      <c r="F66" s="877">
        <v>50</v>
      </c>
    </row>
    <row r="67" spans="1:6" s="873" customFormat="1" ht="36">
      <c r="A67" s="877">
        <v>7</v>
      </c>
      <c r="B67" s="3443"/>
      <c r="C67" s="813" t="s">
        <v>627</v>
      </c>
      <c r="D67" s="813" t="s">
        <v>628</v>
      </c>
      <c r="E67" s="890">
        <v>0.2</v>
      </c>
      <c r="F67" s="877">
        <v>30</v>
      </c>
    </row>
    <row r="68" spans="1:6" s="873" customFormat="1" ht="36">
      <c r="A68" s="877">
        <v>8</v>
      </c>
      <c r="B68" s="3443"/>
      <c r="C68" s="813" t="s">
        <v>629</v>
      </c>
      <c r="D68" s="813" t="s">
        <v>630</v>
      </c>
      <c r="E68" s="890">
        <v>0.2</v>
      </c>
      <c r="F68" s="877">
        <v>30</v>
      </c>
    </row>
    <row r="69" spans="1:6" s="873" customFormat="1" ht="36">
      <c r="A69" s="877">
        <v>9</v>
      </c>
      <c r="B69" s="3443"/>
      <c r="C69" s="813" t="s">
        <v>631</v>
      </c>
      <c r="D69" s="813" t="s">
        <v>632</v>
      </c>
      <c r="E69" s="890">
        <v>0.2</v>
      </c>
      <c r="F69" s="877">
        <v>30</v>
      </c>
    </row>
    <row r="70" spans="1:6" s="873" customFormat="1" ht="48">
      <c r="A70" s="877">
        <v>10</v>
      </c>
      <c r="B70" s="3443"/>
      <c r="C70" s="813" t="s">
        <v>633</v>
      </c>
      <c r="D70" s="813" t="s">
        <v>634</v>
      </c>
      <c r="E70" s="890">
        <v>0.2</v>
      </c>
      <c r="F70" s="877">
        <v>30</v>
      </c>
    </row>
    <row r="71" spans="1:6" s="873" customFormat="1" ht="48">
      <c r="A71" s="877">
        <v>11</v>
      </c>
      <c r="B71" s="3443"/>
      <c r="C71" s="813" t="s">
        <v>635</v>
      </c>
      <c r="D71" s="813" t="s">
        <v>636</v>
      </c>
      <c r="E71" s="890">
        <v>0.2</v>
      </c>
      <c r="F71" s="877">
        <v>30</v>
      </c>
    </row>
    <row r="72" spans="1:6" s="873" customFormat="1" ht="36">
      <c r="A72" s="877">
        <v>12</v>
      </c>
      <c r="B72" s="3443"/>
      <c r="C72" s="813" t="s">
        <v>637</v>
      </c>
      <c r="D72" s="813" t="s">
        <v>638</v>
      </c>
      <c r="E72" s="890">
        <v>0.5</v>
      </c>
      <c r="F72" s="877">
        <v>80</v>
      </c>
    </row>
    <row r="73" spans="1:6" s="873" customFormat="1" ht="24">
      <c r="A73" s="877">
        <v>13</v>
      </c>
      <c r="B73" s="3443"/>
      <c r="C73" s="813" t="s">
        <v>639</v>
      </c>
      <c r="D73" s="813" t="s">
        <v>640</v>
      </c>
      <c r="E73" s="890">
        <v>0.4</v>
      </c>
      <c r="F73" s="877">
        <v>60</v>
      </c>
    </row>
    <row r="74" spans="1:6" s="873" customFormat="1" ht="24">
      <c r="A74" s="877">
        <v>14</v>
      </c>
      <c r="B74" s="3443"/>
      <c r="C74" s="813" t="s">
        <v>641</v>
      </c>
      <c r="D74" s="813" t="s">
        <v>642</v>
      </c>
      <c r="E74" s="890">
        <v>0.2</v>
      </c>
      <c r="F74" s="877">
        <v>30</v>
      </c>
    </row>
    <row r="75" spans="1:6" s="873" customFormat="1" ht="24">
      <c r="A75" s="877">
        <v>15</v>
      </c>
      <c r="B75" s="3443"/>
      <c r="C75" s="813" t="s">
        <v>643</v>
      </c>
      <c r="D75" s="813" t="s">
        <v>644</v>
      </c>
      <c r="E75" s="890">
        <v>0.2</v>
      </c>
      <c r="F75" s="877">
        <v>30</v>
      </c>
    </row>
    <row r="76" spans="1:6" s="873" customFormat="1" ht="24">
      <c r="A76" s="877">
        <v>16</v>
      </c>
      <c r="B76" s="3443" t="s">
        <v>645</v>
      </c>
      <c r="C76" s="813" t="s">
        <v>646</v>
      </c>
      <c r="D76" s="813" t="s">
        <v>647</v>
      </c>
      <c r="E76" s="890">
        <v>0.5</v>
      </c>
      <c r="F76" s="877">
        <v>80</v>
      </c>
    </row>
    <row r="77" spans="1:6" s="873" customFormat="1" ht="24">
      <c r="A77" s="877">
        <v>17</v>
      </c>
      <c r="B77" s="3443"/>
      <c r="C77" s="813" t="s">
        <v>648</v>
      </c>
      <c r="D77" s="813" t="s">
        <v>649</v>
      </c>
      <c r="E77" s="890">
        <v>0.5</v>
      </c>
      <c r="F77" s="877">
        <v>80</v>
      </c>
    </row>
    <row r="78" spans="1:6" s="873" customFormat="1" ht="24">
      <c r="A78" s="877">
        <v>18</v>
      </c>
      <c r="B78" s="3443"/>
      <c r="C78" s="813" t="s">
        <v>650</v>
      </c>
      <c r="D78" s="813" t="s">
        <v>651</v>
      </c>
      <c r="E78" s="890">
        <v>0.2</v>
      </c>
      <c r="F78" s="877">
        <v>30</v>
      </c>
    </row>
    <row r="79" spans="1:6" s="873" customFormat="1" ht="24">
      <c r="A79" s="877">
        <v>19</v>
      </c>
      <c r="B79" s="3443"/>
      <c r="C79" s="813" t="s">
        <v>652</v>
      </c>
      <c r="D79" s="813" t="s">
        <v>653</v>
      </c>
      <c r="E79" s="890">
        <v>0.5</v>
      </c>
      <c r="F79" s="877">
        <v>80</v>
      </c>
    </row>
    <row r="80" spans="1:6" s="873" customFormat="1" ht="36">
      <c r="A80" s="877">
        <v>20</v>
      </c>
      <c r="B80" s="3443"/>
      <c r="C80" s="813" t="s">
        <v>654</v>
      </c>
      <c r="D80" s="813" t="s">
        <v>655</v>
      </c>
      <c r="E80" s="890">
        <v>0.2</v>
      </c>
      <c r="F80" s="877">
        <v>30</v>
      </c>
    </row>
    <row r="81" spans="1:6" s="873" customFormat="1" ht="36">
      <c r="A81" s="877">
        <v>21</v>
      </c>
      <c r="B81" s="3443"/>
      <c r="C81" s="813" t="s">
        <v>656</v>
      </c>
      <c r="D81" s="813" t="s">
        <v>657</v>
      </c>
      <c r="E81" s="890">
        <v>0.2</v>
      </c>
      <c r="F81" s="877">
        <v>30</v>
      </c>
    </row>
    <row r="82" spans="1:6" s="873" customFormat="1" ht="48">
      <c r="A82" s="877">
        <v>22</v>
      </c>
      <c r="B82" s="3443"/>
      <c r="C82" s="813" t="s">
        <v>658</v>
      </c>
      <c r="D82" s="813" t="s">
        <v>659</v>
      </c>
      <c r="E82" s="890">
        <v>0.2</v>
      </c>
      <c r="F82" s="877">
        <v>30</v>
      </c>
    </row>
    <row r="83" spans="1:6" s="873" customFormat="1" ht="48">
      <c r="A83" s="877">
        <v>23</v>
      </c>
      <c r="B83" s="3443"/>
      <c r="C83" s="813" t="s">
        <v>660</v>
      </c>
      <c r="D83" s="813" t="s">
        <v>661</v>
      </c>
      <c r="E83" s="890">
        <v>0.2</v>
      </c>
      <c r="F83" s="877">
        <v>30</v>
      </c>
    </row>
    <row r="84" spans="1:6" s="873" customFormat="1" ht="36">
      <c r="A84" s="877">
        <v>24</v>
      </c>
      <c r="B84" s="3443"/>
      <c r="C84" s="813" t="s">
        <v>662</v>
      </c>
      <c r="D84" s="813" t="s">
        <v>663</v>
      </c>
      <c r="E84" s="890">
        <v>0.2</v>
      </c>
      <c r="F84" s="877">
        <v>30</v>
      </c>
    </row>
    <row r="85" spans="1:6" s="873" customFormat="1" ht="36">
      <c r="A85" s="877">
        <v>25</v>
      </c>
      <c r="B85" s="3443"/>
      <c r="C85" s="813" t="s">
        <v>664</v>
      </c>
      <c r="D85" s="813" t="s">
        <v>665</v>
      </c>
      <c r="E85" s="890">
        <v>0.5</v>
      </c>
      <c r="F85" s="877">
        <v>80</v>
      </c>
    </row>
    <row r="86" spans="1:6" s="873" customFormat="1" ht="36">
      <c r="A86" s="877">
        <v>26</v>
      </c>
      <c r="B86" s="3443"/>
      <c r="C86" s="813" t="s">
        <v>666</v>
      </c>
      <c r="D86" s="813" t="s">
        <v>667</v>
      </c>
      <c r="E86" s="890">
        <v>0.2</v>
      </c>
      <c r="F86" s="877">
        <v>30</v>
      </c>
    </row>
    <row r="87" spans="1:6" s="873" customFormat="1" ht="36">
      <c r="A87" s="877">
        <v>27</v>
      </c>
      <c r="B87" s="3443"/>
      <c r="C87" s="813" t="s">
        <v>668</v>
      </c>
      <c r="D87" s="813" t="s">
        <v>669</v>
      </c>
      <c r="E87" s="890">
        <v>0.2</v>
      </c>
      <c r="F87" s="877">
        <v>30</v>
      </c>
    </row>
    <row r="88" spans="1:6" s="873" customFormat="1" ht="36">
      <c r="A88" s="877">
        <v>28</v>
      </c>
      <c r="B88" s="3443"/>
      <c r="C88" s="813" t="s">
        <v>670</v>
      </c>
      <c r="D88" s="813" t="s">
        <v>671</v>
      </c>
      <c r="E88" s="890">
        <v>0.2</v>
      </c>
      <c r="F88" s="877">
        <v>30</v>
      </c>
    </row>
    <row r="89" spans="1:6" s="873" customFormat="1" ht="24">
      <c r="A89" s="877">
        <v>29</v>
      </c>
      <c r="B89" s="3443"/>
      <c r="C89" s="813" t="s">
        <v>672</v>
      </c>
      <c r="D89" s="813" t="s">
        <v>673</v>
      </c>
      <c r="E89" s="890">
        <v>0.2</v>
      </c>
      <c r="F89" s="877">
        <v>30</v>
      </c>
    </row>
    <row r="90" spans="1:6" s="873" customFormat="1" ht="24">
      <c r="A90" s="877">
        <v>30</v>
      </c>
      <c r="B90" s="3443"/>
      <c r="C90" s="813" t="s">
        <v>674</v>
      </c>
      <c r="D90" s="813" t="s">
        <v>675</v>
      </c>
      <c r="E90" s="890">
        <v>0.2</v>
      </c>
      <c r="F90" s="877">
        <v>30</v>
      </c>
    </row>
    <row r="91" spans="1:6" s="873" customFormat="1" ht="36">
      <c r="A91" s="877">
        <v>31</v>
      </c>
      <c r="B91" s="3443"/>
      <c r="C91" s="813" t="s">
        <v>676</v>
      </c>
      <c r="D91" s="813" t="s">
        <v>677</v>
      </c>
      <c r="E91" s="890">
        <v>0.2</v>
      </c>
      <c r="F91" s="877">
        <v>30</v>
      </c>
    </row>
    <row r="92" spans="1:6" s="873" customFormat="1" ht="24">
      <c r="A92" s="877">
        <v>32</v>
      </c>
      <c r="B92" s="3443" t="s">
        <v>678</v>
      </c>
      <c r="C92" s="877" t="s">
        <v>679</v>
      </c>
      <c r="D92" s="813" t="s">
        <v>680</v>
      </c>
      <c r="E92" s="890">
        <v>0.2</v>
      </c>
      <c r="F92" s="877">
        <v>30</v>
      </c>
    </row>
    <row r="93" spans="1:6" s="873" customFormat="1" ht="36">
      <c r="A93" s="877">
        <v>33</v>
      </c>
      <c r="B93" s="3443"/>
      <c r="C93" s="877" t="s">
        <v>681</v>
      </c>
      <c r="D93" s="813" t="s">
        <v>682</v>
      </c>
      <c r="E93" s="890">
        <v>0.2</v>
      </c>
      <c r="F93" s="877">
        <v>30</v>
      </c>
    </row>
    <row r="94" spans="1:6" s="873" customFormat="1" ht="48">
      <c r="A94" s="877">
        <v>34</v>
      </c>
      <c r="B94" s="3443"/>
      <c r="C94" s="877" t="s">
        <v>683</v>
      </c>
      <c r="D94" s="813" t="s">
        <v>684</v>
      </c>
      <c r="E94" s="890">
        <v>0.2</v>
      </c>
      <c r="F94" s="877">
        <v>30</v>
      </c>
    </row>
    <row r="95" spans="1:6" s="873" customFormat="1" ht="36">
      <c r="A95" s="877">
        <v>35</v>
      </c>
      <c r="B95" s="3443"/>
      <c r="C95" s="877" t="s">
        <v>685</v>
      </c>
      <c r="D95" s="813" t="s">
        <v>686</v>
      </c>
      <c r="E95" s="890">
        <v>0.2</v>
      </c>
      <c r="F95" s="877">
        <v>30</v>
      </c>
    </row>
    <row r="96" spans="1:6" s="873" customFormat="1" ht="48">
      <c r="A96" s="877">
        <v>36</v>
      </c>
      <c r="B96" s="3443"/>
      <c r="C96" s="813" t="s">
        <v>687</v>
      </c>
      <c r="D96" s="813" t="s">
        <v>688</v>
      </c>
      <c r="E96" s="890">
        <v>0.2</v>
      </c>
      <c r="F96" s="877">
        <v>30</v>
      </c>
    </row>
    <row r="97" spans="1:6" s="873" customFormat="1" ht="36">
      <c r="A97" s="877">
        <v>37</v>
      </c>
      <c r="B97" s="3443"/>
      <c r="C97" s="877" t="s">
        <v>689</v>
      </c>
      <c r="D97" s="813" t="s">
        <v>690</v>
      </c>
      <c r="E97" s="890">
        <v>0.2</v>
      </c>
      <c r="F97" s="877">
        <v>30</v>
      </c>
    </row>
    <row r="98" spans="1:6" s="873" customFormat="1" ht="36">
      <c r="A98" s="877">
        <v>38</v>
      </c>
      <c r="B98" s="3443"/>
      <c r="C98" s="877" t="s">
        <v>691</v>
      </c>
      <c r="D98" s="813" t="s">
        <v>692</v>
      </c>
      <c r="E98" s="890">
        <v>0.2</v>
      </c>
      <c r="F98" s="877">
        <v>30</v>
      </c>
    </row>
    <row r="99" spans="1:6" s="873" customFormat="1" ht="36">
      <c r="A99" s="877">
        <v>39</v>
      </c>
      <c r="B99" s="3443" t="s">
        <v>693</v>
      </c>
      <c r="C99" s="877" t="s">
        <v>694</v>
      </c>
      <c r="D99" s="813" t="s">
        <v>695</v>
      </c>
      <c r="E99" s="890">
        <v>0.3</v>
      </c>
      <c r="F99" s="877">
        <v>50</v>
      </c>
    </row>
    <row r="100" spans="1:6" s="873" customFormat="1" ht="24">
      <c r="A100" s="877">
        <v>40</v>
      </c>
      <c r="B100" s="3443"/>
      <c r="C100" s="877" t="s">
        <v>696</v>
      </c>
      <c r="D100" s="813" t="s">
        <v>697</v>
      </c>
      <c r="E100" s="890">
        <v>0.2</v>
      </c>
      <c r="F100" s="877">
        <v>30</v>
      </c>
    </row>
    <row r="101" spans="1:6" s="873" customFormat="1" ht="36">
      <c r="A101" s="877">
        <v>41</v>
      </c>
      <c r="B101" s="3443"/>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443" t="s">
        <v>708</v>
      </c>
      <c r="C105" s="877" t="s">
        <v>709</v>
      </c>
      <c r="D105" s="813" t="s">
        <v>710</v>
      </c>
      <c r="E105" s="890">
        <v>0.2</v>
      </c>
      <c r="F105" s="877">
        <v>30</v>
      </c>
    </row>
    <row r="106" spans="1:6" s="873" customFormat="1" ht="36">
      <c r="A106" s="877">
        <v>46</v>
      </c>
      <c r="B106" s="3443"/>
      <c r="C106" s="877" t="s">
        <v>711</v>
      </c>
      <c r="D106" s="813" t="s">
        <v>712</v>
      </c>
      <c r="E106" s="890">
        <v>0.2</v>
      </c>
      <c r="F106" s="877">
        <v>30</v>
      </c>
    </row>
    <row r="107" spans="1:6" s="873" customFormat="1" ht="36">
      <c r="A107" s="877">
        <v>47</v>
      </c>
      <c r="B107" s="3443" t="s">
        <v>713</v>
      </c>
      <c r="C107" s="877" t="s">
        <v>714</v>
      </c>
      <c r="D107" s="813" t="s">
        <v>715</v>
      </c>
      <c r="E107" s="890">
        <v>0.3</v>
      </c>
      <c r="F107" s="877">
        <v>50</v>
      </c>
    </row>
    <row r="108" spans="1:6" s="873" customFormat="1" ht="36">
      <c r="A108" s="877">
        <v>48</v>
      </c>
      <c r="B108" s="3443"/>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443" t="s">
        <v>724</v>
      </c>
      <c r="C111" s="877" t="s">
        <v>725</v>
      </c>
      <c r="D111" s="813" t="s">
        <v>726</v>
      </c>
      <c r="E111" s="890">
        <v>0.2</v>
      </c>
      <c r="F111" s="877">
        <v>30</v>
      </c>
    </row>
    <row r="112" spans="1:6" s="873" customFormat="1" ht="24">
      <c r="A112" s="877">
        <v>52</v>
      </c>
      <c r="B112" s="3443"/>
      <c r="C112" s="877" t="s">
        <v>727</v>
      </c>
      <c r="D112" s="813" t="s">
        <v>728</v>
      </c>
      <c r="E112" s="890">
        <v>0.2</v>
      </c>
      <c r="F112" s="877">
        <v>30</v>
      </c>
    </row>
    <row r="113" spans="1:6" s="873" customFormat="1" ht="24">
      <c r="A113" s="877">
        <v>53</v>
      </c>
      <c r="B113" s="3443"/>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443" t="s">
        <v>737</v>
      </c>
      <c r="C116" s="877" t="s">
        <v>738</v>
      </c>
      <c r="D116" s="813" t="s">
        <v>739</v>
      </c>
      <c r="E116" s="890">
        <v>0.2</v>
      </c>
      <c r="F116" s="877">
        <v>30</v>
      </c>
    </row>
    <row r="117" spans="1:6" ht="36">
      <c r="A117" s="877">
        <v>57</v>
      </c>
      <c r="B117" s="3443"/>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3004</v>
      </c>
    </row>
    <row r="2" spans="1:5" ht="15.75">
      <c r="A2" s="2910" t="s">
        <v>2996</v>
      </c>
      <c r="B2" s="2911" t="e">
        <f ca="1">SUMIF(B6:B13,"&lt;&gt;#ref!",B6:B13)</f>
        <v>#DIV/0!</v>
      </c>
      <c r="C2" s="2910" t="s">
        <v>2997</v>
      </c>
      <c r="D2" s="2910" t="s">
        <v>2998</v>
      </c>
      <c r="E2" s="2911">
        <f ca="1">SUMIF(E6:E13,"&lt;&gt;#ref!",E6:E13)</f>
        <v>0</v>
      </c>
    </row>
    <row r="3" spans="1:5" ht="15.75">
      <c r="A3" s="2910" t="s">
        <v>2999</v>
      </c>
      <c r="B3" s="2911" t="e">
        <f ca="1">ROUND(B2*10000/E2,0)</f>
        <v>#DIV/0!</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t="e">
        <f ca="1">SUMIF(INDIRECT("'"&amp;A6&amp;"'"&amp;"!A:A"),"总价",INDIRECT("'"&amp;A6&amp;"'"&amp;"!B:B"))</f>
        <v>#DIV/0!</v>
      </c>
      <c r="C6" s="2910" t="s">
        <v>2997</v>
      </c>
      <c r="D6" s="2912"/>
      <c r="E6" s="2575">
        <f ca="1">SUMIF(INDIRECT("'"&amp;A6&amp;"'"&amp;"!C:C"),"建筑面积",INDIRECT("'"&amp;A6&amp;"'"&amp;"!D:D"))</f>
        <v>0</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N10" sqref="N10"/>
    </sheetView>
  </sheetViews>
  <sheetFormatPr defaultRowHeight="14.25"/>
  <cols>
    <col min="1" max="1" width="14.375" style="400" customWidth="1"/>
    <col min="2" max="2" width="15.75" style="400" customWidth="1"/>
    <col min="3" max="3" width="17.625" style="400" customWidth="1"/>
    <col min="4" max="4" width="14.125" style="400" customWidth="1"/>
    <col min="5" max="5" width="16"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2746</v>
      </c>
      <c r="B1" s="392"/>
      <c r="C1" s="393" t="s">
        <v>2747</v>
      </c>
      <c r="D1" s="750"/>
      <c r="E1" s="750"/>
      <c r="F1" s="749" t="s">
        <v>2534</v>
      </c>
      <c r="G1" s="750"/>
      <c r="H1" s="750"/>
      <c r="I1" s="750"/>
      <c r="J1" s="750"/>
      <c r="K1" s="751"/>
      <c r="L1" s="752"/>
      <c r="M1" s="753"/>
      <c r="N1" s="753"/>
      <c r="O1" s="753"/>
      <c r="P1" s="763"/>
      <c r="Q1" s="763"/>
      <c r="R1" s="763"/>
      <c r="S1" s="763"/>
      <c r="T1" s="763"/>
      <c r="U1" s="763"/>
      <c r="V1" s="763"/>
      <c r="W1" s="763"/>
      <c r="X1" s="763"/>
      <c r="Y1" s="763"/>
      <c r="Z1" s="763"/>
      <c r="AA1" s="763"/>
      <c r="AB1" s="763"/>
      <c r="AC1" s="764"/>
      <c r="AD1" s="394"/>
    </row>
    <row r="2" spans="1:30" s="395" customFormat="1" ht="28.5" customHeight="1">
      <c r="A2" s="242" t="s">
        <v>1394</v>
      </c>
      <c r="B2" s="666">
        <f>F66</f>
        <v>2</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4"/>
    </row>
    <row r="3" spans="1:30" s="395" customFormat="1" ht="28.5" customHeight="1" thickBot="1">
      <c r="A3" s="244" t="s">
        <v>1395</v>
      </c>
      <c r="B3" s="604">
        <f>ROUND(IF(D3="",B2*10000/'数据-汇总表'!E3,B2*10000/D3),0)</f>
        <v>20000</v>
      </c>
      <c r="C3" s="244" t="s">
        <v>2748</v>
      </c>
      <c r="D3" s="1580">
        <v>1</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8" customHeight="1">
      <c r="A4" s="2995" t="s">
        <v>2537</v>
      </c>
      <c r="B4" s="2996"/>
      <c r="C4" s="3409" t="s">
        <v>2538</v>
      </c>
      <c r="D4" s="3410"/>
      <c r="E4" s="3411" t="s">
        <v>2539</v>
      </c>
      <c r="F4" s="3412"/>
      <c r="G4" s="3409" t="s">
        <v>2540</v>
      </c>
      <c r="H4" s="3410"/>
      <c r="I4" s="3409" t="s">
        <v>2541</v>
      </c>
      <c r="J4" s="3410"/>
      <c r="K4" s="605" t="s">
        <v>2542</v>
      </c>
      <c r="L4" s="1128"/>
      <c r="M4" s="1129"/>
      <c r="N4" s="1129"/>
      <c r="O4" s="1129"/>
      <c r="P4" s="3334" t="s">
        <v>2543</v>
      </c>
      <c r="Q4" s="3335"/>
      <c r="R4" s="3340" t="s">
        <v>2539</v>
      </c>
      <c r="S4" s="3341"/>
      <c r="T4" s="3340" t="s">
        <v>2540</v>
      </c>
      <c r="U4" s="3341"/>
      <c r="V4" s="3346" t="s">
        <v>2541</v>
      </c>
      <c r="W4" s="3346"/>
      <c r="X4" s="3034"/>
      <c r="Y4" s="3340" t="s">
        <v>2543</v>
      </c>
      <c r="Z4" s="3341"/>
      <c r="AA4" s="3327" t="s">
        <v>2539</v>
      </c>
      <c r="AB4" s="3328" t="s">
        <v>2540</v>
      </c>
      <c r="AC4" s="3327" t="s">
        <v>2541</v>
      </c>
    </row>
    <row r="5" spans="1:30" ht="54.75" customHeight="1">
      <c r="A5" s="2997"/>
      <c r="B5" s="2998"/>
      <c r="C5" s="3415" t="str">
        <f>'比较法-住宅'!C5:D5</f>
        <v>大兴区瀛海镇YZ00-0803-6040等地块</v>
      </c>
      <c r="D5" s="3416"/>
      <c r="E5" s="3419" t="str">
        <f>土地案例2!F3&amp;土地案例2!H3</f>
        <v>大兴区瀛海镇集体经营性建设用地入市试点（一期）YZ00-0803-0011地块</v>
      </c>
      <c r="F5" s="3420"/>
      <c r="G5" s="3415" t="str">
        <f>土地案例2!F4&amp;土地案例2!H4</f>
        <v>大兴区黄村镇狼垡集体租赁住房项目</v>
      </c>
      <c r="H5" s="3416"/>
      <c r="I5" s="3415" t="str">
        <f>土地案例2!F5&amp;土地案例2!H5</f>
        <v>大兴区瀛海镇租赁住房项目</v>
      </c>
      <c r="J5" s="3416"/>
      <c r="K5" s="605"/>
      <c r="L5" s="1128"/>
      <c r="M5" s="1129"/>
      <c r="N5" s="1129"/>
      <c r="O5" s="1129"/>
      <c r="P5" s="3336"/>
      <c r="Q5" s="3337"/>
      <c r="R5" s="3342"/>
      <c r="S5" s="3343"/>
      <c r="T5" s="3342"/>
      <c r="U5" s="3343"/>
      <c r="V5" s="3346"/>
      <c r="W5" s="3346"/>
      <c r="X5" s="3034"/>
      <c r="Y5" s="3342"/>
      <c r="Z5" s="3343"/>
      <c r="AA5" s="3328"/>
      <c r="AB5" s="3328"/>
      <c r="AC5" s="3328"/>
    </row>
    <row r="6" spans="1:30" ht="15.75" thickBot="1">
      <c r="A6" s="2999"/>
      <c r="B6" s="3000"/>
      <c r="C6" s="3413"/>
      <c r="D6" s="3414"/>
      <c r="E6" s="3417"/>
      <c r="F6" s="3418"/>
      <c r="G6" s="3417"/>
      <c r="H6" s="3418"/>
      <c r="I6" s="3413"/>
      <c r="J6" s="3414"/>
      <c r="K6" s="605" t="s">
        <v>2549</v>
      </c>
      <c r="L6" s="1128"/>
      <c r="M6" s="1129"/>
      <c r="N6" s="1129"/>
      <c r="O6" s="1129"/>
      <c r="P6" s="3338"/>
      <c r="Q6" s="3339"/>
      <c r="R6" s="3342"/>
      <c r="S6" s="3343"/>
      <c r="T6" s="3344"/>
      <c r="U6" s="3345"/>
      <c r="V6" s="3346"/>
      <c r="W6" s="3346"/>
      <c r="X6" s="3034"/>
      <c r="Y6" s="3344"/>
      <c r="Z6" s="3345"/>
      <c r="AA6" s="3329"/>
      <c r="AB6" s="3329"/>
      <c r="AC6" s="3329"/>
    </row>
    <row r="7" spans="1:30" s="116" customFormat="1" ht="15.75" thickBot="1">
      <c r="A7" s="3007" t="s">
        <v>3155</v>
      </c>
      <c r="B7" s="3008"/>
      <c r="C7" s="2973">
        <f>'数据-取费表'!B2</f>
        <v>43621</v>
      </c>
      <c r="D7" s="2974">
        <v>100</v>
      </c>
      <c r="E7" s="2966">
        <f>土地案例2!R3</f>
        <v>43432</v>
      </c>
      <c r="F7" s="2975">
        <f>SUMIF(70:70,YEAR(E7)&amp;"-"&amp;INT((MONTH(E7)+2)/3),71:71)</f>
        <v>98</v>
      </c>
      <c r="G7" s="2967">
        <f>土地案例2!R4</f>
        <v>43169</v>
      </c>
      <c r="H7" s="2974">
        <f>SUMIF(70:70,YEAR(G7)&amp;"-"&amp;INT((MONTH(G7)+2)/3),71:71)</f>
        <v>95</v>
      </c>
      <c r="I7" s="2967">
        <f>土地案例2!R5</f>
        <v>43169</v>
      </c>
      <c r="J7" s="2974">
        <f>SUMIF(70:70,YEAR(I7)&amp;"-"&amp;INT((MONTH(I7)+2)/3),71:71)</f>
        <v>95</v>
      </c>
      <c r="K7" s="606"/>
      <c r="L7" s="1130"/>
      <c r="M7" s="1131"/>
      <c r="N7" s="1131"/>
      <c r="O7" s="1131"/>
      <c r="P7" s="3351" t="s">
        <v>2551</v>
      </c>
      <c r="Q7" s="3353"/>
      <c r="R7" s="765" t="s">
        <v>17</v>
      </c>
      <c r="S7" s="766">
        <f t="shared" ref="S7:S15" si="0">F7</f>
        <v>98</v>
      </c>
      <c r="T7" s="765" t="s">
        <v>17</v>
      </c>
      <c r="U7" s="766">
        <f t="shared" ref="U7:U15" si="1">H7</f>
        <v>95</v>
      </c>
      <c r="V7" s="765" t="s">
        <v>17</v>
      </c>
      <c r="W7" s="766">
        <f t="shared" ref="W7:W15" si="2">J7</f>
        <v>95</v>
      </c>
      <c r="X7" s="767"/>
      <c r="Y7" s="3351" t="s">
        <v>2551</v>
      </c>
      <c r="Z7" s="3352"/>
      <c r="AA7" s="768">
        <f>D7/F7</f>
        <v>1.0204081632653061</v>
      </c>
      <c r="AB7" s="768">
        <f>D7/H7</f>
        <v>1.0526315789473684</v>
      </c>
      <c r="AC7" s="768">
        <f>D7/J7</f>
        <v>1.0526315789473684</v>
      </c>
    </row>
    <row r="8" spans="1:30" s="116" customFormat="1" ht="15.75" thickBot="1">
      <c r="A8" s="3007" t="s">
        <v>3156</v>
      </c>
      <c r="B8" s="3008"/>
      <c r="C8" s="3030" t="s">
        <v>3362</v>
      </c>
      <c r="D8" s="2974">
        <v>100</v>
      </c>
      <c r="E8" s="2953" t="s">
        <v>3362</v>
      </c>
      <c r="F8" s="2975">
        <f>SUMIF(73:73,E8,74:74)-SUMIF(73:73,C8,74:74)+100</f>
        <v>100</v>
      </c>
      <c r="G8" s="2953" t="s">
        <v>3363</v>
      </c>
      <c r="H8" s="2974">
        <v>95</v>
      </c>
      <c r="I8" s="2953" t="s">
        <v>3363</v>
      </c>
      <c r="J8" s="2974">
        <v>95</v>
      </c>
      <c r="K8" s="606"/>
      <c r="L8" s="1130"/>
      <c r="M8" s="1131"/>
      <c r="N8" s="1131"/>
      <c r="O8" s="1131"/>
      <c r="P8" s="3351" t="s">
        <v>2554</v>
      </c>
      <c r="Q8" s="3352"/>
      <c r="R8" s="765" t="s">
        <v>17</v>
      </c>
      <c r="S8" s="766">
        <f t="shared" si="0"/>
        <v>100</v>
      </c>
      <c r="T8" s="765" t="s">
        <v>17</v>
      </c>
      <c r="U8" s="766">
        <f t="shared" si="1"/>
        <v>95</v>
      </c>
      <c r="V8" s="765" t="s">
        <v>17</v>
      </c>
      <c r="W8" s="766">
        <f t="shared" si="2"/>
        <v>95</v>
      </c>
      <c r="X8" s="767"/>
      <c r="Y8" s="3351" t="s">
        <v>2554</v>
      </c>
      <c r="Z8" s="3352"/>
      <c r="AA8" s="768">
        <f t="shared" ref="AA8:AA45" si="3">D8/F8</f>
        <v>1</v>
      </c>
      <c r="AB8" s="768">
        <f t="shared" ref="AB8:AB45" si="4">D8/H8</f>
        <v>1.0526315789473684</v>
      </c>
      <c r="AC8" s="768">
        <f t="shared" ref="AC8:AC45" si="5">D8/J8</f>
        <v>1.0526315789473684</v>
      </c>
    </row>
    <row r="9" spans="1:30" s="116" customFormat="1" ht="43.5" customHeight="1">
      <c r="A9" s="3003" t="s">
        <v>2590</v>
      </c>
      <c r="B9" s="3040" t="s">
        <v>3157</v>
      </c>
      <c r="C9" s="3092" t="s">
        <v>3361</v>
      </c>
      <c r="D9" s="2978">
        <v>100</v>
      </c>
      <c r="E9" s="3105" t="s">
        <v>3359</v>
      </c>
      <c r="F9" s="3100">
        <f>SUMIF(75:75,E9,76:76)-SUMIF(75:75,C9,76:76)+100</f>
        <v>105</v>
      </c>
      <c r="G9" s="3106" t="str">
        <f>土地案例2!J4</f>
        <v>绿隔产业用地，建设集体租赁住房</v>
      </c>
      <c r="H9" s="3100">
        <v>85</v>
      </c>
      <c r="I9" s="3106" t="str">
        <f>土地案例2!J5</f>
        <v>绿隔产业用地，建设集体租赁住房</v>
      </c>
      <c r="J9" s="3100">
        <v>85</v>
      </c>
      <c r="K9" s="606"/>
      <c r="L9" s="1130"/>
      <c r="M9" s="1131"/>
      <c r="N9" s="1131"/>
      <c r="O9" s="1132"/>
      <c r="P9" s="3315" t="s">
        <v>2557</v>
      </c>
      <c r="Q9" s="3032" t="str">
        <f t="shared" ref="Q9:Q15" si="6">B9</f>
        <v>用途</v>
      </c>
      <c r="R9" s="765" t="s">
        <v>17</v>
      </c>
      <c r="S9" s="766">
        <f t="shared" si="0"/>
        <v>105</v>
      </c>
      <c r="T9" s="765" t="s">
        <v>17</v>
      </c>
      <c r="U9" s="766">
        <f t="shared" si="1"/>
        <v>85</v>
      </c>
      <c r="V9" s="765" t="s">
        <v>17</v>
      </c>
      <c r="W9" s="766">
        <f t="shared" si="2"/>
        <v>85</v>
      </c>
      <c r="X9" s="767"/>
      <c r="Y9" s="3167" t="s">
        <v>2558</v>
      </c>
      <c r="Z9" s="3033" t="str">
        <f t="shared" ref="Z9:Z15" si="7">Q9</f>
        <v>用途</v>
      </c>
      <c r="AA9" s="768">
        <f t="shared" si="3"/>
        <v>0.95238095238095233</v>
      </c>
      <c r="AB9" s="768">
        <f t="shared" si="4"/>
        <v>1.1764705882352942</v>
      </c>
      <c r="AC9" s="768">
        <f t="shared" si="5"/>
        <v>1.1764705882352942</v>
      </c>
    </row>
    <row r="10" spans="1:30" s="424" customFormat="1" ht="27">
      <c r="A10" s="3001"/>
      <c r="B10" s="3010" t="s">
        <v>3158</v>
      </c>
      <c r="C10" s="2968">
        <v>70</v>
      </c>
      <c r="D10" s="2979">
        <v>100</v>
      </c>
      <c r="E10" s="3102" t="s">
        <v>3360</v>
      </c>
      <c r="F10" s="3103">
        <v>90</v>
      </c>
      <c r="G10" s="3104" t="s">
        <v>3342</v>
      </c>
      <c r="H10" s="3103">
        <v>90</v>
      </c>
      <c r="I10" s="3104" t="s">
        <v>3065</v>
      </c>
      <c r="J10" s="3103">
        <f>ROUND(100/'数据-取费表'!G16,0)</f>
        <v>100</v>
      </c>
      <c r="K10" s="667"/>
      <c r="L10" s="1133"/>
      <c r="M10" s="1134"/>
      <c r="N10" s="1134"/>
      <c r="O10" s="1135"/>
      <c r="P10" s="3315"/>
      <c r="Q10" s="3032" t="str">
        <f t="shared" si="6"/>
        <v>土地使用年限（年）</v>
      </c>
      <c r="R10" s="765" t="s">
        <v>17</v>
      </c>
      <c r="S10" s="766">
        <f t="shared" si="0"/>
        <v>90</v>
      </c>
      <c r="T10" s="765" t="s">
        <v>17</v>
      </c>
      <c r="U10" s="766">
        <f t="shared" si="1"/>
        <v>90</v>
      </c>
      <c r="V10" s="765" t="s">
        <v>17</v>
      </c>
      <c r="W10" s="766">
        <f t="shared" si="2"/>
        <v>100</v>
      </c>
      <c r="X10" s="767"/>
      <c r="Y10" s="3167"/>
      <c r="Z10" s="3033" t="str">
        <f t="shared" si="7"/>
        <v>土地使用年限（年）</v>
      </c>
      <c r="AA10" s="768">
        <f t="shared" si="3"/>
        <v>1.1111111111111112</v>
      </c>
      <c r="AB10" s="768">
        <f t="shared" si="4"/>
        <v>1.1111111111111112</v>
      </c>
      <c r="AC10" s="768">
        <f t="shared" si="5"/>
        <v>1</v>
      </c>
    </row>
    <row r="11" spans="1:30" ht="15.75" thickBot="1">
      <c r="A11" s="3001"/>
      <c r="B11" s="3010" t="s">
        <v>3159</v>
      </c>
      <c r="C11" s="3027">
        <f>'比较法-住宅'!C11</f>
        <v>2.5</v>
      </c>
      <c r="D11" s="2979">
        <v>100</v>
      </c>
      <c r="E11" s="669">
        <f>土地案例2!N3</f>
        <v>2.4</v>
      </c>
      <c r="F11" s="2979">
        <v>100</v>
      </c>
      <c r="G11" s="472">
        <f>土地案例2!N4</f>
        <v>2.5</v>
      </c>
      <c r="H11" s="2979">
        <v>100</v>
      </c>
      <c r="I11" s="669">
        <f>土地案例2!N5</f>
        <v>2.4</v>
      </c>
      <c r="J11" s="2979">
        <v>100</v>
      </c>
      <c r="K11" s="607">
        <v>0</v>
      </c>
      <c r="L11" s="1136"/>
      <c r="M11" s="1129"/>
      <c r="N11" s="1129"/>
      <c r="O11" s="1137"/>
      <c r="P11" s="3315"/>
      <c r="Q11" s="3032" t="str">
        <f t="shared" si="6"/>
        <v>容积率</v>
      </c>
      <c r="R11" s="765" t="s">
        <v>17</v>
      </c>
      <c r="S11" s="766">
        <f t="shared" si="0"/>
        <v>100</v>
      </c>
      <c r="T11" s="765" t="s">
        <v>17</v>
      </c>
      <c r="U11" s="766">
        <f t="shared" si="1"/>
        <v>100</v>
      </c>
      <c r="V11" s="765" t="s">
        <v>17</v>
      </c>
      <c r="W11" s="766">
        <f t="shared" si="2"/>
        <v>100</v>
      </c>
      <c r="X11" s="767"/>
      <c r="Y11" s="3167"/>
      <c r="Z11" s="3033" t="str">
        <f t="shared" si="7"/>
        <v>容积率</v>
      </c>
      <c r="AA11" s="768">
        <f t="shared" si="3"/>
        <v>1</v>
      </c>
      <c r="AB11" s="768">
        <f t="shared" si="4"/>
        <v>1</v>
      </c>
      <c r="AC11" s="768">
        <f t="shared" si="5"/>
        <v>1</v>
      </c>
    </row>
    <row r="12" spans="1:30" s="116" customFormat="1" ht="27" hidden="1">
      <c r="A12" s="3001"/>
      <c r="B12" s="3011" t="s">
        <v>3067</v>
      </c>
      <c r="C12" s="2968">
        <v>1</v>
      </c>
      <c r="D12" s="2980">
        <v>100</v>
      </c>
      <c r="E12" s="2971" t="s">
        <v>3152</v>
      </c>
      <c r="F12" s="2979">
        <f>SUMIF(82:82,E12,83:83)-SUMIF(82:82,C12,83:83)+100</f>
        <v>100</v>
      </c>
      <c r="G12" s="2972" t="s">
        <v>3153</v>
      </c>
      <c r="H12" s="2979">
        <f>SUMIF(82:82,G12,83:83)-SUMIF(82:82,C12,83:83)+100</f>
        <v>100</v>
      </c>
      <c r="I12" s="2971" t="s">
        <v>3154</v>
      </c>
      <c r="J12" s="2979">
        <f>SUMIF(82:82,I12,83:83)-SUMIF(82:82,C12,83:83)+100</f>
        <v>100</v>
      </c>
      <c r="K12" s="667"/>
      <c r="L12" s="1130"/>
      <c r="M12" s="1131"/>
      <c r="N12" s="1131"/>
      <c r="O12" s="1132"/>
      <c r="P12" s="3315"/>
      <c r="Q12" s="3032" t="str">
        <f t="shared" si="6"/>
        <v>土地受让方</v>
      </c>
      <c r="R12" s="765" t="s">
        <v>17</v>
      </c>
      <c r="S12" s="766">
        <f t="shared" si="0"/>
        <v>100</v>
      </c>
      <c r="T12" s="765" t="s">
        <v>17</v>
      </c>
      <c r="U12" s="766">
        <f t="shared" si="1"/>
        <v>100</v>
      </c>
      <c r="V12" s="765" t="s">
        <v>17</v>
      </c>
      <c r="W12" s="766">
        <f t="shared" si="2"/>
        <v>100</v>
      </c>
      <c r="X12" s="767"/>
      <c r="Y12" s="3167"/>
      <c r="Z12" s="3033" t="str">
        <f t="shared" si="7"/>
        <v>土地受让方</v>
      </c>
      <c r="AA12" s="768">
        <f>D12/F12</f>
        <v>1</v>
      </c>
      <c r="AB12" s="768">
        <f>D12/H12</f>
        <v>1</v>
      </c>
      <c r="AC12" s="768">
        <f>D12/J12</f>
        <v>1</v>
      </c>
    </row>
    <row r="13" spans="1:30" ht="15.75" hidden="1" thickBot="1">
      <c r="A13" s="3001"/>
      <c r="B13" s="3011"/>
      <c r="C13" s="3030"/>
      <c r="D13" s="2979">
        <v>100</v>
      </c>
      <c r="E13" s="2953"/>
      <c r="F13" s="2979">
        <f>SUMIF(84:84,E13,85:85)-SUMIF(84:84,C13,85:85)+100</f>
        <v>100</v>
      </c>
      <c r="G13" s="2953"/>
      <c r="H13" s="2979">
        <v>100</v>
      </c>
      <c r="I13" s="2953"/>
      <c r="J13" s="2979">
        <v>100</v>
      </c>
      <c r="K13" s="667"/>
      <c r="L13" s="1138"/>
      <c r="M13" s="1129"/>
      <c r="N13" s="1129"/>
      <c r="O13" s="1137"/>
      <c r="P13" s="3315"/>
      <c r="Q13" s="3032">
        <f t="shared" si="6"/>
        <v>0</v>
      </c>
      <c r="R13" s="765" t="s">
        <v>17</v>
      </c>
      <c r="S13" s="766">
        <f t="shared" si="0"/>
        <v>100</v>
      </c>
      <c r="T13" s="765" t="s">
        <v>17</v>
      </c>
      <c r="U13" s="766">
        <f t="shared" si="1"/>
        <v>100</v>
      </c>
      <c r="V13" s="765" t="s">
        <v>17</v>
      </c>
      <c r="W13" s="766">
        <f t="shared" si="2"/>
        <v>100</v>
      </c>
      <c r="X13" s="767"/>
      <c r="Y13" s="3167"/>
      <c r="Z13" s="3033">
        <f t="shared" si="7"/>
        <v>0</v>
      </c>
      <c r="AA13" s="768">
        <f>D13/F13</f>
        <v>1</v>
      </c>
      <c r="AB13" s="768">
        <f>D13/H13</f>
        <v>1</v>
      </c>
      <c r="AC13" s="768">
        <f>D13/J13</f>
        <v>1</v>
      </c>
    </row>
    <row r="14" spans="1:30" ht="15.75" hidden="1" thickBot="1">
      <c r="A14" s="3002"/>
      <c r="B14" s="3112" t="s">
        <v>3364</v>
      </c>
      <c r="C14" s="434">
        <v>70</v>
      </c>
      <c r="D14" s="2981">
        <v>100</v>
      </c>
      <c r="E14" s="544">
        <v>50</v>
      </c>
      <c r="F14" s="2981">
        <v>100</v>
      </c>
      <c r="G14" s="669">
        <v>50</v>
      </c>
      <c r="H14" s="2981">
        <v>100</v>
      </c>
      <c r="I14" s="669">
        <v>70</v>
      </c>
      <c r="J14" s="2981">
        <f>SUMIF(86:86,I14,87:87)-SUMIF(86:86,C14,87:87)+100</f>
        <v>100</v>
      </c>
      <c r="K14" s="667"/>
      <c r="L14" s="1138"/>
      <c r="M14" s="1129"/>
      <c r="N14" s="1129"/>
      <c r="O14" s="1137"/>
      <c r="P14" s="3315"/>
      <c r="Q14" s="3032" t="str">
        <f t="shared" si="6"/>
        <v>年期修正</v>
      </c>
      <c r="R14" s="765" t="s">
        <v>17</v>
      </c>
      <c r="S14" s="766">
        <f t="shared" si="0"/>
        <v>100</v>
      </c>
      <c r="T14" s="765" t="s">
        <v>17</v>
      </c>
      <c r="U14" s="766">
        <f t="shared" si="1"/>
        <v>100</v>
      </c>
      <c r="V14" s="765" t="s">
        <v>17</v>
      </c>
      <c r="W14" s="766">
        <f t="shared" si="2"/>
        <v>100</v>
      </c>
      <c r="X14" s="767"/>
      <c r="Y14" s="3167"/>
      <c r="Z14" s="3033" t="str">
        <f t="shared" si="7"/>
        <v>年期修正</v>
      </c>
      <c r="AA14" s="768">
        <f>D14/F14</f>
        <v>1</v>
      </c>
      <c r="AB14" s="768">
        <f>D14/H14</f>
        <v>1</v>
      </c>
      <c r="AC14" s="768">
        <f>D14/J14</f>
        <v>1</v>
      </c>
    </row>
    <row r="15" spans="1:30" ht="151.5" customHeight="1">
      <c r="A15" s="3003" t="s">
        <v>2561</v>
      </c>
      <c r="B15" s="3013" t="s">
        <v>3160</v>
      </c>
      <c r="C15" s="2982" t="str">
        <f>估价对象房地状况!C15</f>
        <v>估价对象周边有安宁华庭、安宁佳园、当代城市家园等小区、居住小区规模较大，入住率较高，综合评价居住社区成熟度较好。</v>
      </c>
      <c r="D15" s="2983">
        <v>100</v>
      </c>
      <c r="E15" s="439"/>
      <c r="F15" s="2983">
        <f>SUMIF(88:88,E16,89:89)-SUMIF(88:88,C16,89:89)+100</f>
        <v>100</v>
      </c>
      <c r="G15" s="439"/>
      <c r="H15" s="2983">
        <f>SUMIF(88:88,G16,89:89)-SUMIF(88:88,C16,89:89)+100</f>
        <v>100</v>
      </c>
      <c r="I15" s="441"/>
      <c r="J15" s="2983">
        <f>SUMIF(88:88,I16,89:89)-SUMIF(88:88,C16,89:89)+100</f>
        <v>100</v>
      </c>
      <c r="K15" s="668">
        <v>3</v>
      </c>
      <c r="L15" s="1138"/>
      <c r="M15" s="1129"/>
      <c r="N15" s="1129"/>
      <c r="O15" s="1137"/>
      <c r="P15" s="3317" t="s">
        <v>2562</v>
      </c>
      <c r="Q15" s="3036" t="str">
        <f t="shared" si="6"/>
        <v>居住社区成熟度</v>
      </c>
      <c r="R15" s="769" t="s">
        <v>17</v>
      </c>
      <c r="S15" s="770">
        <f t="shared" si="0"/>
        <v>100</v>
      </c>
      <c r="T15" s="769" t="s">
        <v>17</v>
      </c>
      <c r="U15" s="770">
        <f t="shared" si="1"/>
        <v>100</v>
      </c>
      <c r="V15" s="769" t="s">
        <v>17</v>
      </c>
      <c r="W15" s="770">
        <f t="shared" si="2"/>
        <v>100</v>
      </c>
      <c r="X15" s="3034"/>
      <c r="Y15" s="3317" t="s">
        <v>2562</v>
      </c>
      <c r="Z15" s="3035" t="str">
        <f t="shared" si="7"/>
        <v>居住社区成熟度</v>
      </c>
      <c r="AA15" s="3037">
        <f t="shared" si="3"/>
        <v>1</v>
      </c>
      <c r="AB15" s="3037">
        <f t="shared" si="4"/>
        <v>1</v>
      </c>
      <c r="AC15" s="3037">
        <f t="shared" si="5"/>
        <v>1</v>
      </c>
    </row>
    <row r="16" spans="1:30" ht="15">
      <c r="A16" s="3001"/>
      <c r="B16" s="3004"/>
      <c r="C16" s="2968" t="s">
        <v>3071</v>
      </c>
      <c r="D16" s="2984"/>
      <c r="E16" s="2970" t="s">
        <v>3071</v>
      </c>
      <c r="F16" s="2984"/>
      <c r="G16" s="2970" t="s">
        <v>3071</v>
      </c>
      <c r="H16" s="2985"/>
      <c r="I16" s="2970" t="s">
        <v>3071</v>
      </c>
      <c r="J16" s="2984"/>
      <c r="K16" s="667"/>
      <c r="L16" s="1138"/>
      <c r="M16" s="1129"/>
      <c r="N16" s="1129"/>
      <c r="O16" s="1137"/>
      <c r="P16" s="3318"/>
      <c r="Q16" s="3036"/>
      <c r="R16" s="769"/>
      <c r="S16" s="770"/>
      <c r="T16" s="769"/>
      <c r="U16" s="770"/>
      <c r="V16" s="769"/>
      <c r="W16" s="770"/>
      <c r="X16" s="3034"/>
      <c r="Y16" s="3318"/>
      <c r="Z16" s="3035"/>
      <c r="AA16" s="3037">
        <v>1</v>
      </c>
      <c r="AB16" s="3037">
        <v>1</v>
      </c>
      <c r="AC16" s="3037">
        <v>1</v>
      </c>
    </row>
    <row r="17" spans="1:29" ht="57" hidden="1">
      <c r="A17" s="3001"/>
      <c r="B17" s="3014" t="s">
        <v>3161</v>
      </c>
      <c r="C17" s="2986" t="str">
        <f>估价对象房地状况!C16</f>
        <v>估价对象位于XX商圈，周边商业氛围成熟，人流量大，商业繁华度好</v>
      </c>
      <c r="D17" s="2985">
        <v>100</v>
      </c>
      <c r="E17" s="449"/>
      <c r="F17" s="2985">
        <f>SUMIF(90:90,E18,91:91)-SUMIF(90:90,C18,91:91)+100</f>
        <v>100</v>
      </c>
      <c r="G17" s="449"/>
      <c r="H17" s="2987">
        <f>SUMIF(90:90,G18,91:91)-SUMIF(90:90,C18,91:91)+100</f>
        <v>100</v>
      </c>
      <c r="I17" s="451"/>
      <c r="J17" s="2987">
        <f>SUMIF(90:90,I18,91:91)-SUMIF(90:90,C18,91:91)+100</f>
        <v>100</v>
      </c>
      <c r="K17" s="668"/>
      <c r="L17" s="1138"/>
      <c r="M17" s="1129"/>
      <c r="N17" s="1129"/>
      <c r="O17" s="1137"/>
      <c r="P17" s="3318"/>
      <c r="Q17" s="3036" t="str">
        <f>B17</f>
        <v>商业繁华度</v>
      </c>
      <c r="R17" s="769" t="s">
        <v>17</v>
      </c>
      <c r="S17" s="770">
        <f>F17</f>
        <v>100</v>
      </c>
      <c r="T17" s="769" t="s">
        <v>17</v>
      </c>
      <c r="U17" s="770">
        <f>H17</f>
        <v>100</v>
      </c>
      <c r="V17" s="769" t="s">
        <v>17</v>
      </c>
      <c r="W17" s="770">
        <f>J17</f>
        <v>100</v>
      </c>
      <c r="X17" s="3034"/>
      <c r="Y17" s="3318"/>
      <c r="Z17" s="3035" t="str">
        <f>Q17</f>
        <v>商业繁华度</v>
      </c>
      <c r="AA17" s="3037">
        <f t="shared" si="3"/>
        <v>1</v>
      </c>
      <c r="AB17" s="3037">
        <f t="shared" si="4"/>
        <v>1</v>
      </c>
      <c r="AC17" s="3037">
        <f t="shared" si="5"/>
        <v>1</v>
      </c>
    </row>
    <row r="18" spans="1:29" ht="15" hidden="1">
      <c r="A18" s="3001"/>
      <c r="B18" s="3015"/>
      <c r="C18" s="2988" t="s">
        <v>3073</v>
      </c>
      <c r="D18" s="2985"/>
      <c r="E18" s="449" t="s">
        <v>3073</v>
      </c>
      <c r="F18" s="2985"/>
      <c r="G18" s="449" t="s">
        <v>3073</v>
      </c>
      <c r="H18" s="2984"/>
      <c r="I18" s="451" t="s">
        <v>3073</v>
      </c>
      <c r="J18" s="2984"/>
      <c r="K18" s="667"/>
      <c r="L18" s="1138"/>
      <c r="M18" s="1129"/>
      <c r="N18" s="1129"/>
      <c r="O18" s="1137"/>
      <c r="P18" s="3318"/>
      <c r="Q18" s="3036"/>
      <c r="R18" s="769"/>
      <c r="S18" s="770"/>
      <c r="T18" s="769"/>
      <c r="U18" s="770"/>
      <c r="V18" s="769"/>
      <c r="W18" s="770"/>
      <c r="X18" s="3034"/>
      <c r="Y18" s="3318"/>
      <c r="Z18" s="3035"/>
      <c r="AA18" s="3037">
        <v>1</v>
      </c>
      <c r="AB18" s="3037">
        <v>1</v>
      </c>
      <c r="AC18" s="3037">
        <v>1</v>
      </c>
    </row>
    <row r="19" spans="1:29" ht="57" hidden="1">
      <c r="A19" s="3001"/>
      <c r="B19" s="3014" t="s">
        <v>3162</v>
      </c>
      <c r="C19" s="2986" t="str">
        <f>估价对象房地状况!C17</f>
        <v>估价对象位于XX商圈，周边办公楼项目较多，入驻率高，办公集聚程度较好</v>
      </c>
      <c r="D19" s="2987">
        <v>100</v>
      </c>
      <c r="E19" s="454"/>
      <c r="F19" s="2987">
        <f>SUMIF(92:92,E20,93:93)-SUMIF(92:92,C20,93:93)+100</f>
        <v>100</v>
      </c>
      <c r="G19" s="454"/>
      <c r="H19" s="2985">
        <f>SUMIF(92:92,G20,93:93)-SUMIF(92:92,C20,93:93)+100</f>
        <v>100</v>
      </c>
      <c r="I19" s="456"/>
      <c r="J19" s="2985">
        <f>SUMIF(92:92,I20,93:93)-SUMIF(92:92,C20,93:93)+100</f>
        <v>100</v>
      </c>
      <c r="K19" s="668"/>
      <c r="L19" s="1138"/>
      <c r="M19" s="1129"/>
      <c r="N19" s="1129"/>
      <c r="O19" s="1137"/>
      <c r="P19" s="3318"/>
      <c r="Q19" s="3036" t="str">
        <f>B19</f>
        <v>办公集聚程度</v>
      </c>
      <c r="R19" s="769" t="s">
        <v>17</v>
      </c>
      <c r="S19" s="770">
        <f>F19</f>
        <v>100</v>
      </c>
      <c r="T19" s="769" t="s">
        <v>17</v>
      </c>
      <c r="U19" s="770">
        <f>H19</f>
        <v>100</v>
      </c>
      <c r="V19" s="769" t="s">
        <v>17</v>
      </c>
      <c r="W19" s="770">
        <f>J19</f>
        <v>100</v>
      </c>
      <c r="X19" s="3034"/>
      <c r="Y19" s="3318"/>
      <c r="Z19" s="3035" t="str">
        <f>Q19</f>
        <v>办公集聚程度</v>
      </c>
      <c r="AA19" s="3037">
        <f t="shared" si="3"/>
        <v>1</v>
      </c>
      <c r="AB19" s="3037">
        <f t="shared" si="4"/>
        <v>1</v>
      </c>
      <c r="AC19" s="3037">
        <f t="shared" si="5"/>
        <v>1</v>
      </c>
    </row>
    <row r="20" spans="1:29" ht="15" hidden="1">
      <c r="A20" s="3001"/>
      <c r="B20" s="3015"/>
      <c r="C20" s="2968" t="s">
        <v>3073</v>
      </c>
      <c r="D20" s="2984"/>
      <c r="E20" s="2970" t="s">
        <v>3073</v>
      </c>
      <c r="F20" s="2984"/>
      <c r="G20" s="2970" t="s">
        <v>3073</v>
      </c>
      <c r="H20" s="2984"/>
      <c r="I20" s="2969" t="s">
        <v>3073</v>
      </c>
      <c r="J20" s="2984"/>
      <c r="K20" s="667"/>
      <c r="L20" s="1138"/>
      <c r="M20" s="1129"/>
      <c r="N20" s="1129"/>
      <c r="O20" s="1137"/>
      <c r="P20" s="3318"/>
      <c r="Q20" s="3036"/>
      <c r="R20" s="769"/>
      <c r="S20" s="770"/>
      <c r="T20" s="769"/>
      <c r="U20" s="770"/>
      <c r="V20" s="769"/>
      <c r="W20" s="770"/>
      <c r="X20" s="3034"/>
      <c r="Y20" s="3318"/>
      <c r="Z20" s="3035"/>
      <c r="AA20" s="3037">
        <v>1</v>
      </c>
      <c r="AB20" s="3037">
        <v>1</v>
      </c>
      <c r="AC20" s="3037">
        <v>1</v>
      </c>
    </row>
    <row r="21" spans="1:29" ht="156.75">
      <c r="A21" s="3001"/>
      <c r="B21" s="3014" t="s">
        <v>3163</v>
      </c>
      <c r="C21" s="2989"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85">
        <v>100</v>
      </c>
      <c r="E21" s="449"/>
      <c r="F21" s="2987">
        <f>SUMIF(94:94,E22,95:95)-SUMIF(94:94,C22,95:95)+100</f>
        <v>100</v>
      </c>
      <c r="G21" s="449"/>
      <c r="H21" s="2985">
        <f>SUMIF(94:94,G22,95:95)-SUMIF(94:94,C22,95:95)+100</f>
        <v>100</v>
      </c>
      <c r="I21" s="451"/>
      <c r="J21" s="2985">
        <f>SUMIF(94:94,I22,95:95)-SUMIF(94:94,C22,95:95)+100</f>
        <v>100</v>
      </c>
      <c r="K21" s="668">
        <v>1</v>
      </c>
      <c r="L21" s="1138"/>
      <c r="M21" s="1129"/>
      <c r="N21" s="1129"/>
      <c r="O21" s="1137"/>
      <c r="P21" s="3318"/>
      <c r="Q21" s="3036" t="str">
        <f>B21</f>
        <v>交通便捷度</v>
      </c>
      <c r="R21" s="769" t="s">
        <v>17</v>
      </c>
      <c r="S21" s="770">
        <f>F21</f>
        <v>100</v>
      </c>
      <c r="T21" s="769" t="s">
        <v>17</v>
      </c>
      <c r="U21" s="770">
        <f>H21</f>
        <v>100</v>
      </c>
      <c r="V21" s="769" t="s">
        <v>17</v>
      </c>
      <c r="W21" s="770">
        <f>J21</f>
        <v>100</v>
      </c>
      <c r="X21" s="3034"/>
      <c r="Y21" s="3318"/>
      <c r="Z21" s="3035" t="str">
        <f>Q21</f>
        <v>交通便捷度</v>
      </c>
      <c r="AA21" s="3037">
        <f t="shared" si="3"/>
        <v>1</v>
      </c>
      <c r="AB21" s="3037">
        <f t="shared" si="4"/>
        <v>1</v>
      </c>
      <c r="AC21" s="3037">
        <f t="shared" si="5"/>
        <v>1</v>
      </c>
    </row>
    <row r="22" spans="1:29" ht="15">
      <c r="A22" s="3001"/>
      <c r="B22" s="3016"/>
      <c r="C22" s="2970" t="s">
        <v>3071</v>
      </c>
      <c r="D22" s="2985"/>
      <c r="E22" s="2970" t="s">
        <v>3071</v>
      </c>
      <c r="F22" s="2984"/>
      <c r="G22" s="2970" t="s">
        <v>3071</v>
      </c>
      <c r="H22" s="2984"/>
      <c r="I22" s="2970" t="s">
        <v>3071</v>
      </c>
      <c r="J22" s="2984"/>
      <c r="K22" s="667"/>
      <c r="L22" s="1138"/>
      <c r="M22" s="1129"/>
      <c r="N22" s="1129"/>
      <c r="O22" s="1137"/>
      <c r="P22" s="3318"/>
      <c r="Q22" s="3036"/>
      <c r="R22" s="769"/>
      <c r="S22" s="770"/>
      <c r="T22" s="769"/>
      <c r="U22" s="770"/>
      <c r="V22" s="769"/>
      <c r="W22" s="770"/>
      <c r="X22" s="3034"/>
      <c r="Y22" s="3318"/>
      <c r="Z22" s="3035"/>
      <c r="AA22" s="3037">
        <v>1</v>
      </c>
      <c r="AB22" s="3037">
        <v>1</v>
      </c>
      <c r="AC22" s="3037">
        <v>1</v>
      </c>
    </row>
    <row r="23" spans="1:29" ht="15">
      <c r="A23" s="2997"/>
      <c r="B23" s="3014" t="s">
        <v>3164</v>
      </c>
      <c r="C23" s="2990">
        <f>估价对象房地状况!C19</f>
        <v>0</v>
      </c>
      <c r="D23" s="2987">
        <v>100</v>
      </c>
      <c r="E23" s="449"/>
      <c r="F23" s="2987">
        <f>SUMIF(96:96,E24,97:97)-SUMIF(96:96,C24,97:97)+100</f>
        <v>100</v>
      </c>
      <c r="G23" s="451"/>
      <c r="H23" s="2987">
        <f>SUMIF(96:96,G24,97:97)-SUMIF(96:96,C24,97:97)+100</f>
        <v>100</v>
      </c>
      <c r="I23" s="451"/>
      <c r="J23" s="2987">
        <f>SUMIF(96:96,I24,97:97)-SUMIF(96:96,C24,97:97)+100</f>
        <v>100</v>
      </c>
      <c r="K23" s="668"/>
      <c r="L23" s="1138"/>
      <c r="M23" s="1129"/>
      <c r="N23" s="1129"/>
      <c r="O23" s="1137"/>
      <c r="P23" s="3318"/>
      <c r="Q23" s="3036" t="str">
        <f t="shared" ref="Q23:Q37" si="8">B23</f>
        <v>区域土地利用方向</v>
      </c>
      <c r="R23" s="769" t="s">
        <v>17</v>
      </c>
      <c r="S23" s="770">
        <f>F23</f>
        <v>100</v>
      </c>
      <c r="T23" s="769" t="s">
        <v>17</v>
      </c>
      <c r="U23" s="770">
        <f>H23</f>
        <v>100</v>
      </c>
      <c r="V23" s="769" t="s">
        <v>17</v>
      </c>
      <c r="W23" s="770">
        <f>J23</f>
        <v>100</v>
      </c>
      <c r="X23" s="3034"/>
      <c r="Y23" s="3318"/>
      <c r="Z23" s="3035" t="str">
        <f>Q23</f>
        <v>区域土地利用方向</v>
      </c>
      <c r="AA23" s="3037">
        <f t="shared" si="3"/>
        <v>1</v>
      </c>
      <c r="AB23" s="3037">
        <f t="shared" si="4"/>
        <v>1</v>
      </c>
      <c r="AC23" s="3037">
        <f t="shared" si="5"/>
        <v>1</v>
      </c>
    </row>
    <row r="24" spans="1:29" ht="15">
      <c r="A24" s="2997"/>
      <c r="B24" s="3015"/>
      <c r="C24" s="431" t="s">
        <v>3071</v>
      </c>
      <c r="D24" s="2984"/>
      <c r="E24" s="2970" t="s">
        <v>3071</v>
      </c>
      <c r="F24" s="2984"/>
      <c r="G24" s="2969" t="s">
        <v>3071</v>
      </c>
      <c r="H24" s="2984"/>
      <c r="I24" s="2969" t="s">
        <v>3071</v>
      </c>
      <c r="J24" s="2984"/>
      <c r="K24" s="807"/>
      <c r="L24" s="1138"/>
      <c r="M24" s="1129"/>
      <c r="N24" s="1129"/>
      <c r="O24" s="1137"/>
      <c r="P24" s="3318"/>
      <c r="Q24" s="3036"/>
      <c r="R24" s="769"/>
      <c r="S24" s="770"/>
      <c r="T24" s="769"/>
      <c r="U24" s="770"/>
      <c r="V24" s="769"/>
      <c r="W24" s="770"/>
      <c r="X24" s="3034"/>
      <c r="Y24" s="3318"/>
      <c r="Z24" s="3035"/>
      <c r="AA24" s="3037"/>
      <c r="AB24" s="3037"/>
      <c r="AC24" s="3037"/>
    </row>
    <row r="25" spans="1:29" ht="99.75">
      <c r="A25" s="2997"/>
      <c r="B25" s="3016" t="s">
        <v>3165</v>
      </c>
      <c r="C25" s="2986" t="str">
        <f>估价对象房地状况!C20</f>
        <v>估价对象西北侧隔路有加油站；周边2公里范围内无大型绿化及博物馆、高等教育学校等人文设施；综合评价环境状况较差。</v>
      </c>
      <c r="D25" s="2985">
        <v>100</v>
      </c>
      <c r="E25" s="449"/>
      <c r="F25" s="2985">
        <f>SUMIF(98:98,E26,99:99)-SUMIF(98:98,C26,99:99)+100</f>
        <v>100</v>
      </c>
      <c r="G25" s="449"/>
      <c r="H25" s="2985">
        <f>SUMIF(98:98,G26,99:99)-SUMIF(98:98,C26,99:99)+100</f>
        <v>100</v>
      </c>
      <c r="I25" s="451"/>
      <c r="J25" s="2985">
        <f>SUMIF(98:98,I26,99:99)-SUMIF(98:98,C26,99:99)+100</f>
        <v>100</v>
      </c>
      <c r="K25" s="607">
        <v>1</v>
      </c>
      <c r="L25" s="1138"/>
      <c r="M25" s="1129"/>
      <c r="N25" s="1129"/>
      <c r="O25" s="1137"/>
      <c r="P25" s="3318"/>
      <c r="Q25" s="3036" t="str">
        <f t="shared" si="8"/>
        <v>自然及人文环境状况</v>
      </c>
      <c r="R25" s="769" t="s">
        <v>17</v>
      </c>
      <c r="S25" s="770">
        <f>F25</f>
        <v>100</v>
      </c>
      <c r="T25" s="769" t="s">
        <v>17</v>
      </c>
      <c r="U25" s="770">
        <f>H25</f>
        <v>100</v>
      </c>
      <c r="V25" s="769" t="s">
        <v>17</v>
      </c>
      <c r="W25" s="770">
        <f>J25</f>
        <v>100</v>
      </c>
      <c r="X25" s="3034"/>
      <c r="Y25" s="3318"/>
      <c r="Z25" s="3035" t="str">
        <f>Q25</f>
        <v>自然及人文环境状况</v>
      </c>
      <c r="AA25" s="3037">
        <f t="shared" si="3"/>
        <v>1</v>
      </c>
      <c r="AB25" s="3037">
        <f t="shared" si="4"/>
        <v>1</v>
      </c>
      <c r="AC25" s="3037">
        <f t="shared" si="5"/>
        <v>1</v>
      </c>
    </row>
    <row r="26" spans="1:29" ht="15">
      <c r="A26" s="2997"/>
      <c r="B26" s="3015"/>
      <c r="C26" s="2968" t="s">
        <v>3071</v>
      </c>
      <c r="D26" s="2984"/>
      <c r="E26" s="2991" t="s">
        <v>3071</v>
      </c>
      <c r="F26" s="2984"/>
      <c r="G26" s="2991" t="s">
        <v>3071</v>
      </c>
      <c r="H26" s="2984"/>
      <c r="I26" s="2968" t="s">
        <v>3071</v>
      </c>
      <c r="J26" s="2984"/>
      <c r="K26" s="667"/>
      <c r="L26" s="1138"/>
      <c r="M26" s="1129"/>
      <c r="N26" s="1129"/>
      <c r="O26" s="1137"/>
      <c r="P26" s="3318"/>
      <c r="Q26" s="3036"/>
      <c r="R26" s="769"/>
      <c r="S26" s="770"/>
      <c r="T26" s="769"/>
      <c r="U26" s="770"/>
      <c r="V26" s="769"/>
      <c r="W26" s="770"/>
      <c r="X26" s="3034"/>
      <c r="Y26" s="3318"/>
      <c r="Z26" s="3035"/>
      <c r="AA26" s="3037">
        <v>1</v>
      </c>
      <c r="AB26" s="3037">
        <v>1</v>
      </c>
      <c r="AC26" s="3037">
        <v>1</v>
      </c>
    </row>
    <row r="27" spans="1:29" s="116" customFormat="1" ht="114">
      <c r="A27" s="2997"/>
      <c r="B27" s="3016" t="s">
        <v>3166</v>
      </c>
      <c r="C27" s="2989" t="str">
        <f>估价对象房地状况!C21</f>
        <v>估价对象周边有教育机构（育鹰小学、西二旗小学）、医疗设施（清河社区卫生服务站）、金融机构（农商银行、建设银行）等，公共配套设施状况一般。</v>
      </c>
      <c r="D27" s="2985">
        <v>100</v>
      </c>
      <c r="E27" s="449"/>
      <c r="F27" s="2985">
        <f>SUMIF(100:100,E28,101:101)-SUMIF(100:100,C28,101:101)+100</f>
        <v>100</v>
      </c>
      <c r="G27" s="449"/>
      <c r="H27" s="2985">
        <f>SUMIF(100:100,G28,101:101)-SUMIF(100:100,C28,101:101)+100</f>
        <v>101</v>
      </c>
      <c r="I27" s="451"/>
      <c r="J27" s="2985">
        <f>SUMIF(100:100,I28,101:101)-SUMIF(100:100,C28,101:101)+100</f>
        <v>100</v>
      </c>
      <c r="K27" s="668">
        <v>1</v>
      </c>
      <c r="L27" s="1130"/>
      <c r="M27" s="1131"/>
      <c r="N27" s="1131"/>
      <c r="O27" s="1132"/>
      <c r="P27" s="3318"/>
      <c r="Q27" s="3032" t="str">
        <f t="shared" si="8"/>
        <v>公共配套设施</v>
      </c>
      <c r="R27" s="765" t="s">
        <v>17</v>
      </c>
      <c r="S27" s="766">
        <f>F27</f>
        <v>100</v>
      </c>
      <c r="T27" s="765" t="s">
        <v>17</v>
      </c>
      <c r="U27" s="766">
        <f>H27</f>
        <v>101</v>
      </c>
      <c r="V27" s="765" t="s">
        <v>17</v>
      </c>
      <c r="W27" s="766">
        <f>J27</f>
        <v>100</v>
      </c>
      <c r="X27" s="767"/>
      <c r="Y27" s="3318"/>
      <c r="Z27" s="3033" t="str">
        <f>Q27</f>
        <v>公共配套设施</v>
      </c>
      <c r="AA27" s="3037">
        <f>D27/F27</f>
        <v>1</v>
      </c>
      <c r="AB27" s="3037">
        <f>D27/H27</f>
        <v>0.99009900990099009</v>
      </c>
      <c r="AC27" s="3037">
        <f>D27/J27</f>
        <v>1</v>
      </c>
    </row>
    <row r="28" spans="1:29" s="116" customFormat="1" ht="15">
      <c r="A28" s="2997"/>
      <c r="B28" s="3015"/>
      <c r="C28" s="2992" t="s">
        <v>3072</v>
      </c>
      <c r="D28" s="2984"/>
      <c r="E28" s="2991" t="s">
        <v>3072</v>
      </c>
      <c r="F28" s="2984"/>
      <c r="G28" s="2970" t="s">
        <v>3071</v>
      </c>
      <c r="H28" s="2984"/>
      <c r="I28" s="2968" t="s">
        <v>3072</v>
      </c>
      <c r="J28" s="2984"/>
      <c r="K28" s="667"/>
      <c r="L28" s="1130"/>
      <c r="M28" s="1131"/>
      <c r="N28" s="1131"/>
      <c r="O28" s="1132"/>
      <c r="P28" s="3318"/>
      <c r="Q28" s="3032"/>
      <c r="R28" s="765"/>
      <c r="S28" s="766"/>
      <c r="T28" s="765"/>
      <c r="U28" s="766"/>
      <c r="V28" s="765"/>
      <c r="W28" s="766"/>
      <c r="X28" s="767"/>
      <c r="Y28" s="3318"/>
      <c r="Z28" s="3033"/>
      <c r="AA28" s="3037">
        <v>1</v>
      </c>
      <c r="AB28" s="3037">
        <v>1</v>
      </c>
      <c r="AC28" s="3037">
        <v>1</v>
      </c>
    </row>
    <row r="29" spans="1:29" s="116" customFormat="1" ht="42.75">
      <c r="A29" s="2997"/>
      <c r="B29" s="3016" t="s">
        <v>3167</v>
      </c>
      <c r="C29" s="2989" t="str">
        <f>估价对象房地状况!C22</f>
        <v>估价对象所在区域基础设施水平为五通一平</v>
      </c>
      <c r="D29" s="2985">
        <v>100</v>
      </c>
      <c r="E29" s="449"/>
      <c r="F29" s="2985">
        <f>SUMIF(102:102,E30,103:103)-SUMIF(102:102,C30,103:103)+100</f>
        <v>100</v>
      </c>
      <c r="G29" s="449"/>
      <c r="H29" s="2985">
        <f>SUMIF(102:102,G30,103:103)-SUMIF(102:102,C30,103:103)+100</f>
        <v>100</v>
      </c>
      <c r="I29" s="451"/>
      <c r="J29" s="2985">
        <f>SUMIF(102:102,I30,103:103)-SUMIF(102:102,C30,103:103)+100</f>
        <v>100</v>
      </c>
      <c r="K29" s="668"/>
      <c r="L29" s="1130"/>
      <c r="M29" s="1131"/>
      <c r="N29" s="1131"/>
      <c r="O29" s="1132"/>
      <c r="P29" s="3318"/>
      <c r="Q29" s="3032" t="str">
        <f t="shared" ref="Q29" si="9">B29</f>
        <v>基础设施水平</v>
      </c>
      <c r="R29" s="765" t="s">
        <v>17</v>
      </c>
      <c r="S29" s="766">
        <f>F29</f>
        <v>100</v>
      </c>
      <c r="T29" s="765" t="s">
        <v>17</v>
      </c>
      <c r="U29" s="766">
        <f>H29</f>
        <v>100</v>
      </c>
      <c r="V29" s="765" t="s">
        <v>17</v>
      </c>
      <c r="W29" s="766">
        <f>J29</f>
        <v>100</v>
      </c>
      <c r="X29" s="767"/>
      <c r="Y29" s="3318"/>
      <c r="Z29" s="3033" t="str">
        <f>Q29</f>
        <v>基础设施水平</v>
      </c>
      <c r="AA29" s="3037">
        <f>D29/F29</f>
        <v>1</v>
      </c>
      <c r="AB29" s="3037">
        <f>D29/H29</f>
        <v>1</v>
      </c>
      <c r="AC29" s="3037">
        <f>D29/J29</f>
        <v>1</v>
      </c>
    </row>
    <row r="30" spans="1:29" s="116" customFormat="1" ht="15">
      <c r="A30" s="2997"/>
      <c r="B30" s="3015"/>
      <c r="C30" s="2992" t="s">
        <v>3327</v>
      </c>
      <c r="D30" s="2984"/>
      <c r="E30" s="2993" t="s">
        <v>3327</v>
      </c>
      <c r="F30" s="2984"/>
      <c r="G30" s="2993" t="s">
        <v>3327</v>
      </c>
      <c r="H30" s="2984"/>
      <c r="I30" s="2993" t="s">
        <v>3327</v>
      </c>
      <c r="J30" s="2984"/>
      <c r="K30" s="667"/>
      <c r="L30" s="1130"/>
      <c r="M30" s="1131"/>
      <c r="N30" s="1131"/>
      <c r="O30" s="1132"/>
      <c r="P30" s="3318"/>
      <c r="Q30" s="3032"/>
      <c r="R30" s="765"/>
      <c r="S30" s="766"/>
      <c r="T30" s="765"/>
      <c r="U30" s="766"/>
      <c r="V30" s="765"/>
      <c r="W30" s="766"/>
      <c r="X30" s="767"/>
      <c r="Y30" s="3318"/>
      <c r="Z30" s="3033"/>
      <c r="AA30" s="3037">
        <v>1</v>
      </c>
      <c r="AB30" s="3037">
        <v>1</v>
      </c>
      <c r="AC30" s="3037">
        <v>1</v>
      </c>
    </row>
    <row r="31" spans="1:29" ht="15">
      <c r="A31" s="3001"/>
      <c r="B31" s="3015" t="s">
        <v>3168</v>
      </c>
      <c r="C31" s="431" t="s">
        <v>3104</v>
      </c>
      <c r="D31" s="2979">
        <v>100</v>
      </c>
      <c r="E31" s="2615" t="s">
        <v>3104</v>
      </c>
      <c r="F31" s="2979">
        <f>SUMIF(104:104,E31,105:105)-SUMIF(104:104,C31,105:105)+100</f>
        <v>100</v>
      </c>
      <c r="G31" s="2615" t="s">
        <v>3104</v>
      </c>
      <c r="H31" s="2979">
        <f>SUMIF(104:104,G31,105:105)-SUMIF(104:104,C31,105:105)+100</f>
        <v>100</v>
      </c>
      <c r="I31" s="2615" t="s">
        <v>3104</v>
      </c>
      <c r="J31" s="2979">
        <f>SUMIF(104:104,I31,105:105)-SUMIF(104:104,C31,105:105)+100</f>
        <v>100</v>
      </c>
      <c r="K31" s="668"/>
      <c r="L31" s="1138"/>
      <c r="M31" s="1129"/>
      <c r="N31" s="1129"/>
      <c r="O31" s="1137"/>
      <c r="P31" s="3318"/>
      <c r="Q31" s="3036" t="str">
        <f t="shared" si="8"/>
        <v>临街状况</v>
      </c>
      <c r="R31" s="769" t="s">
        <v>17</v>
      </c>
      <c r="S31" s="770">
        <f t="shared" ref="S31:S45" si="10">F31</f>
        <v>100</v>
      </c>
      <c r="T31" s="769" t="s">
        <v>17</v>
      </c>
      <c r="U31" s="770">
        <f t="shared" ref="U31:U45" si="11">H31</f>
        <v>100</v>
      </c>
      <c r="V31" s="769" t="s">
        <v>17</v>
      </c>
      <c r="W31" s="770">
        <f t="shared" ref="W31:W45" si="12">J31</f>
        <v>100</v>
      </c>
      <c r="X31" s="3034"/>
      <c r="Y31" s="3318"/>
      <c r="Z31" s="3035" t="str">
        <f t="shared" ref="Z31:Z45" si="13">Q31</f>
        <v>临街状况</v>
      </c>
      <c r="AA31" s="3037">
        <f t="shared" si="3"/>
        <v>1</v>
      </c>
      <c r="AB31" s="3037">
        <f t="shared" si="4"/>
        <v>1</v>
      </c>
      <c r="AC31" s="3037">
        <f t="shared" si="5"/>
        <v>1</v>
      </c>
    </row>
    <row r="32" spans="1:29" ht="27">
      <c r="A32" s="3001"/>
      <c r="B32" s="3016" t="s">
        <v>3169</v>
      </c>
      <c r="C32" s="451"/>
      <c r="D32" s="2985">
        <v>100</v>
      </c>
      <c r="E32" s="449"/>
      <c r="F32" s="2985">
        <f>SUMIF(106:106,E33,107:107)-SUMIF(106:106,C33,107:107)+100</f>
        <v>100</v>
      </c>
      <c r="G32" s="449"/>
      <c r="H32" s="2985">
        <f>SUMIF(106:106,G33,107:107)-SUMIF(106:106,C33,107:107)+100</f>
        <v>100</v>
      </c>
      <c r="I32" s="451"/>
      <c r="J32" s="2985">
        <f>SUMIF(106:106,I33,107:107)-SUMIF(106:106,C33,107:107)+100</f>
        <v>100</v>
      </c>
      <c r="K32" s="668">
        <v>1</v>
      </c>
      <c r="L32" s="1138"/>
      <c r="M32" s="1129"/>
      <c r="N32" s="1129"/>
      <c r="O32" s="1137"/>
      <c r="P32" s="3318"/>
      <c r="Q32" s="3036" t="str">
        <f t="shared" si="8"/>
        <v>毗邻道路的类型与等级</v>
      </c>
      <c r="R32" s="769" t="s">
        <v>17</v>
      </c>
      <c r="S32" s="770">
        <f t="shared" si="10"/>
        <v>100</v>
      </c>
      <c r="T32" s="769" t="s">
        <v>17</v>
      </c>
      <c r="U32" s="770">
        <f t="shared" si="11"/>
        <v>100</v>
      </c>
      <c r="V32" s="769" t="s">
        <v>17</v>
      </c>
      <c r="W32" s="770">
        <f t="shared" si="12"/>
        <v>100</v>
      </c>
      <c r="X32" s="3034"/>
      <c r="Y32" s="3318"/>
      <c r="Z32" s="3035" t="str">
        <f t="shared" si="13"/>
        <v>毗邻道路的类型与等级</v>
      </c>
      <c r="AA32" s="3037">
        <f t="shared" si="3"/>
        <v>1</v>
      </c>
      <c r="AB32" s="3037">
        <f t="shared" si="4"/>
        <v>1</v>
      </c>
      <c r="AC32" s="3037">
        <f t="shared" si="5"/>
        <v>1</v>
      </c>
    </row>
    <row r="33" spans="1:29" ht="15.75" thickBot="1">
      <c r="A33" s="3001"/>
      <c r="B33" s="3015"/>
      <c r="C33" s="2968" t="s">
        <v>3245</v>
      </c>
      <c r="D33" s="2984"/>
      <c r="E33" s="2991" t="s">
        <v>3245</v>
      </c>
      <c r="F33" s="2984"/>
      <c r="G33" s="2991" t="s">
        <v>3245</v>
      </c>
      <c r="H33" s="2984"/>
      <c r="I33" s="2968" t="s">
        <v>3245</v>
      </c>
      <c r="J33" s="2984"/>
      <c r="K33" s="608"/>
      <c r="L33" s="1138"/>
      <c r="M33" s="1129"/>
      <c r="N33" s="1129"/>
      <c r="O33" s="1137"/>
      <c r="P33" s="3318"/>
      <c r="Q33" s="3036"/>
      <c r="R33" s="769"/>
      <c r="S33" s="770"/>
      <c r="T33" s="769"/>
      <c r="U33" s="770"/>
      <c r="V33" s="769"/>
      <c r="W33" s="770"/>
      <c r="X33" s="3034"/>
      <c r="Y33" s="3318"/>
      <c r="Z33" s="3035"/>
      <c r="AA33" s="3037">
        <v>1</v>
      </c>
      <c r="AB33" s="3037">
        <v>1</v>
      </c>
      <c r="AC33" s="3037">
        <v>1</v>
      </c>
    </row>
    <row r="34" spans="1:29" ht="15.75" hidden="1" thickBot="1">
      <c r="A34" s="3001"/>
      <c r="B34" s="3010" t="s">
        <v>3170</v>
      </c>
      <c r="C34" s="431" t="s">
        <v>528</v>
      </c>
      <c r="D34" s="2979">
        <v>100</v>
      </c>
      <c r="E34" s="2615" t="s">
        <v>528</v>
      </c>
      <c r="F34" s="2979">
        <f>SUMIF(108:108,E34,109:109)-SUMIF(108:108,C34,109:109)+100</f>
        <v>100</v>
      </c>
      <c r="G34" s="2615" t="s">
        <v>528</v>
      </c>
      <c r="H34" s="2979">
        <f>SUMIF(108:108,G34,109:109)-SUMIF(108:108,C34,109:109)+100</f>
        <v>100</v>
      </c>
      <c r="I34" s="431" t="s">
        <v>526</v>
      </c>
      <c r="J34" s="2979">
        <f>SUMIF(108:108,I34,109:109)-SUMIF(108:108,C34,109:109)+100</f>
        <v>100</v>
      </c>
      <c r="K34" s="607"/>
      <c r="L34" s="1138"/>
      <c r="M34" s="1129"/>
      <c r="N34" s="1129"/>
      <c r="O34" s="1137"/>
      <c r="P34" s="3318"/>
      <c r="Q34" s="3036" t="str">
        <f t="shared" si="8"/>
        <v>土地级别</v>
      </c>
      <c r="R34" s="769" t="s">
        <v>17</v>
      </c>
      <c r="S34" s="770">
        <f t="shared" si="10"/>
        <v>100</v>
      </c>
      <c r="T34" s="769" t="s">
        <v>17</v>
      </c>
      <c r="U34" s="770">
        <f t="shared" si="11"/>
        <v>100</v>
      </c>
      <c r="V34" s="769" t="s">
        <v>17</v>
      </c>
      <c r="W34" s="770">
        <f t="shared" si="12"/>
        <v>100</v>
      </c>
      <c r="X34" s="3034"/>
      <c r="Y34" s="3318"/>
      <c r="Z34" s="3035" t="str">
        <f t="shared" si="13"/>
        <v>土地级别</v>
      </c>
      <c r="AA34" s="3037">
        <f t="shared" si="3"/>
        <v>1</v>
      </c>
      <c r="AB34" s="3037">
        <f t="shared" si="4"/>
        <v>1</v>
      </c>
      <c r="AC34" s="3037">
        <f t="shared" si="5"/>
        <v>1</v>
      </c>
    </row>
    <row r="35" spans="1:29" ht="15.75" hidden="1" thickBot="1">
      <c r="A35" s="2997"/>
      <c r="B35" s="3039">
        <v>111</v>
      </c>
      <c r="C35" s="669"/>
      <c r="D35" s="2979">
        <v>100</v>
      </c>
      <c r="E35" s="472"/>
      <c r="F35" s="2979">
        <f>SUMIF(110:110,E35,111:111)-SUMIF(110:110,C35,111:111)+100</f>
        <v>100</v>
      </c>
      <c r="G35" s="472"/>
      <c r="H35" s="2979">
        <f>SUMIF(110:110,G35,111:111)-SUMIF(110:110,C35,111:111)+100</f>
        <v>100</v>
      </c>
      <c r="I35" s="669"/>
      <c r="J35" s="2979">
        <f>SUMIF(110:110,I35,111:111)-SUMIF(110:110,C35,111:111)+100</f>
        <v>100</v>
      </c>
      <c r="K35" s="608"/>
      <c r="L35" s="1138"/>
      <c r="M35" s="1129"/>
      <c r="N35" s="1129"/>
      <c r="O35" s="1137"/>
      <c r="P35" s="3318"/>
      <c r="Q35" s="3036">
        <f t="shared" si="8"/>
        <v>111</v>
      </c>
      <c r="R35" s="769" t="s">
        <v>17</v>
      </c>
      <c r="S35" s="770">
        <f t="shared" si="10"/>
        <v>100</v>
      </c>
      <c r="T35" s="769" t="s">
        <v>17</v>
      </c>
      <c r="U35" s="770">
        <f t="shared" si="11"/>
        <v>100</v>
      </c>
      <c r="V35" s="769" t="s">
        <v>17</v>
      </c>
      <c r="W35" s="770">
        <f t="shared" si="12"/>
        <v>100</v>
      </c>
      <c r="X35" s="3034"/>
      <c r="Y35" s="3318"/>
      <c r="Z35" s="3035">
        <f t="shared" si="13"/>
        <v>111</v>
      </c>
      <c r="AA35" s="3037">
        <f t="shared" si="3"/>
        <v>1</v>
      </c>
      <c r="AB35" s="3037">
        <f t="shared" si="4"/>
        <v>1</v>
      </c>
      <c r="AC35" s="3037">
        <f t="shared" si="5"/>
        <v>1</v>
      </c>
    </row>
    <row r="36" spans="1:29" ht="15.75" hidden="1" thickBot="1">
      <c r="A36" s="3005"/>
      <c r="B36" s="1385">
        <v>111</v>
      </c>
      <c r="C36" s="669"/>
      <c r="D36" s="2979">
        <v>100</v>
      </c>
      <c r="E36" s="472"/>
      <c r="F36" s="2979">
        <f>SUMIF(112:112,E37,113:113)-SUMIF(112:112,C37,113:113)+100</f>
        <v>100</v>
      </c>
      <c r="G36" s="472"/>
      <c r="H36" s="2979">
        <f>SUMIF(112:112,G36,113:113)-SUMIF(112:112,C36,113:113)+100</f>
        <v>100</v>
      </c>
      <c r="I36" s="669"/>
      <c r="J36" s="2979">
        <f>SUMIF(112:112,I36,113:113)-SUMIF(112:112,C36,113:113)+100</f>
        <v>100</v>
      </c>
      <c r="K36" s="608"/>
      <c r="L36" s="1138"/>
      <c r="M36" s="1129"/>
      <c r="N36" s="1129"/>
      <c r="O36" s="1137"/>
      <c r="P36" s="3404" t="s">
        <v>2567</v>
      </c>
      <c r="Q36" s="3036">
        <f t="shared" si="8"/>
        <v>111</v>
      </c>
      <c r="R36" s="769" t="s">
        <v>17</v>
      </c>
      <c r="S36" s="770">
        <f t="shared" si="10"/>
        <v>100</v>
      </c>
      <c r="T36" s="769" t="s">
        <v>17</v>
      </c>
      <c r="U36" s="770">
        <f t="shared" si="11"/>
        <v>100</v>
      </c>
      <c r="V36" s="769" t="s">
        <v>17</v>
      </c>
      <c r="W36" s="770">
        <f t="shared" si="12"/>
        <v>100</v>
      </c>
      <c r="X36" s="3034"/>
      <c r="Y36" s="3322" t="s">
        <v>2567</v>
      </c>
      <c r="Z36" s="3035">
        <f t="shared" si="13"/>
        <v>111</v>
      </c>
      <c r="AA36" s="3037">
        <f t="shared" si="3"/>
        <v>1</v>
      </c>
      <c r="AB36" s="3037">
        <f t="shared" si="4"/>
        <v>1</v>
      </c>
      <c r="AC36" s="3037">
        <f t="shared" si="5"/>
        <v>1</v>
      </c>
    </row>
    <row r="37" spans="1:29" s="466" customFormat="1" ht="15.75" hidden="1" thickBot="1">
      <c r="A37" s="3018"/>
      <c r="B37" s="3019">
        <v>111</v>
      </c>
      <c r="C37" s="673"/>
      <c r="D37" s="2981">
        <v>100</v>
      </c>
      <c r="E37" s="696"/>
      <c r="F37" s="2981">
        <f>SUMIF(114:114,E37,115:115)-SUMIF(114:114,C37,115:115)+100</f>
        <v>100</v>
      </c>
      <c r="G37" s="696"/>
      <c r="H37" s="2981">
        <f>SUMIF(114:114,G37,115:115)-SUMIF(114:114,C37,115:115)+100</f>
        <v>100</v>
      </c>
      <c r="I37" s="673"/>
      <c r="J37" s="2981">
        <f>SUMIF(114:114,I37,115:115)-SUMIF(114:114,C37,115:115)+100</f>
        <v>100</v>
      </c>
      <c r="K37" s="608"/>
      <c r="L37" s="1136"/>
      <c r="M37" s="1139"/>
      <c r="N37" s="1139"/>
      <c r="O37" s="1140"/>
      <c r="P37" s="3322"/>
      <c r="Q37" s="3036">
        <f t="shared" si="8"/>
        <v>111</v>
      </c>
      <c r="R37" s="772" t="s">
        <v>17</v>
      </c>
      <c r="S37" s="773">
        <f t="shared" si="10"/>
        <v>100</v>
      </c>
      <c r="T37" s="772" t="s">
        <v>17</v>
      </c>
      <c r="U37" s="773">
        <f t="shared" si="11"/>
        <v>100</v>
      </c>
      <c r="V37" s="772" t="s">
        <v>17</v>
      </c>
      <c r="W37" s="773">
        <f t="shared" si="12"/>
        <v>100</v>
      </c>
      <c r="X37" s="774"/>
      <c r="Y37" s="3322"/>
      <c r="Z37" s="775">
        <f t="shared" si="13"/>
        <v>111</v>
      </c>
      <c r="AA37" s="3037">
        <f t="shared" si="3"/>
        <v>1</v>
      </c>
      <c r="AB37" s="3037">
        <f t="shared" si="4"/>
        <v>1</v>
      </c>
      <c r="AC37" s="3037">
        <f t="shared" si="5"/>
        <v>1</v>
      </c>
    </row>
    <row r="38" spans="1:29" ht="15">
      <c r="A38" s="3006" t="s">
        <v>2565</v>
      </c>
      <c r="B38" s="3015" t="s">
        <v>3171</v>
      </c>
      <c r="C38" s="2994" t="s">
        <v>3379</v>
      </c>
      <c r="D38" s="2978">
        <v>100</v>
      </c>
      <c r="E38" s="3099">
        <f>土地案例2!L3</f>
        <v>39972.523999999998</v>
      </c>
      <c r="F38" s="3100">
        <v>96</v>
      </c>
      <c r="G38" s="3099">
        <f>土地案例2!L4</f>
        <v>46473.406999999999</v>
      </c>
      <c r="H38" s="3100">
        <v>96</v>
      </c>
      <c r="I38" s="3101">
        <f>土地案例2!L5</f>
        <v>62373.906999999999</v>
      </c>
      <c r="J38" s="3100">
        <v>96</v>
      </c>
      <c r="K38" s="608"/>
      <c r="L38" s="1138"/>
      <c r="M38" s="1129"/>
      <c r="N38" s="1129"/>
      <c r="O38" s="1137"/>
      <c r="P38" s="3322"/>
      <c r="Q38" s="3036" t="str">
        <f>B38</f>
        <v>宗地面积</v>
      </c>
      <c r="R38" s="769" t="s">
        <v>17</v>
      </c>
      <c r="S38" s="770">
        <f t="shared" si="10"/>
        <v>96</v>
      </c>
      <c r="T38" s="769" t="s">
        <v>17</v>
      </c>
      <c r="U38" s="770">
        <f t="shared" si="11"/>
        <v>96</v>
      </c>
      <c r="V38" s="769" t="s">
        <v>17</v>
      </c>
      <c r="W38" s="770">
        <f t="shared" si="12"/>
        <v>96</v>
      </c>
      <c r="X38" s="3034"/>
      <c r="Y38" s="3322"/>
      <c r="Z38" s="3035" t="str">
        <f t="shared" si="13"/>
        <v>宗地面积</v>
      </c>
      <c r="AA38" s="3037">
        <f t="shared" si="3"/>
        <v>1.0416666666666667</v>
      </c>
      <c r="AB38" s="3037">
        <f t="shared" si="4"/>
        <v>1.0416666666666667</v>
      </c>
      <c r="AC38" s="3037">
        <f t="shared" si="5"/>
        <v>1.0416666666666667</v>
      </c>
    </row>
    <row r="39" spans="1:29" ht="15">
      <c r="A39" s="3006"/>
      <c r="B39" s="3010" t="s">
        <v>3172</v>
      </c>
      <c r="C39" s="2994" t="s">
        <v>3102</v>
      </c>
      <c r="D39" s="2979">
        <v>100</v>
      </c>
      <c r="E39" s="2994" t="s">
        <v>3102</v>
      </c>
      <c r="F39" s="2979">
        <f>SUMIF(119:119,E39,120:120)-SUMIF(119:119,C39,120:120)+100</f>
        <v>100</v>
      </c>
      <c r="G39" s="2994" t="s">
        <v>3102</v>
      </c>
      <c r="H39" s="2979">
        <f>SUMIF(119:119,G39,120:120)-SUMIF(119:119,C39,120:120)+100</f>
        <v>100</v>
      </c>
      <c r="I39" s="2994" t="s">
        <v>3102</v>
      </c>
      <c r="J39" s="2979">
        <f>SUMIF(119:119,I39,120:120)-SUMIF(119:119,C39,120:120)+100</f>
        <v>100</v>
      </c>
      <c r="K39" s="607">
        <v>1</v>
      </c>
      <c r="L39" s="1138"/>
      <c r="M39" s="1129"/>
      <c r="N39" s="1129"/>
      <c r="O39" s="1137"/>
      <c r="P39" s="3322"/>
      <c r="Q39" s="3036" t="str">
        <f t="shared" ref="Q39:Q45" si="14">B39</f>
        <v>宗地形状</v>
      </c>
      <c r="R39" s="769" t="s">
        <v>17</v>
      </c>
      <c r="S39" s="770">
        <f t="shared" si="10"/>
        <v>100</v>
      </c>
      <c r="T39" s="769" t="s">
        <v>17</v>
      </c>
      <c r="U39" s="770">
        <f t="shared" si="11"/>
        <v>100</v>
      </c>
      <c r="V39" s="769" t="s">
        <v>17</v>
      </c>
      <c r="W39" s="770">
        <f t="shared" si="12"/>
        <v>100</v>
      </c>
      <c r="X39" s="3034"/>
      <c r="Y39" s="3322"/>
      <c r="Z39" s="3035" t="str">
        <f t="shared" si="13"/>
        <v>宗地形状</v>
      </c>
      <c r="AA39" s="3037">
        <f t="shared" si="3"/>
        <v>1</v>
      </c>
      <c r="AB39" s="3037">
        <f t="shared" si="4"/>
        <v>1</v>
      </c>
      <c r="AC39" s="3037">
        <f t="shared" si="5"/>
        <v>1</v>
      </c>
    </row>
    <row r="40" spans="1:29" ht="15" hidden="1">
      <c r="A40" s="3006"/>
      <c r="B40" s="3010" t="s">
        <v>3173</v>
      </c>
      <c r="C40" s="2994"/>
      <c r="D40" s="2979">
        <v>100</v>
      </c>
      <c r="E40" s="2994"/>
      <c r="F40" s="2979">
        <f>SUMIF(121:121,E40,122:122)-SUMIF(121:121,C40,122:122)+100</f>
        <v>100</v>
      </c>
      <c r="G40" s="2994"/>
      <c r="H40" s="2979">
        <f>SUMIF(121:121,G40,122:122)-SUMIF(121:121,C40,122:122)+100</f>
        <v>100</v>
      </c>
      <c r="I40" s="2994"/>
      <c r="J40" s="2979">
        <f>SUMIF(121:121,I40,122:122)-SUMIF(121:121,C40,122:122)+100</f>
        <v>100</v>
      </c>
      <c r="K40" s="607"/>
      <c r="L40" s="1138"/>
      <c r="M40" s="1129"/>
      <c r="N40" s="1129"/>
      <c r="O40" s="1137"/>
      <c r="P40" s="3322"/>
      <c r="Q40" s="3036" t="str">
        <f t="shared" si="14"/>
        <v>临街宽度及深度</v>
      </c>
      <c r="R40" s="769" t="s">
        <v>17</v>
      </c>
      <c r="S40" s="770">
        <f t="shared" si="10"/>
        <v>100</v>
      </c>
      <c r="T40" s="769" t="s">
        <v>17</v>
      </c>
      <c r="U40" s="770">
        <f t="shared" si="11"/>
        <v>100</v>
      </c>
      <c r="V40" s="769" t="s">
        <v>17</v>
      </c>
      <c r="W40" s="770">
        <f t="shared" si="12"/>
        <v>100</v>
      </c>
      <c r="X40" s="3034"/>
      <c r="Y40" s="3322"/>
      <c r="Z40" s="3035" t="str">
        <f t="shared" si="13"/>
        <v>临街宽度及深度</v>
      </c>
      <c r="AA40" s="3037">
        <f t="shared" si="3"/>
        <v>1</v>
      </c>
      <c r="AB40" s="3037">
        <f t="shared" si="4"/>
        <v>1</v>
      </c>
      <c r="AC40" s="3037">
        <f t="shared" si="5"/>
        <v>1</v>
      </c>
    </row>
    <row r="41" spans="1:29" s="116" customFormat="1" ht="15">
      <c r="A41" s="3006"/>
      <c r="B41" s="3010" t="s">
        <v>3174</v>
      </c>
      <c r="C41" s="3026" t="s">
        <v>3181</v>
      </c>
      <c r="D41" s="2979">
        <v>100</v>
      </c>
      <c r="E41" s="2959" t="s">
        <v>3253</v>
      </c>
      <c r="F41" s="2979">
        <f>SUMIF(123:123,E41,124:124)-SUMIF(123:123,C41,124:124)+100</f>
        <v>103</v>
      </c>
      <c r="G41" s="2959" t="s">
        <v>3253</v>
      </c>
      <c r="H41" s="2979">
        <f>SUMIF(123:123,G41,124:124)-SUMIF(123:123,C41,124:124)+100</f>
        <v>103</v>
      </c>
      <c r="I41" s="2959" t="s">
        <v>3253</v>
      </c>
      <c r="J41" s="2979">
        <f>SUMIF(123:123,I41,124:124)-SUMIF(123:123,C41,124:124)+100</f>
        <v>103</v>
      </c>
      <c r="K41" s="607">
        <v>1</v>
      </c>
      <c r="L41" s="1130"/>
      <c r="M41" s="1131"/>
      <c r="N41" s="1131"/>
      <c r="O41" s="1132"/>
      <c r="P41" s="3322"/>
      <c r="Q41" s="3036" t="str">
        <f t="shared" si="14"/>
        <v>宗地开发程度</v>
      </c>
      <c r="R41" s="765" t="s">
        <v>17</v>
      </c>
      <c r="S41" s="766">
        <f t="shared" si="10"/>
        <v>103</v>
      </c>
      <c r="T41" s="765" t="s">
        <v>17</v>
      </c>
      <c r="U41" s="766">
        <f t="shared" si="11"/>
        <v>103</v>
      </c>
      <c r="V41" s="765" t="s">
        <v>17</v>
      </c>
      <c r="W41" s="766">
        <f t="shared" si="12"/>
        <v>103</v>
      </c>
      <c r="X41" s="767"/>
      <c r="Y41" s="3322"/>
      <c r="Z41" s="3033" t="str">
        <f t="shared" si="13"/>
        <v>宗地开发程度</v>
      </c>
      <c r="AA41" s="768">
        <f t="shared" si="3"/>
        <v>0.970873786407767</v>
      </c>
      <c r="AB41" s="768">
        <f t="shared" si="4"/>
        <v>0.970873786407767</v>
      </c>
      <c r="AC41" s="768">
        <f t="shared" si="5"/>
        <v>0.970873786407767</v>
      </c>
    </row>
    <row r="42" spans="1:29" ht="15">
      <c r="A42" s="3006"/>
      <c r="B42" s="3010" t="s">
        <v>3175</v>
      </c>
      <c r="C42" s="2994" t="s">
        <v>3071</v>
      </c>
      <c r="D42" s="2979">
        <v>100</v>
      </c>
      <c r="E42" s="2994" t="s">
        <v>3071</v>
      </c>
      <c r="F42" s="2979">
        <f>SUMIF(125:125,E42,126:126)-SUMIF(125:125,C42,126:126)+100</f>
        <v>100</v>
      </c>
      <c r="G42" s="2994" t="s">
        <v>3071</v>
      </c>
      <c r="H42" s="2979">
        <f>SUMIF(125:125,G42,126:126)-SUMIF(125:125,C42,126:126)+100</f>
        <v>100</v>
      </c>
      <c r="I42" s="2994" t="s">
        <v>3071</v>
      </c>
      <c r="J42" s="2979">
        <f>SUMIF(125:125,I42,126:126)-SUMIF(125:125,C42,126:126)+100</f>
        <v>100</v>
      </c>
      <c r="K42" s="607"/>
      <c r="L42" s="1138"/>
      <c r="M42" s="1129"/>
      <c r="N42" s="1129"/>
      <c r="O42" s="1137"/>
      <c r="P42" s="3322" t="s">
        <v>2567</v>
      </c>
      <c r="Q42" s="3036" t="str">
        <f t="shared" si="14"/>
        <v>工程地质条件</v>
      </c>
      <c r="R42" s="769" t="s">
        <v>17</v>
      </c>
      <c r="S42" s="770">
        <f t="shared" si="10"/>
        <v>100</v>
      </c>
      <c r="T42" s="769" t="s">
        <v>17</v>
      </c>
      <c r="U42" s="770">
        <f t="shared" si="11"/>
        <v>100</v>
      </c>
      <c r="V42" s="769" t="s">
        <v>17</v>
      </c>
      <c r="W42" s="770">
        <f t="shared" si="12"/>
        <v>100</v>
      </c>
      <c r="X42" s="3034"/>
      <c r="Y42" s="3322" t="s">
        <v>2567</v>
      </c>
      <c r="Z42" s="3035" t="str">
        <f t="shared" si="13"/>
        <v>工程地质条件</v>
      </c>
      <c r="AA42" s="3037">
        <f t="shared" si="3"/>
        <v>1</v>
      </c>
      <c r="AB42" s="3037">
        <f t="shared" si="4"/>
        <v>1</v>
      </c>
      <c r="AC42" s="3037">
        <f t="shared" si="5"/>
        <v>1</v>
      </c>
    </row>
    <row r="43" spans="1:29" ht="15.75" thickBot="1">
      <c r="A43" s="3006"/>
      <c r="B43" s="2951" t="s">
        <v>3088</v>
      </c>
      <c r="C43" s="2952" t="s">
        <v>3089</v>
      </c>
      <c r="D43" s="2979">
        <v>100</v>
      </c>
      <c r="E43" s="2952" t="s">
        <v>3089</v>
      </c>
      <c r="F43" s="2979">
        <f>SUMIF(127:127,E43,128:128)-SUMIF(127:127,C43,128:128)+100</f>
        <v>100</v>
      </c>
      <c r="G43" s="2952" t="s">
        <v>3091</v>
      </c>
      <c r="H43" s="2979">
        <f>SUMIF(127:127,G43,128:128)-SUMIF(127:127,C43,128:128)+100</f>
        <v>100</v>
      </c>
      <c r="I43" s="2953" t="s">
        <v>3091</v>
      </c>
      <c r="J43" s="2979">
        <f>SUMIF(127:127,I43,128:128)-SUMIF(127:127,C43,128:128)+100</f>
        <v>100</v>
      </c>
      <c r="K43" s="608"/>
      <c r="L43" s="1138"/>
      <c r="M43" s="1129"/>
      <c r="N43" s="1129"/>
      <c r="O43" s="1137"/>
      <c r="P43" s="3322"/>
      <c r="Q43" s="3036" t="str">
        <f t="shared" si="14"/>
        <v>宗地规划限制</v>
      </c>
      <c r="R43" s="769" t="s">
        <v>17</v>
      </c>
      <c r="S43" s="770">
        <f t="shared" si="10"/>
        <v>100</v>
      </c>
      <c r="T43" s="769" t="s">
        <v>17</v>
      </c>
      <c r="U43" s="770">
        <f t="shared" si="11"/>
        <v>100</v>
      </c>
      <c r="V43" s="769" t="s">
        <v>17</v>
      </c>
      <c r="W43" s="770">
        <f t="shared" si="12"/>
        <v>100</v>
      </c>
      <c r="X43" s="3034"/>
      <c r="Y43" s="3322"/>
      <c r="Z43" s="3035" t="str">
        <f t="shared" si="13"/>
        <v>宗地规划限制</v>
      </c>
      <c r="AA43" s="3037">
        <f t="shared" si="3"/>
        <v>1</v>
      </c>
      <c r="AB43" s="3037">
        <f t="shared" si="4"/>
        <v>1</v>
      </c>
      <c r="AC43" s="3037">
        <f t="shared" si="5"/>
        <v>1</v>
      </c>
    </row>
    <row r="44" spans="1:29" ht="15.75" hidden="1" thickBot="1">
      <c r="A44" s="3006"/>
      <c r="B44" s="1385">
        <v>111</v>
      </c>
      <c r="C44" s="669"/>
      <c r="D44" s="2979">
        <v>100</v>
      </c>
      <c r="E44" s="669"/>
      <c r="F44" s="2979">
        <f>SUMIF(129:129,E44,130:130)-SUMIF(129:129,C44,130:130)+100</f>
        <v>100</v>
      </c>
      <c r="G44" s="669"/>
      <c r="H44" s="2979">
        <f>SUMIF(129:129,G44,130:130)-SUMIF(129:129,C44,130:130)+100</f>
        <v>100</v>
      </c>
      <c r="I44" s="544"/>
      <c r="J44" s="2979">
        <f>SUMIF(129:129,I44,130:130)-SUMIF(129:129,C44,130:130)+100</f>
        <v>100</v>
      </c>
      <c r="K44" s="608"/>
      <c r="L44" s="1138"/>
      <c r="M44" s="1129"/>
      <c r="N44" s="1129"/>
      <c r="O44" s="1137"/>
      <c r="P44" s="3322"/>
      <c r="Q44" s="3036">
        <f t="shared" si="14"/>
        <v>111</v>
      </c>
      <c r="R44" s="769" t="s">
        <v>17</v>
      </c>
      <c r="S44" s="770">
        <f t="shared" si="10"/>
        <v>100</v>
      </c>
      <c r="T44" s="769" t="s">
        <v>17</v>
      </c>
      <c r="U44" s="770">
        <f t="shared" si="11"/>
        <v>100</v>
      </c>
      <c r="V44" s="769" t="s">
        <v>17</v>
      </c>
      <c r="W44" s="770">
        <f t="shared" si="12"/>
        <v>100</v>
      </c>
      <c r="X44" s="3034"/>
      <c r="Y44" s="3322"/>
      <c r="Z44" s="3035">
        <f t="shared" si="13"/>
        <v>111</v>
      </c>
      <c r="AA44" s="3037">
        <f t="shared" si="3"/>
        <v>1</v>
      </c>
      <c r="AB44" s="3037">
        <f t="shared" si="4"/>
        <v>1</v>
      </c>
      <c r="AC44" s="3037">
        <f t="shared" si="5"/>
        <v>1</v>
      </c>
    </row>
    <row r="45" spans="1:29" s="466" customFormat="1" ht="15.75" hidden="1" thickBot="1">
      <c r="A45" s="463"/>
      <c r="B45" s="1385">
        <v>111</v>
      </c>
      <c r="C45" s="2703"/>
      <c r="D45" s="675">
        <v>100</v>
      </c>
      <c r="E45" s="669"/>
      <c r="F45" s="435">
        <f>SUMIF(131:131,E45,132:132)-SUMIF(131:131,C45,132:132)+100</f>
        <v>100</v>
      </c>
      <c r="G45" s="669"/>
      <c r="H45" s="435">
        <f>SUMIF(131:131,G45,132:132)-SUMIF(131:131,C45,132:132)+100</f>
        <v>100</v>
      </c>
      <c r="I45" s="669"/>
      <c r="J45" s="435">
        <f>SUMIF(131:131,I45,132:132)-SUMIF(131:131,C45,132:132)+100</f>
        <v>100</v>
      </c>
      <c r="K45" s="676"/>
      <c r="L45" s="1136"/>
      <c r="M45" s="1139"/>
      <c r="N45" s="1139"/>
      <c r="O45" s="1140"/>
      <c r="P45" s="3322"/>
      <c r="Q45" s="3036">
        <f t="shared" si="14"/>
        <v>111</v>
      </c>
      <c r="R45" s="772" t="s">
        <v>17</v>
      </c>
      <c r="S45" s="773">
        <f t="shared" si="10"/>
        <v>100</v>
      </c>
      <c r="T45" s="772" t="s">
        <v>17</v>
      </c>
      <c r="U45" s="773">
        <f t="shared" si="11"/>
        <v>100</v>
      </c>
      <c r="V45" s="772" t="s">
        <v>17</v>
      </c>
      <c r="W45" s="773">
        <f t="shared" si="12"/>
        <v>100</v>
      </c>
      <c r="X45" s="774"/>
      <c r="Y45" s="3322"/>
      <c r="Z45" s="775">
        <f t="shared" si="13"/>
        <v>111</v>
      </c>
      <c r="AA45" s="3037">
        <f t="shared" si="3"/>
        <v>1</v>
      </c>
      <c r="AB45" s="3037">
        <f t="shared" si="4"/>
        <v>1</v>
      </c>
      <c r="AC45" s="3037">
        <f t="shared" si="5"/>
        <v>1</v>
      </c>
    </row>
    <row r="46" spans="1:29" ht="15">
      <c r="A46" s="474" t="s">
        <v>2722</v>
      </c>
      <c r="B46" s="2704" t="s">
        <v>2755</v>
      </c>
      <c r="C46" s="677" t="s">
        <v>1</v>
      </c>
      <c r="D46" s="476"/>
      <c r="E46" s="477">
        <f>土地案例2!Q3</f>
        <v>15000</v>
      </c>
      <c r="F46" s="478"/>
      <c r="G46" s="3093">
        <f>土地案例2!Q4</f>
        <v>13000</v>
      </c>
      <c r="H46" s="480"/>
      <c r="I46" s="3094">
        <f>土地案例2!Q5</f>
        <v>10691</v>
      </c>
      <c r="J46" s="480"/>
      <c r="K46" s="778"/>
      <c r="L46" s="1141"/>
      <c r="M46" s="1142"/>
      <c r="N46" s="1129"/>
      <c r="O46" s="1142"/>
      <c r="P46" s="3315" t="str">
        <f>A46</f>
        <v>成交单价</v>
      </c>
      <c r="Q46" s="3315"/>
      <c r="R46" s="3346">
        <f>E46</f>
        <v>15000</v>
      </c>
      <c r="S46" s="3346"/>
      <c r="T46" s="3346">
        <f>G46</f>
        <v>13000</v>
      </c>
      <c r="U46" s="3346"/>
      <c r="V46" s="3346">
        <f>I46</f>
        <v>10691</v>
      </c>
      <c r="W46" s="3346"/>
      <c r="X46" s="754"/>
      <c r="Y46" s="776"/>
      <c r="Z46" s="754"/>
      <c r="AA46" s="754"/>
      <c r="AB46" s="754"/>
      <c r="AC46" s="754"/>
    </row>
    <row r="47" spans="1:29" ht="15.75" thickBot="1">
      <c r="A47" s="481" t="s">
        <v>2580</v>
      </c>
      <c r="B47" s="678"/>
      <c r="C47" s="485">
        <f>R48</f>
        <v>16443</v>
      </c>
      <c r="D47" s="484"/>
      <c r="E47" s="485">
        <f>R47</f>
        <v>16380</v>
      </c>
      <c r="F47" s="486"/>
      <c r="G47" s="483">
        <f>T47</f>
        <v>18854</v>
      </c>
      <c r="H47" s="484"/>
      <c r="I47" s="485">
        <f>V47</f>
        <v>14094</v>
      </c>
      <c r="J47" s="484"/>
      <c r="K47" s="779"/>
      <c r="L47" s="1141"/>
      <c r="M47" s="1142"/>
      <c r="N47" s="1142"/>
      <c r="O47" s="1142"/>
      <c r="P47" s="3315" t="str">
        <f>A47</f>
        <v>比较价值（元/平方米）</v>
      </c>
      <c r="Q47" s="3315"/>
      <c r="R47" s="3405">
        <f>ROUND(PRODUCT(R46,AA7:AA45),0)</f>
        <v>16380</v>
      </c>
      <c r="S47" s="3405"/>
      <c r="T47" s="3405">
        <f>ROUND(PRODUCT(T46,AB7:AB45),0)</f>
        <v>18854</v>
      </c>
      <c r="U47" s="3405"/>
      <c r="V47" s="3405">
        <f>ROUND(PRODUCT(V46,AC7:AC45),0)</f>
        <v>14094</v>
      </c>
      <c r="W47" s="3405"/>
      <c r="X47" s="754"/>
      <c r="Y47" s="754"/>
      <c r="Z47" s="754"/>
      <c r="AA47" s="754"/>
      <c r="AB47" s="754"/>
      <c r="AC47" s="754"/>
    </row>
    <row r="48" spans="1:29" ht="15.75" thickBot="1">
      <c r="A48" s="487" t="s">
        <v>2756</v>
      </c>
      <c r="B48" s="488"/>
      <c r="C48" s="489">
        <f>R48</f>
        <v>16443</v>
      </c>
      <c r="D48" s="489"/>
      <c r="E48" s="489"/>
      <c r="F48" s="489"/>
      <c r="G48" s="489"/>
      <c r="H48" s="489"/>
      <c r="I48" s="489"/>
      <c r="J48" s="489"/>
      <c r="K48" s="780"/>
      <c r="L48" s="1141"/>
      <c r="M48" s="1142"/>
      <c r="N48" s="1142"/>
      <c r="O48" s="1142"/>
      <c r="P48" s="3312" t="str">
        <f>A48</f>
        <v>估价对象XX用房的比较价值（楼面单价，元/平方米）</v>
      </c>
      <c r="Q48" s="3313"/>
      <c r="R48" s="3406">
        <f>ROUND(AVERAGE(R47:V47),0)</f>
        <v>16443</v>
      </c>
      <c r="S48" s="3406"/>
      <c r="T48" s="3406"/>
      <c r="U48" s="3406"/>
      <c r="V48" s="3406"/>
      <c r="W48" s="3406"/>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2" t="s">
        <v>2582</v>
      </c>
      <c r="D51" s="493"/>
      <c r="E51" s="494">
        <f>IF(E46&lt;E47,E47/E46-1,E46/E47-1)</f>
        <v>9.2000000000000082E-2</v>
      </c>
      <c r="F51" s="495" t="str">
        <f>IF(OR(E51&gt;=0.3,E51&lt;=-0.3),"超过30%","")</f>
        <v/>
      </c>
      <c r="G51" s="494">
        <f>IF(G46&lt;G47,G47/G46-1,G46/G47-1)</f>
        <v>0.4503076923076923</v>
      </c>
      <c r="H51" s="495" t="str">
        <f>IF(OR(G51&gt;=0.3,G51&lt;=-0.3),"超过30%","")</f>
        <v>超过30%</v>
      </c>
      <c r="I51" s="494">
        <f>IF(I46&lt;I47,I47/I46-1,I46/I47-1)</f>
        <v>0.31830511645309145</v>
      </c>
      <c r="J51" s="495" t="str">
        <f>IF(OR(I51&gt;=0.3,I51&lt;=-0.3),"超过30%","")</f>
        <v>超过30%</v>
      </c>
      <c r="K51" s="1103"/>
      <c r="L51" s="1104"/>
      <c r="M51" s="1142"/>
      <c r="N51" s="1142"/>
      <c r="O51" s="1142"/>
    </row>
    <row r="52" spans="1:15" ht="13.5" customHeight="1">
      <c r="A52" s="1142"/>
      <c r="B52" s="1142"/>
      <c r="C52" s="492" t="s">
        <v>2583</v>
      </c>
      <c r="D52" s="496"/>
      <c r="E52" s="494">
        <f>IF(E47&lt;G47,G47/E47-1,E47/G47-1)</f>
        <v>0.15103785103785095</v>
      </c>
      <c r="F52" s="495" t="str">
        <f>IF(OR(E52&gt;=0.2,E52&lt;=-0.2),"超过20%","")</f>
        <v/>
      </c>
      <c r="G52" s="494">
        <f>IF(G47&lt;I47,I47/G47-1,G47/I47-1)</f>
        <v>0.33773236838370946</v>
      </c>
      <c r="H52" s="495" t="str">
        <f>IF(OR(G52&gt;=0.2,G52&lt;=-0.2),"超过20%","")</f>
        <v>超过20%</v>
      </c>
      <c r="I52" s="494">
        <f>IF(I47&lt;E47,E47/I47-1,I47/E47-1)</f>
        <v>0.16219667943805871</v>
      </c>
      <c r="J52" s="495" t="str">
        <f>IF(OR(I52&gt;=0.2,I52&lt;=-0.2),"超过20%","")</f>
        <v/>
      </c>
      <c r="K52" s="1103"/>
      <c r="L52" s="1104"/>
      <c r="M52" s="1142"/>
      <c r="N52" s="1142"/>
      <c r="O52" s="1142"/>
    </row>
    <row r="53" spans="1:15" s="497" customFormat="1" ht="13.5" customHeight="1">
      <c r="A53" s="1143"/>
      <c r="B53" s="1143"/>
      <c r="C53" s="492" t="s">
        <v>2584</v>
      </c>
      <c r="D53" s="496"/>
      <c r="E53" s="494">
        <f>IF(E46&lt;G46,G46/E46-1,E46/G46-1)</f>
        <v>0.15384615384615374</v>
      </c>
      <c r="F53" s="495" t="str">
        <f>IF(OR(E53&gt;=0.3,E53&lt;=-0.3),"超过30%","")</f>
        <v/>
      </c>
      <c r="G53" s="494">
        <f>IF(G46&lt;I46,I46/G46-1,G46/I46-1)</f>
        <v>0.21597605462538594</v>
      </c>
      <c r="H53" s="495" t="str">
        <f>IF(OR(G53&gt;=0.3,G53&lt;=-0.3),"超过30%","")</f>
        <v/>
      </c>
      <c r="I53" s="494">
        <f>IF(I46&lt;E46,E46/I46-1,I46/E46-1)</f>
        <v>0.40304929379852217</v>
      </c>
      <c r="J53" s="495" t="str">
        <f>IF(OR(I53&gt;=0.3,I53&lt;=-0.3),"超过30%","")</f>
        <v>超过30%</v>
      </c>
      <c r="K53" s="1146"/>
      <c r="L53" s="1147"/>
      <c r="M53" s="1143"/>
      <c r="N53" s="1143"/>
      <c r="O53" s="1143"/>
    </row>
    <row r="54" spans="1:15" s="497" customFormat="1" ht="15" thickBot="1">
      <c r="A54" s="1143"/>
      <c r="B54" s="1144"/>
      <c r="C54" s="757"/>
      <c r="D54" s="755"/>
      <c r="E54" s="755"/>
      <c r="F54" s="755"/>
      <c r="G54" s="755"/>
      <c r="H54" s="755"/>
      <c r="I54" s="755"/>
      <c r="J54" s="755"/>
      <c r="K54" s="1146"/>
      <c r="L54" s="1147"/>
      <c r="M54" s="1143"/>
      <c r="N54" s="1143"/>
      <c r="O54" s="1143"/>
    </row>
    <row r="55" spans="1:15" ht="27" customHeight="1">
      <c r="A55" s="679" t="s">
        <v>2757</v>
      </c>
      <c r="B55" s="680" t="s">
        <v>2758</v>
      </c>
      <c r="C55" s="2705" t="s">
        <v>2759</v>
      </c>
      <c r="D55" s="2706" t="s">
        <v>2760</v>
      </c>
      <c r="E55" s="3038" t="s">
        <v>2761</v>
      </c>
      <c r="F55" s="1105" t="s">
        <v>2762</v>
      </c>
      <c r="G55" s="3330" t="s">
        <v>2763</v>
      </c>
      <c r="H55" s="3407"/>
      <c r="I55" s="141" t="s">
        <v>2764</v>
      </c>
      <c r="J55" s="2707">
        <f>项目基本情况!F35</f>
        <v>0</v>
      </c>
      <c r="K55" s="2708" t="s">
        <v>2765</v>
      </c>
      <c r="L55" s="1104"/>
      <c r="M55" s="1142"/>
      <c r="N55" s="1142"/>
      <c r="O55" s="1142"/>
    </row>
    <row r="56" spans="1:15" s="687" customFormat="1">
      <c r="A56" s="683" t="s">
        <v>2766</v>
      </c>
      <c r="B56" s="684">
        <f>C48</f>
        <v>16443</v>
      </c>
      <c r="C56" s="685">
        <v>1</v>
      </c>
      <c r="D56" s="1161">
        <v>1</v>
      </c>
      <c r="E56" s="685">
        <f>'数据-汇总表'!E8+'数据-汇总表'!E9</f>
        <v>1</v>
      </c>
      <c r="F56" s="1101">
        <f t="shared" ref="F56:F65" si="15">ROUND(B56*E56/10000,0)</f>
        <v>2</v>
      </c>
      <c r="G56" s="3326"/>
      <c r="H56" s="3315"/>
      <c r="I56" s="1106">
        <v>1</v>
      </c>
      <c r="J56" s="1109">
        <v>1</v>
      </c>
      <c r="K56" s="1143"/>
      <c r="L56" s="939"/>
      <c r="M56" s="939"/>
      <c r="N56" s="939"/>
      <c r="O56" s="939"/>
    </row>
    <row r="57" spans="1:15" s="687" customFormat="1">
      <c r="A57" s="688" t="s">
        <v>2767</v>
      </c>
      <c r="B57" s="259">
        <f>ROUND($C$48*C57*D57,0)</f>
        <v>0</v>
      </c>
      <c r="C57" s="197">
        <f t="shared" ref="C57:C65" si="16">IF($C$55="北京市系数",I57,J57)</f>
        <v>0</v>
      </c>
      <c r="D57" s="1162">
        <v>0.25</v>
      </c>
      <c r="E57" s="689"/>
      <c r="F57" s="1101">
        <f t="shared" si="15"/>
        <v>0</v>
      </c>
      <c r="G57" s="3408" t="s">
        <v>2768</v>
      </c>
      <c r="H57" s="1102">
        <f>项目基本情况!B37</f>
        <v>0</v>
      </c>
      <c r="I57" s="1106">
        <f>SUMIF(修正!A45:A56,H57,修正!B45:B56)</f>
        <v>0</v>
      </c>
      <c r="J57" s="1110"/>
      <c r="K57" s="1142"/>
      <c r="L57" s="939"/>
      <c r="M57" s="939"/>
      <c r="N57" s="939"/>
      <c r="O57" s="939"/>
    </row>
    <row r="58" spans="1:15" s="687" customFormat="1">
      <c r="A58" s="688" t="s">
        <v>2769</v>
      </c>
      <c r="B58" s="259">
        <f t="shared" ref="B58:B65" si="17">ROUND($C$48*C58*D58,0)</f>
        <v>0</v>
      </c>
      <c r="C58" s="197">
        <f t="shared" si="16"/>
        <v>0</v>
      </c>
      <c r="D58" s="1162">
        <v>0.25</v>
      </c>
      <c r="E58" s="689"/>
      <c r="F58" s="1101">
        <f t="shared" si="15"/>
        <v>0</v>
      </c>
      <c r="G58" s="3408"/>
      <c r="H58" s="1102">
        <f>项目基本情况!B37</f>
        <v>0</v>
      </c>
      <c r="I58" s="1106">
        <f>SUMIF(修正!A45:A56,H58,修正!C45:C56)</f>
        <v>0</v>
      </c>
      <c r="J58" s="1110"/>
      <c r="K58" s="1143"/>
      <c r="L58" s="939"/>
      <c r="M58" s="939"/>
      <c r="N58" s="939"/>
      <c r="O58" s="939"/>
    </row>
    <row r="59" spans="1:15" s="687" customFormat="1">
      <c r="A59" s="688" t="s">
        <v>2770</v>
      </c>
      <c r="B59" s="259">
        <f t="shared" si="17"/>
        <v>0</v>
      </c>
      <c r="C59" s="197">
        <f t="shared" si="16"/>
        <v>0</v>
      </c>
      <c r="D59" s="1162">
        <v>0.25</v>
      </c>
      <c r="E59" s="689"/>
      <c r="F59" s="1101">
        <f t="shared" si="15"/>
        <v>0</v>
      </c>
      <c r="G59" s="3408"/>
      <c r="H59" s="1102">
        <f>项目基本情况!B37</f>
        <v>0</v>
      </c>
      <c r="I59" s="1106">
        <f>SUMIF(修正!A45:A56,H59,修正!D45:D56)</f>
        <v>0</v>
      </c>
      <c r="J59" s="1110"/>
      <c r="K59" s="1142"/>
      <c r="L59" s="939"/>
      <c r="M59" s="939"/>
      <c r="N59" s="939"/>
      <c r="O59" s="939"/>
    </row>
    <row r="60" spans="1:15" s="687" customFormat="1">
      <c r="A60" s="688" t="s">
        <v>2771</v>
      </c>
      <c r="B60" s="259">
        <f t="shared" si="17"/>
        <v>0</v>
      </c>
      <c r="C60" s="197">
        <f t="shared" si="16"/>
        <v>0</v>
      </c>
      <c r="D60" s="1162">
        <v>0.25</v>
      </c>
      <c r="E60" s="689"/>
      <c r="F60" s="1101">
        <f t="shared" si="15"/>
        <v>0</v>
      </c>
      <c r="G60" s="3408"/>
      <c r="H60" s="1102">
        <f>项目基本情况!B37</f>
        <v>0</v>
      </c>
      <c r="I60" s="1106">
        <f>SUMIF(修正!A45:A56,H60,修正!E45:E56)</f>
        <v>0</v>
      </c>
      <c r="J60" s="1110"/>
      <c r="K60" s="1143"/>
      <c r="L60" s="939"/>
      <c r="M60" s="939"/>
      <c r="N60" s="939"/>
      <c r="O60" s="939"/>
    </row>
    <row r="61" spans="1:15" s="687" customFormat="1">
      <c r="A61" s="688" t="s">
        <v>2772</v>
      </c>
      <c r="B61" s="259">
        <f t="shared" si="17"/>
        <v>0</v>
      </c>
      <c r="C61" s="197">
        <f t="shared" si="16"/>
        <v>0</v>
      </c>
      <c r="D61" s="1162">
        <v>0.25</v>
      </c>
      <c r="E61" s="258">
        <f>'数据-汇总表'!E11</f>
        <v>0</v>
      </c>
      <c r="F61" s="1101">
        <f t="shared" si="15"/>
        <v>0</v>
      </c>
      <c r="G61" s="3041" t="s">
        <v>2773</v>
      </c>
      <c r="H61" s="1102">
        <f>项目基本情况!C37</f>
        <v>0</v>
      </c>
      <c r="I61" s="1106">
        <f>SUMIF(修正!A45:A56,H61,修正!F45:F56)</f>
        <v>0</v>
      </c>
      <c r="J61" s="1110"/>
      <c r="K61" s="1142"/>
      <c r="L61" s="939"/>
      <c r="M61" s="939"/>
      <c r="N61" s="939"/>
      <c r="O61" s="939"/>
    </row>
    <row r="62" spans="1:15" s="687" customFormat="1">
      <c r="A62" s="688" t="s">
        <v>2774</v>
      </c>
      <c r="B62" s="259">
        <f t="shared" si="17"/>
        <v>0</v>
      </c>
      <c r="C62" s="197">
        <f t="shared" si="16"/>
        <v>0</v>
      </c>
      <c r="D62" s="1162">
        <v>0.25</v>
      </c>
      <c r="E62" s="258">
        <f>'数据-汇总表'!E12</f>
        <v>0</v>
      </c>
      <c r="F62" s="1101">
        <f t="shared" si="15"/>
        <v>0</v>
      </c>
      <c r="G62" s="1107" t="s">
        <v>2775</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87" customFormat="1">
      <c r="A63" s="688" t="s">
        <v>2776</v>
      </c>
      <c r="B63" s="259">
        <f t="shared" si="17"/>
        <v>617</v>
      </c>
      <c r="C63" s="197">
        <f t="shared" si="16"/>
        <v>0.15</v>
      </c>
      <c r="D63" s="1162">
        <v>0.25</v>
      </c>
      <c r="E63" s="258">
        <f>'数据-汇总表'!E13</f>
        <v>0</v>
      </c>
      <c r="F63" s="1101">
        <f t="shared" si="15"/>
        <v>0</v>
      </c>
      <c r="G63" s="1107" t="s">
        <v>2777</v>
      </c>
      <c r="H63" s="1102" t="str">
        <f>IF(G63="商业",项目基本情况!B37,IF(G63="办公",项目基本情况!C37,IF(G63="住宅",项目基本情况!D37,项目基本情况!E37)))</f>
        <v>八级</v>
      </c>
      <c r="I63" s="1106">
        <f>SUMIF(修正!A45:A56,H63,修正!H45:H56)</f>
        <v>0.15</v>
      </c>
      <c r="J63" s="1110"/>
      <c r="K63" s="1142"/>
      <c r="L63" s="939"/>
      <c r="M63" s="939"/>
      <c r="N63" s="939"/>
      <c r="O63" s="939"/>
    </row>
    <row r="64" spans="1:15" s="687" customFormat="1">
      <c r="A64" s="688" t="s">
        <v>2778</v>
      </c>
      <c r="B64" s="259">
        <f t="shared" si="17"/>
        <v>0</v>
      </c>
      <c r="C64" s="197">
        <f t="shared" si="16"/>
        <v>0</v>
      </c>
      <c r="D64" s="1162">
        <v>0.25</v>
      </c>
      <c r="E64" s="258">
        <f>'数据-汇总表'!E14</f>
        <v>0</v>
      </c>
      <c r="F64" s="1101">
        <f t="shared" si="15"/>
        <v>0</v>
      </c>
      <c r="G64" s="3041" t="s">
        <v>2768</v>
      </c>
      <c r="H64" s="1102">
        <f>项目基本情况!B37</f>
        <v>0</v>
      </c>
      <c r="I64" s="1106">
        <f>SUMIF(修正!A45:A56,H64,修正!H45:H56)</f>
        <v>0</v>
      </c>
      <c r="J64" s="1110"/>
      <c r="K64" s="1143"/>
      <c r="L64" s="939"/>
      <c r="M64" s="939"/>
      <c r="N64" s="939"/>
      <c r="O64" s="939"/>
    </row>
    <row r="65" spans="1:17" s="687" customFormat="1" ht="15" thickBot="1">
      <c r="A65" s="688" t="s">
        <v>2779</v>
      </c>
      <c r="B65" s="259">
        <f t="shared" si="17"/>
        <v>0</v>
      </c>
      <c r="C65" s="197">
        <f t="shared" si="16"/>
        <v>0</v>
      </c>
      <c r="D65" s="1162">
        <v>0.25</v>
      </c>
      <c r="E65" s="258">
        <f>'数据-汇总表'!E15</f>
        <v>0</v>
      </c>
      <c r="F65" s="1101">
        <f t="shared" si="15"/>
        <v>0</v>
      </c>
      <c r="G65" s="2710" t="s">
        <v>2773</v>
      </c>
      <c r="H65" s="1112">
        <f>项目基本情况!C37</f>
        <v>0</v>
      </c>
      <c r="I65" s="1108">
        <f>SUMIF(修正!A45:A56,H65,修正!H45:H56)</f>
        <v>0</v>
      </c>
      <c r="J65" s="1111"/>
      <c r="K65" s="1142"/>
      <c r="L65" s="939"/>
      <c r="M65" s="939"/>
      <c r="N65" s="939"/>
      <c r="O65" s="939"/>
    </row>
    <row r="66" spans="1:17" s="687" customFormat="1" ht="13.5" thickBot="1">
      <c r="A66" s="690" t="s">
        <v>2780</v>
      </c>
      <c r="B66" s="691" t="s">
        <v>28</v>
      </c>
      <c r="C66" s="691" t="s">
        <v>29</v>
      </c>
      <c r="D66" s="691" t="s">
        <v>1029</v>
      </c>
      <c r="E66" s="691">
        <f>IF(B46="楼面地价",SUM(E56:E65),'数据-汇总表'!D3)</f>
        <v>1</v>
      </c>
      <c r="F66" s="692">
        <f>IF(B46="楼面地价",SUM(F56:F65),ROUND(C48*E66/10000,0))</f>
        <v>2</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2019-6-1</v>
      </c>
      <c r="D68" s="756">
        <f>EDATE(C68,-3)</f>
        <v>43525</v>
      </c>
      <c r="E68" s="756">
        <f>EDATE(D68,-3)</f>
        <v>43435</v>
      </c>
      <c r="F68" s="756">
        <f t="shared" ref="F68:O68" si="18">EDATE(E68,-3)</f>
        <v>43344</v>
      </c>
      <c r="G68" s="756">
        <f t="shared" si="18"/>
        <v>43252</v>
      </c>
      <c r="H68" s="756">
        <f t="shared" si="18"/>
        <v>43160</v>
      </c>
      <c r="I68" s="756">
        <f t="shared" si="18"/>
        <v>43070</v>
      </c>
      <c r="J68" s="756">
        <f t="shared" si="18"/>
        <v>42979</v>
      </c>
      <c r="K68" s="756">
        <f t="shared" si="18"/>
        <v>42887</v>
      </c>
      <c r="L68" s="756">
        <f t="shared" si="18"/>
        <v>42795</v>
      </c>
      <c r="M68" s="756">
        <f t="shared" si="18"/>
        <v>42705</v>
      </c>
      <c r="N68" s="756">
        <f t="shared" si="18"/>
        <v>42614</v>
      </c>
      <c r="O68" s="756">
        <f t="shared" si="18"/>
        <v>42522</v>
      </c>
    </row>
    <row r="69" spans="1:17" ht="21.75" thickBot="1">
      <c r="A69" s="758" t="s">
        <v>2585</v>
      </c>
      <c r="B69" s="754"/>
      <c r="C69" s="759"/>
      <c r="D69" s="759"/>
      <c r="E69" s="759"/>
      <c r="F69" s="760"/>
      <c r="G69" s="760"/>
      <c r="H69" s="759"/>
      <c r="I69" s="759"/>
      <c r="J69" s="1157"/>
      <c r="K69" s="1158"/>
      <c r="L69" s="1159"/>
      <c r="M69" s="1157"/>
      <c r="N69" s="1157"/>
      <c r="O69" s="1157"/>
      <c r="P69" s="498"/>
      <c r="Q69" s="499"/>
    </row>
    <row r="70" spans="1:17" s="503" customFormat="1" ht="15">
      <c r="A70" s="2711" t="s">
        <v>2781</v>
      </c>
      <c r="B70" s="1357"/>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2"/>
    </row>
    <row r="71" spans="1:17" s="116" customFormat="1" ht="30" customHeight="1">
      <c r="A71" s="2712" t="s">
        <v>2782</v>
      </c>
      <c r="B71" s="329" t="str">
        <f>"北京市平均增长率"&amp;TEXT(SUMIF(基准地价修正!N21:N25,A71,基准地价修正!P21:P25),"0.00%")</f>
        <v>北京市平均增长率0.00%</v>
      </c>
      <c r="C71" s="598">
        <v>100</v>
      </c>
      <c r="D71" s="590">
        <v>99</v>
      </c>
      <c r="E71" s="590">
        <v>98</v>
      </c>
      <c r="F71" s="590">
        <v>97</v>
      </c>
      <c r="G71" s="590">
        <v>96</v>
      </c>
      <c r="H71" s="590">
        <v>95</v>
      </c>
      <c r="I71" s="590">
        <v>100</v>
      </c>
      <c r="J71" s="590">
        <v>100</v>
      </c>
      <c r="K71" s="590">
        <v>100</v>
      </c>
      <c r="L71" s="590">
        <v>100</v>
      </c>
      <c r="M71" s="1564">
        <v>100</v>
      </c>
      <c r="N71" s="590"/>
      <c r="O71" s="1565"/>
      <c r="P71" s="499"/>
    </row>
    <row r="72" spans="1:17" s="116" customFormat="1" ht="15.75" thickBot="1">
      <c r="A72" s="510" t="s">
        <v>2587</v>
      </c>
      <c r="B72" s="511"/>
      <c r="C72" s="512"/>
      <c r="D72" s="513"/>
      <c r="E72" s="513"/>
      <c r="F72" s="513"/>
      <c r="G72" s="513"/>
      <c r="H72" s="513"/>
      <c r="I72" s="513"/>
      <c r="J72" s="513"/>
      <c r="K72" s="513"/>
      <c r="L72" s="513"/>
      <c r="M72" s="514"/>
      <c r="N72" s="513"/>
      <c r="O72" s="1160"/>
      <c r="P72" s="499"/>
      <c r="Q72" s="499"/>
    </row>
    <row r="73" spans="1:17" s="116" customFormat="1" ht="15">
      <c r="A73" s="516" t="s">
        <v>2552</v>
      </c>
      <c r="B73" s="505"/>
      <c r="C73" s="517" t="s">
        <v>2589</v>
      </c>
      <c r="D73" s="518"/>
      <c r="E73" s="518"/>
      <c r="F73" s="518"/>
      <c r="G73" s="518"/>
      <c r="H73" s="518"/>
      <c r="I73" s="518"/>
      <c r="J73" s="518"/>
      <c r="K73" s="518"/>
      <c r="L73" s="519"/>
      <c r="M73" s="520"/>
      <c r="N73" s="1149"/>
      <c r="O73" s="1149"/>
      <c r="P73" s="521"/>
      <c r="Q73" s="499"/>
    </row>
    <row r="74" spans="1:17" s="116" customFormat="1" ht="15.75" thickBot="1">
      <c r="A74" s="516"/>
      <c r="B74" s="505"/>
      <c r="C74" s="634">
        <v>100</v>
      </c>
      <c r="D74" s="507"/>
      <c r="E74" s="507"/>
      <c r="F74" s="507"/>
      <c r="G74" s="507"/>
      <c r="H74" s="507"/>
      <c r="I74" s="507"/>
      <c r="J74" s="507"/>
      <c r="K74" s="507"/>
      <c r="L74" s="507"/>
      <c r="M74" s="509"/>
      <c r="N74" s="1149"/>
      <c r="O74" s="1149"/>
      <c r="P74" s="499"/>
      <c r="Q74" s="499"/>
    </row>
    <row r="75" spans="1:17" ht="28.5">
      <c r="A75" s="522" t="s">
        <v>2590</v>
      </c>
      <c r="B75" s="523" t="s">
        <v>2556</v>
      </c>
      <c r="C75" s="2944" t="str">
        <f>C9</f>
        <v>绿隔产业用地建设共有产权住房</v>
      </c>
      <c r="D75" s="525" t="str">
        <f>E9</f>
        <v>绿隔产业用地（商业办公）</v>
      </c>
      <c r="E75" s="525" t="str">
        <f>G9</f>
        <v>绿隔产业用地，建设集体租赁住房</v>
      </c>
      <c r="F75" s="525"/>
      <c r="G75" s="525"/>
      <c r="H75" s="525"/>
      <c r="I75" s="525"/>
      <c r="J75" s="525"/>
      <c r="K75" s="526"/>
      <c r="L75" s="527"/>
      <c r="M75" s="528"/>
      <c r="N75" s="1150"/>
      <c r="O75" s="1150"/>
      <c r="P75" s="45"/>
      <c r="Q75" s="499"/>
    </row>
    <row r="76" spans="1:17" ht="15.75" thickBot="1">
      <c r="A76" s="529"/>
      <c r="B76" s="530"/>
      <c r="C76" s="531">
        <v>100</v>
      </c>
      <c r="D76" s="531">
        <v>105</v>
      </c>
      <c r="E76" s="531">
        <v>85</v>
      </c>
      <c r="F76" s="531"/>
      <c r="G76" s="531"/>
      <c r="H76" s="531"/>
      <c r="I76" s="531"/>
      <c r="J76" s="531"/>
      <c r="K76" s="531"/>
      <c r="L76" s="531"/>
      <c r="M76" s="532"/>
      <c r="N76" s="1151"/>
      <c r="O76" s="1151"/>
      <c r="P76" s="45"/>
      <c r="Q76" s="499"/>
    </row>
    <row r="77" spans="1:17" ht="27.75" thickTop="1">
      <c r="A77" s="529"/>
      <c r="B77" s="533" t="s">
        <v>2559</v>
      </c>
      <c r="C77" s="534"/>
      <c r="D77" s="534"/>
      <c r="E77" s="534"/>
      <c r="F77" s="534"/>
      <c r="G77" s="534"/>
      <c r="H77" s="534"/>
      <c r="I77" s="534"/>
      <c r="J77" s="534"/>
      <c r="K77" s="535"/>
      <c r="L77" s="536"/>
      <c r="M77" s="537"/>
      <c r="N77" s="1150"/>
      <c r="O77" s="1150"/>
      <c r="P77" s="45"/>
      <c r="Q77" s="499"/>
    </row>
    <row r="78" spans="1:17" ht="15.75" thickBot="1">
      <c r="A78" s="529"/>
      <c r="B78" s="538"/>
      <c r="C78" s="539"/>
      <c r="D78" s="539"/>
      <c r="E78" s="539"/>
      <c r="F78" s="539"/>
      <c r="G78" s="539"/>
      <c r="H78" s="539"/>
      <c r="I78" s="539"/>
      <c r="J78" s="539"/>
      <c r="K78" s="539"/>
      <c r="L78" s="539"/>
      <c r="M78" s="540"/>
      <c r="N78" s="1151"/>
      <c r="O78" s="1151"/>
      <c r="P78" s="45"/>
      <c r="Q78" s="499"/>
    </row>
    <row r="79" spans="1:17" ht="15.75" thickTop="1">
      <c r="A79" s="529"/>
      <c r="B79" s="541" t="s">
        <v>2560</v>
      </c>
      <c r="C79" s="542" t="str">
        <f>C80&amp;"（含）"&amp;"-"&amp;D80</f>
        <v>1（含）-2</v>
      </c>
      <c r="D79" s="542" t="str">
        <f t="shared" ref="D79:L79" si="20">D80&amp;"（含）"&amp;"-"&amp;E80</f>
        <v>2（含）-3</v>
      </c>
      <c r="E79" s="542" t="str">
        <f t="shared" si="20"/>
        <v>3（含）-4</v>
      </c>
      <c r="F79" s="542" t="str">
        <f t="shared" si="20"/>
        <v>4（含）-</v>
      </c>
      <c r="G79" s="542" t="str">
        <f t="shared" si="20"/>
        <v>（含）-</v>
      </c>
      <c r="H79" s="542" t="str">
        <f t="shared" si="20"/>
        <v>（含）-</v>
      </c>
      <c r="I79" s="542" t="str">
        <f t="shared" si="20"/>
        <v>（含）-</v>
      </c>
      <c r="J79" s="542" t="str">
        <f t="shared" si="20"/>
        <v>（含）-</v>
      </c>
      <c r="K79" s="542" t="str">
        <f t="shared" si="20"/>
        <v>（含）-</v>
      </c>
      <c r="L79" s="542" t="str">
        <f t="shared" si="20"/>
        <v>（含）-</v>
      </c>
      <c r="M79" s="445" t="str">
        <f>M80&amp;"（含）"&amp;"-"&amp;P80</f>
        <v>（含）-</v>
      </c>
      <c r="N79" s="1151"/>
      <c r="O79" s="1151"/>
      <c r="P79" s="45"/>
      <c r="Q79" s="499"/>
    </row>
    <row r="80" spans="1:17" ht="15">
      <c r="A80" s="529"/>
      <c r="B80" s="543"/>
      <c r="C80" s="544">
        <v>1</v>
      </c>
      <c r="D80" s="544">
        <v>2</v>
      </c>
      <c r="E80" s="544">
        <v>3</v>
      </c>
      <c r="F80" s="544">
        <v>4</v>
      </c>
      <c r="G80" s="544"/>
      <c r="H80" s="544"/>
      <c r="I80" s="544"/>
      <c r="J80" s="544"/>
      <c r="K80" s="545"/>
      <c r="L80" s="546"/>
      <c r="M80" s="547"/>
      <c r="N80" s="1150"/>
      <c r="O80" s="1150"/>
      <c r="P80" s="45"/>
      <c r="Q80" s="499"/>
    </row>
    <row r="81" spans="1:17" ht="15.75" thickBot="1">
      <c r="A81" s="529"/>
      <c r="B81" s="530"/>
      <c r="C81" s="539">
        <v>100</v>
      </c>
      <c r="D81" s="539">
        <f t="shared" ref="D81:M81" si="21">IF($B$46="单位面积地价",C81+$K11,C81-$K11)</f>
        <v>100</v>
      </c>
      <c r="E81" s="539">
        <f t="shared" si="21"/>
        <v>100</v>
      </c>
      <c r="F81" s="539">
        <f t="shared" si="21"/>
        <v>100</v>
      </c>
      <c r="G81" s="539">
        <f t="shared" si="21"/>
        <v>100</v>
      </c>
      <c r="H81" s="539">
        <f t="shared" si="21"/>
        <v>100</v>
      </c>
      <c r="I81" s="539">
        <f t="shared" si="21"/>
        <v>100</v>
      </c>
      <c r="J81" s="539">
        <f t="shared" si="21"/>
        <v>100</v>
      </c>
      <c r="K81" s="539">
        <f t="shared" si="21"/>
        <v>100</v>
      </c>
      <c r="L81" s="539">
        <f t="shared" si="21"/>
        <v>100</v>
      </c>
      <c r="M81" s="539">
        <f t="shared" si="21"/>
        <v>100</v>
      </c>
      <c r="N81" s="1151"/>
      <c r="O81" s="1151"/>
      <c r="P81" s="45"/>
      <c r="Q81" s="499"/>
    </row>
    <row r="82" spans="1:17" s="466" customFormat="1" ht="15.75" thickTop="1">
      <c r="A82" s="548"/>
      <c r="B82" s="533" t="str">
        <f>B12</f>
        <v>土地受让方</v>
      </c>
      <c r="C82" s="549"/>
      <c r="D82" s="549"/>
      <c r="E82" s="549"/>
      <c r="F82" s="549"/>
      <c r="G82" s="549"/>
      <c r="H82" s="550"/>
      <c r="I82" s="550"/>
      <c r="J82" s="550"/>
      <c r="K82" s="550"/>
      <c r="L82" s="551"/>
      <c r="M82" s="552"/>
      <c r="N82" s="1152"/>
      <c r="O82" s="1152"/>
      <c r="P82" s="553"/>
      <c r="Q82" s="554"/>
    </row>
    <row r="83" spans="1:17" s="466" customFormat="1" ht="15.75" thickBot="1">
      <c r="A83" s="548"/>
      <c r="B83" s="538"/>
      <c r="C83" s="555"/>
      <c r="D83" s="531"/>
      <c r="E83" s="531"/>
      <c r="F83" s="531"/>
      <c r="G83" s="531"/>
      <c r="H83" s="531"/>
      <c r="I83" s="531"/>
      <c r="J83" s="531"/>
      <c r="K83" s="531"/>
      <c r="L83" s="531"/>
      <c r="M83" s="532"/>
      <c r="N83" s="1151"/>
      <c r="O83" s="1151"/>
      <c r="P83" s="553"/>
      <c r="Q83" s="554"/>
    </row>
    <row r="84" spans="1:17" s="466" customFormat="1" ht="15.75" thickTop="1">
      <c r="A84" s="548"/>
      <c r="B84" s="533">
        <f>B13</f>
        <v>0</v>
      </c>
      <c r="C84" s="2949" t="s">
        <v>3362</v>
      </c>
      <c r="D84" s="2949" t="s">
        <v>3363</v>
      </c>
      <c r="E84" s="549"/>
      <c r="F84" s="549"/>
      <c r="G84" s="549"/>
      <c r="H84" s="550"/>
      <c r="I84" s="550"/>
      <c r="J84" s="550"/>
      <c r="K84" s="550"/>
      <c r="L84" s="551"/>
      <c r="M84" s="552"/>
      <c r="N84" s="1152"/>
      <c r="O84" s="1152"/>
      <c r="P84" s="465"/>
      <c r="Q84" s="556"/>
    </row>
    <row r="85" spans="1:17" s="466" customFormat="1" ht="15.75" thickBot="1">
      <c r="A85" s="548"/>
      <c r="B85" s="538"/>
      <c r="C85" s="555">
        <v>100</v>
      </c>
      <c r="D85" s="555">
        <v>95</v>
      </c>
      <c r="E85" s="555"/>
      <c r="F85" s="555"/>
      <c r="G85" s="555"/>
      <c r="H85" s="557"/>
      <c r="I85" s="557"/>
      <c r="J85" s="557"/>
      <c r="K85" s="557"/>
      <c r="L85" s="557"/>
      <c r="M85" s="558"/>
      <c r="N85" s="1152"/>
      <c r="O85" s="1152"/>
      <c r="P85" s="553"/>
      <c r="Q85" s="554"/>
    </row>
    <row r="86" spans="1:17" s="466" customFormat="1" ht="15.75" thickTop="1">
      <c r="A86" s="548"/>
      <c r="B86" s="541" t="str">
        <f>B14</f>
        <v>年期修正</v>
      </c>
      <c r="C86" s="518"/>
      <c r="D86" s="518"/>
      <c r="E86" s="518"/>
      <c r="F86" s="518"/>
      <c r="G86" s="518"/>
      <c r="H86" s="559"/>
      <c r="I86" s="559"/>
      <c r="J86" s="559"/>
      <c r="K86" s="559"/>
      <c r="L86" s="560"/>
      <c r="M86" s="561"/>
      <c r="N86" s="1152"/>
      <c r="O86" s="1152"/>
      <c r="P86" s="562"/>
      <c r="Q86" s="554"/>
    </row>
    <row r="87" spans="1:17" s="466" customFormat="1" ht="15.75" thickBot="1">
      <c r="A87" s="563"/>
      <c r="B87" s="564"/>
      <c r="C87" s="565"/>
      <c r="D87" s="565"/>
      <c r="E87" s="565"/>
      <c r="F87" s="565"/>
      <c r="G87" s="565"/>
      <c r="H87" s="566"/>
      <c r="I87" s="566"/>
      <c r="J87" s="566"/>
      <c r="K87" s="566"/>
      <c r="L87" s="566"/>
      <c r="M87" s="567"/>
      <c r="N87" s="1152"/>
      <c r="O87" s="1152"/>
      <c r="P87" s="553"/>
      <c r="Q87" s="554"/>
    </row>
    <row r="88" spans="1:17">
      <c r="A88" s="522" t="s">
        <v>2561</v>
      </c>
      <c r="B88" s="523" t="s">
        <v>2598</v>
      </c>
      <c r="C88" s="568" t="s">
        <v>2599</v>
      </c>
      <c r="D88" s="568" t="s">
        <v>2600</v>
      </c>
      <c r="E88" s="568" t="s">
        <v>2601</v>
      </c>
      <c r="F88" s="568" t="s">
        <v>2602</v>
      </c>
      <c r="G88" s="568" t="s">
        <v>2603</v>
      </c>
      <c r="H88" s="524"/>
      <c r="I88" s="524"/>
      <c r="J88" s="524"/>
      <c r="K88" s="569"/>
      <c r="L88" s="570"/>
      <c r="M88" s="571"/>
      <c r="N88" s="1150"/>
      <c r="O88" s="1150"/>
      <c r="P88" s="572"/>
      <c r="Q88" s="499"/>
    </row>
    <row r="89" spans="1:17" ht="15.75" thickBot="1">
      <c r="A89" s="529"/>
      <c r="B89" s="538"/>
      <c r="C89" s="539">
        <v>100</v>
      </c>
      <c r="D89" s="539">
        <f>C89-$K15</f>
        <v>97</v>
      </c>
      <c r="E89" s="539">
        <f>D89-$K15</f>
        <v>94</v>
      </c>
      <c r="F89" s="539">
        <f>E89-$K15</f>
        <v>91</v>
      </c>
      <c r="G89" s="539">
        <f>F89-$K15</f>
        <v>88</v>
      </c>
      <c r="H89" s="539"/>
      <c r="I89" s="539"/>
      <c r="J89" s="539"/>
      <c r="K89" s="539"/>
      <c r="L89" s="539"/>
      <c r="M89" s="540"/>
      <c r="N89" s="1151"/>
      <c r="O89" s="1151"/>
      <c r="P89" s="45"/>
      <c r="Q89" s="499"/>
    </row>
    <row r="90" spans="1:17" ht="15.75" thickTop="1">
      <c r="A90" s="529"/>
      <c r="B90" s="533" t="s">
        <v>2783</v>
      </c>
      <c r="C90" s="573" t="s">
        <v>2599</v>
      </c>
      <c r="D90" s="573" t="s">
        <v>2600</v>
      </c>
      <c r="E90" s="573" t="s">
        <v>2601</v>
      </c>
      <c r="F90" s="573" t="s">
        <v>2602</v>
      </c>
      <c r="G90" s="573" t="s">
        <v>2603</v>
      </c>
      <c r="H90" s="534"/>
      <c r="I90" s="534"/>
      <c r="J90" s="534"/>
      <c r="K90" s="535"/>
      <c r="L90" s="536"/>
      <c r="M90" s="537"/>
      <c r="N90" s="1150"/>
      <c r="O90" s="1150"/>
      <c r="P90" s="45"/>
      <c r="Q90" s="499"/>
    </row>
    <row r="91" spans="1:17" ht="15.75" thickBot="1">
      <c r="A91" s="529"/>
      <c r="B91" s="538"/>
      <c r="C91" s="539">
        <v>100</v>
      </c>
      <c r="D91" s="539">
        <f>C91-$K17</f>
        <v>100</v>
      </c>
      <c r="E91" s="539">
        <f>D91-$K17</f>
        <v>100</v>
      </c>
      <c r="F91" s="539">
        <f>E91-$K17</f>
        <v>100</v>
      </c>
      <c r="G91" s="539">
        <f>F91-$K17</f>
        <v>100</v>
      </c>
      <c r="H91" s="539"/>
      <c r="I91" s="539"/>
      <c r="J91" s="539"/>
      <c r="K91" s="539"/>
      <c r="L91" s="539"/>
      <c r="M91" s="540"/>
      <c r="N91" s="1151"/>
      <c r="O91" s="1151"/>
      <c r="P91" s="45"/>
      <c r="Q91" s="499"/>
    </row>
    <row r="92" spans="1:17" ht="15.75" thickTop="1">
      <c r="A92" s="529"/>
      <c r="B92" s="533" t="s">
        <v>2699</v>
      </c>
      <c r="C92" s="573" t="s">
        <v>2599</v>
      </c>
      <c r="D92" s="573" t="s">
        <v>2600</v>
      </c>
      <c r="E92" s="573" t="s">
        <v>2601</v>
      </c>
      <c r="F92" s="573" t="s">
        <v>2602</v>
      </c>
      <c r="G92" s="573" t="s">
        <v>2603</v>
      </c>
      <c r="H92" s="534"/>
      <c r="I92" s="534"/>
      <c r="J92" s="534"/>
      <c r="K92" s="535"/>
      <c r="L92" s="536"/>
      <c r="M92" s="537"/>
      <c r="N92" s="1150"/>
      <c r="O92" s="1150"/>
      <c r="P92" s="45"/>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51"/>
      <c r="O93" s="1151"/>
      <c r="P93" s="45"/>
      <c r="Q93" s="499"/>
    </row>
    <row r="94" spans="1:17" ht="15.75" thickTop="1">
      <c r="A94" s="529"/>
      <c r="B94" s="533" t="s">
        <v>2604</v>
      </c>
      <c r="C94" s="573" t="s">
        <v>2599</v>
      </c>
      <c r="D94" s="573" t="s">
        <v>2600</v>
      </c>
      <c r="E94" s="573" t="s">
        <v>2601</v>
      </c>
      <c r="F94" s="573" t="s">
        <v>2602</v>
      </c>
      <c r="G94" s="573" t="s">
        <v>2603</v>
      </c>
      <c r="H94" s="534"/>
      <c r="I94" s="534"/>
      <c r="J94" s="534"/>
      <c r="K94" s="535"/>
      <c r="L94" s="536"/>
      <c r="M94" s="537"/>
      <c r="N94" s="1150"/>
      <c r="O94" s="1150"/>
      <c r="P94" s="45"/>
      <c r="Q94" s="499"/>
    </row>
    <row r="95" spans="1:17" ht="15.75" thickBot="1">
      <c r="A95" s="529"/>
      <c r="B95" s="538"/>
      <c r="C95" s="539">
        <v>100</v>
      </c>
      <c r="D95" s="539">
        <f>C95-$K21</f>
        <v>99</v>
      </c>
      <c r="E95" s="539">
        <f>D95-$K21</f>
        <v>98</v>
      </c>
      <c r="F95" s="539">
        <f>E95-$K21</f>
        <v>97</v>
      </c>
      <c r="G95" s="539">
        <f>F95-$K21</f>
        <v>96</v>
      </c>
      <c r="H95" s="539"/>
      <c r="I95" s="539"/>
      <c r="J95" s="539"/>
      <c r="K95" s="539"/>
      <c r="L95" s="539"/>
      <c r="M95" s="540"/>
      <c r="N95" s="1151"/>
      <c r="O95" s="1151"/>
      <c r="P95" s="45"/>
      <c r="Q95" s="499"/>
    </row>
    <row r="96" spans="1:17" s="116" customFormat="1" ht="15.75" thickTop="1">
      <c r="A96" s="574"/>
      <c r="B96" s="533" t="s">
        <v>2784</v>
      </c>
      <c r="C96" s="573" t="s">
        <v>2599</v>
      </c>
      <c r="D96" s="573" t="s">
        <v>2600</v>
      </c>
      <c r="E96" s="573" t="s">
        <v>2601</v>
      </c>
      <c r="F96" s="573" t="s">
        <v>2602</v>
      </c>
      <c r="G96" s="573" t="s">
        <v>2603</v>
      </c>
      <c r="H96" s="573"/>
      <c r="I96" s="573"/>
      <c r="J96" s="573"/>
      <c r="K96" s="573"/>
      <c r="L96" s="693"/>
      <c r="M96" s="617"/>
      <c r="N96" s="1149"/>
      <c r="O96" s="1149"/>
      <c r="P96" s="45"/>
      <c r="Q96" s="499"/>
    </row>
    <row r="97" spans="1:17" s="116" customFormat="1" ht="15.75" thickBot="1">
      <c r="A97" s="574"/>
      <c r="B97" s="538"/>
      <c r="C97" s="577">
        <v>100</v>
      </c>
      <c r="D97" s="539">
        <f>C97-$K23</f>
        <v>100</v>
      </c>
      <c r="E97" s="539">
        <f>D97-$K23</f>
        <v>100</v>
      </c>
      <c r="F97" s="539">
        <f>E97-$K23</f>
        <v>100</v>
      </c>
      <c r="G97" s="539">
        <f>F97-$K23</f>
        <v>100</v>
      </c>
      <c r="H97" s="539"/>
      <c r="I97" s="539"/>
      <c r="J97" s="539"/>
      <c r="K97" s="539"/>
      <c r="L97" s="539"/>
      <c r="M97" s="540"/>
      <c r="N97" s="1151"/>
      <c r="O97" s="1151"/>
      <c r="P97" s="45"/>
      <c r="Q97" s="499"/>
    </row>
    <row r="98" spans="1:17" s="116" customFormat="1" ht="27.75" thickTop="1">
      <c r="A98" s="574"/>
      <c r="B98" s="533" t="s">
        <v>2785</v>
      </c>
      <c r="C98" s="568" t="s">
        <v>2599</v>
      </c>
      <c r="D98" s="568" t="s">
        <v>2600</v>
      </c>
      <c r="E98" s="568" t="s">
        <v>2601</v>
      </c>
      <c r="F98" s="568" t="s">
        <v>2602</v>
      </c>
      <c r="G98" s="568" t="s">
        <v>2603</v>
      </c>
      <c r="H98" s="573"/>
      <c r="I98" s="573"/>
      <c r="J98" s="573"/>
      <c r="K98" s="573"/>
      <c r="L98" s="573"/>
      <c r="M98" s="617"/>
      <c r="N98" s="1149"/>
      <c r="O98" s="1149"/>
      <c r="P98" s="45"/>
      <c r="Q98" s="499"/>
    </row>
    <row r="99" spans="1:17" s="116" customFormat="1" ht="15.75" thickBot="1">
      <c r="A99" s="574"/>
      <c r="B99" s="538"/>
      <c r="C99" s="539">
        <v>100</v>
      </c>
      <c r="D99" s="539">
        <f>C99-$K25</f>
        <v>99</v>
      </c>
      <c r="E99" s="539">
        <f>D99-$K25</f>
        <v>98</v>
      </c>
      <c r="F99" s="539">
        <f>E99-$K25</f>
        <v>97</v>
      </c>
      <c r="G99" s="539">
        <f>F99-$K25</f>
        <v>96</v>
      </c>
      <c r="H99" s="539"/>
      <c r="I99" s="539"/>
      <c r="J99" s="539"/>
      <c r="K99" s="539"/>
      <c r="L99" s="539"/>
      <c r="M99" s="540"/>
      <c r="N99" s="1151"/>
      <c r="O99" s="1151"/>
      <c r="P99" s="45"/>
      <c r="Q99" s="499"/>
    </row>
    <row r="100" spans="1:17" s="466" customFormat="1" ht="15.75" thickTop="1">
      <c r="A100" s="548"/>
      <c r="B100" s="533" t="s">
        <v>2656</v>
      </c>
      <c r="C100" s="568" t="s">
        <v>2599</v>
      </c>
      <c r="D100" s="568" t="s">
        <v>2600</v>
      </c>
      <c r="E100" s="568" t="s">
        <v>2601</v>
      </c>
      <c r="F100" s="568" t="s">
        <v>2602</v>
      </c>
      <c r="G100" s="568" t="s">
        <v>2603</v>
      </c>
      <c r="H100" s="595"/>
      <c r="I100" s="595"/>
      <c r="J100" s="595"/>
      <c r="K100" s="595"/>
      <c r="L100" s="596"/>
      <c r="M100" s="597"/>
      <c r="N100" s="1152"/>
      <c r="O100" s="1152"/>
      <c r="P100" s="553"/>
      <c r="Q100" s="554"/>
    </row>
    <row r="101" spans="1:17" s="466" customFormat="1" ht="15.75" thickBot="1">
      <c r="A101" s="548"/>
      <c r="B101" s="538"/>
      <c r="C101" s="539">
        <v>100</v>
      </c>
      <c r="D101" s="539">
        <f>C101-$K27</f>
        <v>99</v>
      </c>
      <c r="E101" s="539">
        <f>D101-$K27</f>
        <v>98</v>
      </c>
      <c r="F101" s="539">
        <f>E101-$K27</f>
        <v>97</v>
      </c>
      <c r="G101" s="539">
        <f>F101-$K27</f>
        <v>96</v>
      </c>
      <c r="H101" s="602"/>
      <c r="I101" s="602"/>
      <c r="J101" s="602"/>
      <c r="K101" s="602"/>
      <c r="L101" s="602"/>
      <c r="M101" s="603"/>
      <c r="N101" s="1152"/>
      <c r="O101" s="1152"/>
      <c r="P101" s="553"/>
      <c r="Q101" s="554"/>
    </row>
    <row r="102" spans="1:17" s="466" customFormat="1" ht="15.75" thickTop="1">
      <c r="A102" s="548"/>
      <c r="B102" s="541" t="s">
        <v>2657</v>
      </c>
      <c r="C102" s="655" t="s">
        <v>2677</v>
      </c>
      <c r="D102" s="655" t="s">
        <v>2678</v>
      </c>
      <c r="E102" s="655" t="s">
        <v>2679</v>
      </c>
      <c r="F102" s="655" t="s">
        <v>2680</v>
      </c>
      <c r="G102" s="655" t="s">
        <v>2681</v>
      </c>
      <c r="H102" s="595"/>
      <c r="I102" s="595"/>
      <c r="J102" s="595"/>
      <c r="K102" s="595"/>
      <c r="L102" s="595"/>
      <c r="M102" s="1383"/>
      <c r="N102" s="1152"/>
      <c r="O102" s="1152"/>
      <c r="P102" s="553"/>
      <c r="Q102" s="554"/>
    </row>
    <row r="103" spans="1:17" s="466" customFormat="1" ht="15.75" thickBot="1">
      <c r="A103" s="548"/>
      <c r="B103" s="541"/>
      <c r="C103" s="539">
        <v>100</v>
      </c>
      <c r="D103" s="539">
        <f>C103-$K29</f>
        <v>100</v>
      </c>
      <c r="E103" s="539">
        <f>D103-$K29</f>
        <v>100</v>
      </c>
      <c r="F103" s="539">
        <f>E103-$K29</f>
        <v>100</v>
      </c>
      <c r="G103" s="539">
        <f>F103-$K29</f>
        <v>100</v>
      </c>
      <c r="H103" s="543"/>
      <c r="I103" s="543"/>
      <c r="J103" s="543"/>
      <c r="K103" s="543"/>
      <c r="L103" s="543"/>
      <c r="M103" s="1383"/>
      <c r="N103" s="1152"/>
      <c r="O103" s="1152"/>
      <c r="P103" s="553"/>
      <c r="Q103" s="554"/>
    </row>
    <row r="104" spans="1:17" ht="15.75" thickTop="1">
      <c r="A104" s="529"/>
      <c r="B104" s="533" t="str">
        <f>B31</f>
        <v>临街状况</v>
      </c>
      <c r="C104" s="534" t="s">
        <v>2786</v>
      </c>
      <c r="D104" s="534" t="s">
        <v>2787</v>
      </c>
      <c r="E104" s="534" t="s">
        <v>2788</v>
      </c>
      <c r="F104" s="534" t="s">
        <v>2789</v>
      </c>
      <c r="G104" s="534"/>
      <c r="H104" s="534"/>
      <c r="I104" s="534"/>
      <c r="J104" s="534"/>
      <c r="K104" s="535"/>
      <c r="L104" s="536"/>
      <c r="M104" s="537"/>
      <c r="N104" s="1150"/>
      <c r="O104" s="1150"/>
      <c r="P104" s="45"/>
      <c r="Q104" s="499"/>
    </row>
    <row r="105" spans="1:17" ht="15.75" thickBot="1">
      <c r="A105" s="529"/>
      <c r="B105" s="538"/>
      <c r="C105" s="539">
        <v>100</v>
      </c>
      <c r="D105" s="539">
        <f>C105-$K31</f>
        <v>100</v>
      </c>
      <c r="E105" s="539">
        <f t="shared" ref="E105:M105" si="22">D105-$K31</f>
        <v>100</v>
      </c>
      <c r="F105" s="539">
        <f t="shared" si="22"/>
        <v>100</v>
      </c>
      <c r="G105" s="539">
        <f t="shared" si="22"/>
        <v>100</v>
      </c>
      <c r="H105" s="539">
        <f t="shared" si="22"/>
        <v>100</v>
      </c>
      <c r="I105" s="539">
        <f t="shared" si="22"/>
        <v>100</v>
      </c>
      <c r="J105" s="539">
        <f t="shared" si="22"/>
        <v>100</v>
      </c>
      <c r="K105" s="539">
        <f t="shared" si="22"/>
        <v>100</v>
      </c>
      <c r="L105" s="539">
        <f t="shared" si="22"/>
        <v>100</v>
      </c>
      <c r="M105" s="539">
        <f t="shared" si="22"/>
        <v>100</v>
      </c>
      <c r="N105" s="1151"/>
      <c r="O105" s="1151"/>
      <c r="P105" s="45"/>
      <c r="Q105" s="499"/>
    </row>
    <row r="106" spans="1:17" ht="27.75" thickTop="1">
      <c r="A106" s="529"/>
      <c r="B106" s="533" t="s">
        <v>2693</v>
      </c>
      <c r="C106" s="2949" t="s">
        <v>3074</v>
      </c>
      <c r="D106" s="2949" t="s">
        <v>3075</v>
      </c>
      <c r="E106" s="2949" t="s">
        <v>3076</v>
      </c>
      <c r="F106" s="2949" t="s">
        <v>3077</v>
      </c>
      <c r="G106" s="2949" t="s">
        <v>3078</v>
      </c>
      <c r="H106" s="578"/>
      <c r="I106" s="578"/>
      <c r="J106" s="578"/>
      <c r="K106" s="579"/>
      <c r="L106" s="580"/>
      <c r="M106" s="581"/>
      <c r="N106" s="1150"/>
      <c r="O106" s="1150"/>
      <c r="P106" s="45"/>
      <c r="Q106" s="499"/>
    </row>
    <row r="107" spans="1:17" ht="15.75" thickBot="1">
      <c r="A107" s="529"/>
      <c r="B107" s="538"/>
      <c r="C107" s="539">
        <v>100</v>
      </c>
      <c r="D107" s="539">
        <f>C107-$K32</f>
        <v>99</v>
      </c>
      <c r="E107" s="539">
        <f t="shared" ref="E107:M107" si="23">D107-$K32</f>
        <v>98</v>
      </c>
      <c r="F107" s="539">
        <f t="shared" si="23"/>
        <v>97</v>
      </c>
      <c r="G107" s="539">
        <f t="shared" si="23"/>
        <v>96</v>
      </c>
      <c r="H107" s="539">
        <f t="shared" si="23"/>
        <v>95</v>
      </c>
      <c r="I107" s="539">
        <f t="shared" si="23"/>
        <v>94</v>
      </c>
      <c r="J107" s="539">
        <f t="shared" si="23"/>
        <v>93</v>
      </c>
      <c r="K107" s="539">
        <f t="shared" si="23"/>
        <v>92</v>
      </c>
      <c r="L107" s="539">
        <f t="shared" si="23"/>
        <v>91</v>
      </c>
      <c r="M107" s="539">
        <f t="shared" si="23"/>
        <v>90</v>
      </c>
      <c r="N107" s="1151"/>
      <c r="O107" s="1151"/>
      <c r="P107" s="45"/>
      <c r="Q107" s="499"/>
    </row>
    <row r="108" spans="1:17" ht="15.75" thickTop="1">
      <c r="A108" s="529"/>
      <c r="B108" s="533" t="s">
        <v>2750</v>
      </c>
      <c r="C108" s="2950" t="s">
        <v>3079</v>
      </c>
      <c r="D108" s="2950" t="s">
        <v>3080</v>
      </c>
      <c r="E108" s="2950" t="s">
        <v>3081</v>
      </c>
      <c r="F108" s="2950" t="s">
        <v>3082</v>
      </c>
      <c r="G108" s="578"/>
      <c r="H108" s="578"/>
      <c r="I108" s="578"/>
      <c r="J108" s="578"/>
      <c r="K108" s="579"/>
      <c r="L108" s="580"/>
      <c r="M108" s="581"/>
      <c r="N108" s="1150"/>
      <c r="O108" s="1150"/>
      <c r="P108" s="45"/>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51"/>
      <c r="O109" s="1151"/>
      <c r="P109" s="45"/>
      <c r="Q109" s="499"/>
    </row>
    <row r="110" spans="1:17" ht="15.75" thickTop="1">
      <c r="A110" s="529"/>
      <c r="B110" s="541">
        <f>B35</f>
        <v>111</v>
      </c>
      <c r="C110" s="549"/>
      <c r="D110" s="549"/>
      <c r="E110" s="549"/>
      <c r="F110" s="549"/>
      <c r="G110" s="582"/>
      <c r="H110" s="582"/>
      <c r="I110" s="582"/>
      <c r="J110" s="582"/>
      <c r="K110" s="583"/>
      <c r="L110" s="584"/>
      <c r="M110" s="585"/>
      <c r="N110" s="1150"/>
      <c r="O110" s="1150"/>
      <c r="P110" s="45"/>
      <c r="Q110" s="499"/>
    </row>
    <row r="111" spans="1:17" ht="15.75" thickBot="1">
      <c r="A111" s="529"/>
      <c r="B111" s="564"/>
      <c r="C111" s="555"/>
      <c r="D111" s="555"/>
      <c r="E111" s="555"/>
      <c r="F111" s="555"/>
      <c r="G111" s="586"/>
      <c r="H111" s="586"/>
      <c r="I111" s="586"/>
      <c r="J111" s="586"/>
      <c r="K111" s="586"/>
      <c r="L111" s="586"/>
      <c r="M111" s="587"/>
      <c r="N111" s="1151"/>
      <c r="O111" s="1151"/>
      <c r="P111" s="45"/>
      <c r="Q111" s="499"/>
    </row>
    <row r="112" spans="1:17" ht="15" thickTop="1">
      <c r="A112" s="670"/>
      <c r="B112" s="533">
        <f>B36</f>
        <v>111</v>
      </c>
      <c r="C112" s="518"/>
      <c r="D112" s="518"/>
      <c r="E112" s="518"/>
      <c r="F112" s="518"/>
      <c r="G112" s="578"/>
      <c r="H112" s="578"/>
      <c r="I112" s="578"/>
      <c r="J112" s="578"/>
      <c r="K112" s="579"/>
      <c r="L112" s="580"/>
      <c r="M112" s="581"/>
      <c r="N112" s="1150"/>
      <c r="O112" s="1150"/>
      <c r="P112" s="45"/>
      <c r="Q112" s="499"/>
    </row>
    <row r="113" spans="1:17" ht="15.75" thickBot="1">
      <c r="A113" s="529"/>
      <c r="B113" s="538"/>
      <c r="C113" s="565"/>
      <c r="D113" s="565"/>
      <c r="E113" s="565"/>
      <c r="F113" s="565"/>
      <c r="G113" s="531"/>
      <c r="H113" s="531"/>
      <c r="I113" s="531"/>
      <c r="J113" s="531"/>
      <c r="K113" s="531"/>
      <c r="L113" s="531"/>
      <c r="M113" s="532"/>
      <c r="N113" s="1151"/>
      <c r="O113" s="1151"/>
      <c r="P113" s="45"/>
      <c r="Q113" s="499"/>
    </row>
    <row r="114" spans="1:17" s="466" customFormat="1" ht="15" thickTop="1">
      <c r="A114" s="588"/>
      <c r="B114" s="589">
        <f>B37</f>
        <v>111</v>
      </c>
      <c r="C114" s="590"/>
      <c r="D114" s="590"/>
      <c r="E114" s="590"/>
      <c r="F114" s="590"/>
      <c r="G114" s="590"/>
      <c r="H114" s="590"/>
      <c r="I114" s="590"/>
      <c r="J114" s="591"/>
      <c r="K114" s="591"/>
      <c r="L114" s="592"/>
      <c r="M114" s="593"/>
      <c r="N114" s="1152"/>
      <c r="O114" s="1152"/>
      <c r="P114" s="553"/>
      <c r="Q114" s="554"/>
    </row>
    <row r="115" spans="1:17" s="466" customFormat="1" ht="15.75" thickBot="1">
      <c r="A115" s="548"/>
      <c r="B115" s="541"/>
      <c r="C115" s="507"/>
      <c r="D115" s="672"/>
      <c r="E115" s="672"/>
      <c r="F115" s="672"/>
      <c r="G115" s="672"/>
      <c r="H115" s="672"/>
      <c r="I115" s="672"/>
      <c r="J115" s="672"/>
      <c r="K115" s="672"/>
      <c r="L115" s="672"/>
      <c r="M115" s="694"/>
      <c r="N115" s="1151"/>
      <c r="O115" s="1151"/>
      <c r="P115" s="553"/>
      <c r="Q115" s="554"/>
    </row>
    <row r="116" spans="1:17" ht="28.5">
      <c r="A116" s="522" t="s">
        <v>2565</v>
      </c>
      <c r="B116" s="523" t="s">
        <v>2790</v>
      </c>
      <c r="C116" s="524" t="str">
        <f>C117&amp;"(含)"&amp;"-"&amp;D117</f>
        <v>0(含)-50000</v>
      </c>
      <c r="D116" s="524" t="str">
        <f t="shared" ref="D116:M116" si="25">D117&amp;"(含)"&amp;"-"&amp;E117</f>
        <v>50000(含)-100000</v>
      </c>
      <c r="E116" s="524" t="str">
        <f t="shared" si="25"/>
        <v>100000(含)-150000</v>
      </c>
      <c r="F116" s="524" t="str">
        <f t="shared" si="25"/>
        <v>150000(含)-200000</v>
      </c>
      <c r="G116" s="524" t="str">
        <f t="shared" si="25"/>
        <v>200000(含)-250000</v>
      </c>
      <c r="H116" s="524" t="str">
        <f t="shared" si="25"/>
        <v>250000(含)-</v>
      </c>
      <c r="I116" s="524" t="str">
        <f t="shared" si="25"/>
        <v>(含)-</v>
      </c>
      <c r="J116" s="524" t="str">
        <f t="shared" si="25"/>
        <v>(含)-</v>
      </c>
      <c r="K116" s="524" t="str">
        <f t="shared" si="25"/>
        <v>(含)-</v>
      </c>
      <c r="L116" s="524" t="str">
        <f t="shared" si="25"/>
        <v>(含)-</v>
      </c>
      <c r="M116" s="524" t="str">
        <f t="shared" si="25"/>
        <v>(含)-</v>
      </c>
      <c r="N116" s="1150"/>
      <c r="O116" s="1150"/>
      <c r="P116" s="45"/>
      <c r="Q116" s="499"/>
    </row>
    <row r="117" spans="1:17" ht="15">
      <c r="A117" s="529"/>
      <c r="B117" s="541"/>
      <c r="C117" s="590">
        <v>0</v>
      </c>
      <c r="D117" s="590">
        <v>50000</v>
      </c>
      <c r="E117" s="590">
        <v>100000</v>
      </c>
      <c r="F117" s="590">
        <v>150000</v>
      </c>
      <c r="G117" s="590">
        <v>200000</v>
      </c>
      <c r="H117" s="590">
        <v>250000</v>
      </c>
      <c r="I117" s="590"/>
      <c r="J117" s="591"/>
      <c r="K117" s="591"/>
      <c r="L117" s="592"/>
      <c r="M117" s="593"/>
      <c r="N117" s="1150"/>
      <c r="O117" s="1150"/>
      <c r="P117" s="45"/>
      <c r="Q117" s="499"/>
    </row>
    <row r="118" spans="1:17" ht="15.75" thickBot="1">
      <c r="A118" s="529"/>
      <c r="B118" s="538"/>
      <c r="C118" s="565">
        <v>100</v>
      </c>
      <c r="D118" s="586">
        <v>102</v>
      </c>
      <c r="E118" s="586">
        <v>104</v>
      </c>
      <c r="F118" s="586">
        <v>106</v>
      </c>
      <c r="G118" s="586">
        <v>108</v>
      </c>
      <c r="H118" s="586">
        <v>110</v>
      </c>
      <c r="I118" s="586"/>
      <c r="J118" s="586"/>
      <c r="K118" s="586"/>
      <c r="L118" s="586"/>
      <c r="M118" s="587"/>
      <c r="N118" s="1151"/>
      <c r="O118" s="1151"/>
      <c r="P118" s="45"/>
      <c r="Q118" s="499"/>
    </row>
    <row r="119" spans="1:17" ht="15" thickTop="1">
      <c r="A119" s="594"/>
      <c r="B119" s="533" t="s">
        <v>2791</v>
      </c>
      <c r="C119" s="2950" t="s">
        <v>3083</v>
      </c>
      <c r="D119" s="2950" t="s">
        <v>3084</v>
      </c>
      <c r="E119" s="2950" t="s">
        <v>3085</v>
      </c>
      <c r="F119" s="2950" t="s">
        <v>3086</v>
      </c>
      <c r="G119" s="2950" t="s">
        <v>3087</v>
      </c>
      <c r="H119" s="578"/>
      <c r="I119" s="578"/>
      <c r="J119" s="578"/>
      <c r="K119" s="579"/>
      <c r="L119" s="580"/>
      <c r="M119" s="581"/>
      <c r="N119" s="1150"/>
      <c r="O119" s="1150"/>
      <c r="P119" s="45"/>
      <c r="Q119" s="499"/>
    </row>
    <row r="120" spans="1:17" ht="15.75" thickBot="1">
      <c r="A120" s="529"/>
      <c r="B120" s="538"/>
      <c r="C120" s="539">
        <v>100</v>
      </c>
      <c r="D120" s="539">
        <f t="shared" ref="D120:M120" si="26">C120-$K39</f>
        <v>99</v>
      </c>
      <c r="E120" s="539">
        <f t="shared" si="26"/>
        <v>98</v>
      </c>
      <c r="F120" s="539">
        <f t="shared" si="26"/>
        <v>97</v>
      </c>
      <c r="G120" s="539">
        <f t="shared" si="26"/>
        <v>96</v>
      </c>
      <c r="H120" s="539">
        <f t="shared" si="26"/>
        <v>95</v>
      </c>
      <c r="I120" s="539">
        <f t="shared" si="26"/>
        <v>94</v>
      </c>
      <c r="J120" s="539">
        <f t="shared" si="26"/>
        <v>93</v>
      </c>
      <c r="K120" s="539">
        <f t="shared" si="26"/>
        <v>92</v>
      </c>
      <c r="L120" s="539">
        <f t="shared" si="26"/>
        <v>91</v>
      </c>
      <c r="M120" s="540">
        <f t="shared" si="26"/>
        <v>90</v>
      </c>
      <c r="N120" s="1151"/>
      <c r="O120" s="1151"/>
      <c r="P120" s="45"/>
      <c r="Q120" s="499"/>
    </row>
    <row r="121" spans="1:17" ht="15" thickTop="1">
      <c r="A121" s="594"/>
      <c r="B121" s="533" t="s">
        <v>2792</v>
      </c>
      <c r="C121" s="549"/>
      <c r="D121" s="549"/>
      <c r="E121" s="549"/>
      <c r="F121" s="578"/>
      <c r="G121" s="578"/>
      <c r="H121" s="578"/>
      <c r="I121" s="578"/>
      <c r="J121" s="578"/>
      <c r="K121" s="579"/>
      <c r="L121" s="580"/>
      <c r="M121" s="581"/>
      <c r="N121" s="1150"/>
      <c r="O121" s="1150"/>
      <c r="P121" s="45"/>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51"/>
      <c r="O122" s="1151"/>
      <c r="P122" s="45"/>
      <c r="Q122" s="499"/>
    </row>
    <row r="123" spans="1:17" s="466" customFormat="1" ht="15" thickTop="1">
      <c r="A123" s="588"/>
      <c r="B123" s="533" t="s">
        <v>2793</v>
      </c>
      <c r="C123" s="2949" t="s">
        <v>3097</v>
      </c>
      <c r="D123" s="2949" t="s">
        <v>3098</v>
      </c>
      <c r="E123" s="2949" t="s">
        <v>3099</v>
      </c>
      <c r="F123" s="2949" t="s">
        <v>3100</v>
      </c>
      <c r="G123" s="2949" t="s">
        <v>3101</v>
      </c>
      <c r="H123" s="2950" t="s">
        <v>3239</v>
      </c>
      <c r="I123" s="2950" t="s">
        <v>3240</v>
      </c>
      <c r="J123" s="2950" t="s">
        <v>3242</v>
      </c>
      <c r="K123" s="579"/>
      <c r="L123" s="580"/>
      <c r="M123" s="581"/>
      <c r="N123" s="1152"/>
      <c r="O123" s="1152"/>
      <c r="P123" s="553"/>
      <c r="Q123" s="554"/>
    </row>
    <row r="124" spans="1:17" s="466" customFormat="1" ht="15.75" thickBot="1">
      <c r="A124" s="548"/>
      <c r="B124" s="538"/>
      <c r="C124" s="539">
        <v>100</v>
      </c>
      <c r="D124" s="539">
        <f>C124-$K41</f>
        <v>99</v>
      </c>
      <c r="E124" s="539">
        <f t="shared" ref="E124:M124" si="28">D124-$K41</f>
        <v>98</v>
      </c>
      <c r="F124" s="539">
        <f t="shared" si="28"/>
        <v>97</v>
      </c>
      <c r="G124" s="539">
        <f t="shared" si="28"/>
        <v>96</v>
      </c>
      <c r="H124" s="539">
        <f t="shared" si="28"/>
        <v>95</v>
      </c>
      <c r="I124" s="539">
        <f t="shared" si="28"/>
        <v>94</v>
      </c>
      <c r="J124" s="539">
        <f t="shared" si="28"/>
        <v>93</v>
      </c>
      <c r="K124" s="539">
        <f t="shared" si="28"/>
        <v>92</v>
      </c>
      <c r="L124" s="539">
        <f t="shared" si="28"/>
        <v>91</v>
      </c>
      <c r="M124" s="540">
        <f t="shared" si="28"/>
        <v>90</v>
      </c>
      <c r="N124" s="1152"/>
      <c r="O124" s="1152"/>
      <c r="P124" s="553"/>
      <c r="Q124" s="554"/>
    </row>
    <row r="125" spans="1:17" ht="15" thickTop="1">
      <c r="A125" s="594"/>
      <c r="B125" s="533" t="s">
        <v>2794</v>
      </c>
      <c r="C125" s="2949" t="s">
        <v>3092</v>
      </c>
      <c r="D125" s="2949" t="s">
        <v>3093</v>
      </c>
      <c r="E125" s="2950" t="s">
        <v>3085</v>
      </c>
      <c r="F125" s="2950" t="s">
        <v>3094</v>
      </c>
      <c r="G125" s="2950" t="s">
        <v>3095</v>
      </c>
      <c r="H125" s="578"/>
      <c r="I125" s="578"/>
      <c r="J125" s="578"/>
      <c r="K125" s="579"/>
      <c r="L125" s="580"/>
      <c r="M125" s="581"/>
      <c r="N125" s="1150"/>
      <c r="O125" s="1150"/>
      <c r="P125" s="45"/>
      <c r="Q125" s="499"/>
    </row>
    <row r="126" spans="1:17" ht="15.75" thickBot="1">
      <c r="A126" s="529"/>
      <c r="B126" s="538"/>
      <c r="C126" s="539">
        <v>100</v>
      </c>
      <c r="D126" s="539">
        <f t="shared" ref="D126:M126" si="29">C126-$K42</f>
        <v>100</v>
      </c>
      <c r="E126" s="539">
        <f t="shared" si="29"/>
        <v>100</v>
      </c>
      <c r="F126" s="539">
        <f t="shared" si="29"/>
        <v>100</v>
      </c>
      <c r="G126" s="539">
        <f t="shared" si="29"/>
        <v>100</v>
      </c>
      <c r="H126" s="539">
        <f t="shared" si="29"/>
        <v>100</v>
      </c>
      <c r="I126" s="539">
        <f t="shared" si="29"/>
        <v>100</v>
      </c>
      <c r="J126" s="539">
        <f t="shared" si="29"/>
        <v>100</v>
      </c>
      <c r="K126" s="539">
        <f t="shared" si="29"/>
        <v>100</v>
      </c>
      <c r="L126" s="539">
        <f t="shared" si="29"/>
        <v>100</v>
      </c>
      <c r="M126" s="540">
        <f t="shared" si="29"/>
        <v>100</v>
      </c>
      <c r="N126" s="1151"/>
      <c r="O126" s="1151"/>
      <c r="P126" s="45"/>
      <c r="Q126" s="499"/>
    </row>
    <row r="127" spans="1:17" ht="15" thickTop="1">
      <c r="A127" s="594"/>
      <c r="B127" s="533" t="str">
        <f>B43</f>
        <v>宗地规划限制</v>
      </c>
      <c r="C127" s="2949" t="s">
        <v>3090</v>
      </c>
      <c r="D127" s="2949" t="s">
        <v>3089</v>
      </c>
      <c r="E127" s="549"/>
      <c r="F127" s="549"/>
      <c r="G127" s="549"/>
      <c r="H127" s="578"/>
      <c r="I127" s="578"/>
      <c r="J127" s="578"/>
      <c r="K127" s="579"/>
      <c r="L127" s="580"/>
      <c r="M127" s="581"/>
      <c r="N127" s="1150"/>
      <c r="O127" s="1150"/>
      <c r="P127" s="45"/>
      <c r="Q127" s="499"/>
    </row>
    <row r="128" spans="1:17" ht="15.75" thickBot="1">
      <c r="A128" s="529"/>
      <c r="B128" s="538"/>
      <c r="C128" s="555">
        <v>90</v>
      </c>
      <c r="D128" s="555">
        <v>100</v>
      </c>
      <c r="E128" s="555"/>
      <c r="F128" s="555"/>
      <c r="G128" s="531"/>
      <c r="H128" s="531"/>
      <c r="I128" s="531"/>
      <c r="J128" s="531"/>
      <c r="K128" s="531"/>
      <c r="L128" s="531"/>
      <c r="M128" s="532"/>
      <c r="N128" s="1151"/>
      <c r="O128" s="1151"/>
      <c r="P128" s="45"/>
      <c r="Q128" s="499"/>
    </row>
    <row r="129" spans="1:17" ht="15" thickTop="1">
      <c r="A129" s="594"/>
      <c r="B129" s="533">
        <f>B44</f>
        <v>111</v>
      </c>
      <c r="C129" s="518"/>
      <c r="D129" s="518"/>
      <c r="E129" s="518"/>
      <c r="F129" s="518"/>
      <c r="G129" s="578"/>
      <c r="H129" s="578"/>
      <c r="I129" s="578"/>
      <c r="J129" s="578"/>
      <c r="K129" s="579"/>
      <c r="L129" s="580"/>
      <c r="M129" s="581"/>
      <c r="N129" s="1150"/>
      <c r="O129" s="1150"/>
      <c r="P129" s="45"/>
      <c r="Q129" s="499"/>
    </row>
    <row r="130" spans="1:17" ht="15.75" thickBot="1">
      <c r="A130" s="529"/>
      <c r="B130" s="538"/>
      <c r="C130" s="565"/>
      <c r="D130" s="565"/>
      <c r="E130" s="565"/>
      <c r="F130" s="565"/>
      <c r="G130" s="531"/>
      <c r="H130" s="531"/>
      <c r="I130" s="531"/>
      <c r="J130" s="531"/>
      <c r="K130" s="531"/>
      <c r="L130" s="531"/>
      <c r="M130" s="532"/>
      <c r="N130" s="1151"/>
      <c r="O130" s="1151"/>
      <c r="P130" s="45"/>
      <c r="Q130" s="499"/>
    </row>
    <row r="131" spans="1:17" s="466" customFormat="1" ht="15" thickTop="1">
      <c r="A131" s="588"/>
      <c r="B131" s="533">
        <f>B45</f>
        <v>111</v>
      </c>
      <c r="C131" s="518"/>
      <c r="D131" s="518"/>
      <c r="E131" s="518"/>
      <c r="F131" s="518"/>
      <c r="G131" s="550"/>
      <c r="H131" s="550"/>
      <c r="I131" s="550"/>
      <c r="J131" s="550"/>
      <c r="K131" s="550"/>
      <c r="L131" s="551"/>
      <c r="M131" s="552"/>
      <c r="N131" s="1152"/>
      <c r="O131" s="1152"/>
      <c r="P131" s="553"/>
      <c r="Q131" s="554"/>
    </row>
    <row r="132" spans="1:17" s="466" customFormat="1" ht="15.75" thickBot="1">
      <c r="A132" s="563"/>
      <c r="B132" s="695"/>
      <c r="C132" s="565"/>
      <c r="D132" s="565"/>
      <c r="E132" s="565"/>
      <c r="F132" s="565"/>
      <c r="G132" s="586"/>
      <c r="H132" s="586"/>
      <c r="I132" s="586"/>
      <c r="J132" s="586"/>
      <c r="K132" s="586"/>
      <c r="L132" s="586"/>
      <c r="M132" s="587"/>
      <c r="N132" s="1152"/>
      <c r="O132" s="1152"/>
      <c r="P132" s="553"/>
      <c r="Q132" s="554"/>
    </row>
  </sheetData>
  <sheetProtection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3">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I9 G9 E9">
      <formula1>套综用途</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C16 G16 I16 C22 E22 I22 G28">
      <formula1>居住社区成熟度</formula1>
    </dataValidation>
    <dataValidation type="list" allowBlank="1" showInputMessage="1" showErrorMessage="1" sqref="G22">
      <formula1>交通便捷度</formula1>
    </dataValidation>
    <dataValidation type="list" allowBlank="1" showInputMessage="1" showErrorMessage="1" sqref="E28 C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14" sqref="E14"/>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449" t="s">
        <v>1150</v>
      </c>
      <c r="C1" s="3449"/>
      <c r="D1" s="3449"/>
      <c r="E1" s="3449"/>
      <c r="F1" s="3449"/>
      <c r="G1" s="3448" t="s">
        <v>1151</v>
      </c>
      <c r="H1" s="3448"/>
      <c r="I1" s="3448"/>
      <c r="J1" s="3448"/>
      <c r="K1" s="3448"/>
      <c r="L1" s="3448"/>
      <c r="N1" s="3448" t="s">
        <v>1152</v>
      </c>
      <c r="O1" s="3448"/>
      <c r="P1" s="3448"/>
      <c r="Q1" s="3448"/>
      <c r="R1" s="1443"/>
      <c r="S1" s="3448" t="s">
        <v>1153</v>
      </c>
      <c r="T1" s="3448"/>
      <c r="U1" s="3448"/>
      <c r="V1" s="3448"/>
      <c r="X1" s="3447" t="s">
        <v>1154</v>
      </c>
      <c r="Y1" s="3448"/>
      <c r="Z1" s="3448"/>
      <c r="AA1" s="3448"/>
      <c r="AB1" s="3448"/>
      <c r="AD1" s="3447" t="s">
        <v>1155</v>
      </c>
      <c r="AE1" s="3448"/>
      <c r="AF1" s="3448"/>
      <c r="AG1" s="3448"/>
      <c r="AH1" s="3448"/>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9" customFormat="1" ht="14.25">
      <c r="A3" s="2938" t="s">
        <v>3039</v>
      </c>
      <c r="B3" s="2930"/>
      <c r="C3" s="2930"/>
      <c r="D3" s="2931"/>
      <c r="E3" s="2931"/>
      <c r="F3" s="2930"/>
      <c r="G3" s="2932"/>
      <c r="H3" s="2933"/>
      <c r="I3" s="2934">
        <f>ROUND(AVERAGE($I8:$I23),2)</f>
        <v>2.4500000000000002</v>
      </c>
      <c r="J3" s="2934">
        <f>ROUND(AVERAGE($J8:$J23),2)</f>
        <v>1.65</v>
      </c>
      <c r="K3" s="2934">
        <f>ROUND(AVERAGE($K8:$K23),2)</f>
        <v>2.71</v>
      </c>
      <c r="L3" s="2934">
        <f>ROUND(AVERAGE($L8:$L23),2)</f>
        <v>1.39</v>
      </c>
      <c r="N3" s="2932"/>
      <c r="O3" s="2935"/>
      <c r="P3" s="2935"/>
      <c r="Q3" s="2935"/>
      <c r="R3" s="2935"/>
      <c r="S3" s="2932"/>
      <c r="T3" s="2935"/>
      <c r="U3" s="2935"/>
      <c r="V3" s="2935"/>
      <c r="W3" s="2927"/>
      <c r="X3" s="2936">
        <f>ROUND(SUMPRODUCT(PRODUCT(1+N3:N$22)),4)</f>
        <v>1.4733000000000001</v>
      </c>
      <c r="Y3" s="2936">
        <f>ROUND(SUMPRODUCT(PRODUCT(1+O3:O$22)),4)</f>
        <v>1.3052999999999999</v>
      </c>
      <c r="Z3" s="2936">
        <f t="shared" ref="Z3:Z20" si="0">Y3</f>
        <v>1.3052999999999999</v>
      </c>
      <c r="AA3" s="2936">
        <f>ROUND(SUMPRODUCT(PRODUCT(1+P3:P$22)),4)</f>
        <v>1.5306999999999999</v>
      </c>
      <c r="AB3" s="2936">
        <f>ROUND(SUMPRODUCT(PRODUCT(1+Q3:Q$22)),4)</f>
        <v>1.2863</v>
      </c>
      <c r="AD3" s="2937">
        <f>ROUND(AVERAGE(I3:I$23)/100,4)</f>
        <v>2.24E-2</v>
      </c>
      <c r="AE3" s="2937">
        <f>ROUND(AVERAGE(J3:J$23)/100,4)</f>
        <v>1.54E-2</v>
      </c>
      <c r="AF3" s="2937">
        <f t="shared" ref="AF3:AF21" si="1">AE3</f>
        <v>1.54E-2</v>
      </c>
      <c r="AG3" s="2937">
        <f>ROUND(AVERAGE(K3:K$23)/100,4)</f>
        <v>2.47E-2</v>
      </c>
      <c r="AH3" s="2937">
        <f>ROUND(AVERAGE(L3:L$23)/100,4)</f>
        <v>1.41E-2</v>
      </c>
    </row>
    <row r="4" spans="1:34" s="1450" customFormat="1" ht="14.25">
      <c r="B4" s="1451"/>
      <c r="C4" s="1451"/>
      <c r="D4" s="1452"/>
      <c r="E4" s="1452"/>
      <c r="F4" s="1451"/>
      <c r="G4" s="1453"/>
      <c r="H4" s="1454"/>
      <c r="I4" s="2923"/>
      <c r="J4" s="2923"/>
      <c r="K4" s="2923"/>
      <c r="L4" s="2923"/>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3046</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41">
        <v>2018</v>
      </c>
      <c r="H5" s="1727">
        <v>3</v>
      </c>
      <c r="I5" s="2924">
        <v>0</v>
      </c>
      <c r="J5" s="2924">
        <v>0</v>
      </c>
      <c r="K5" s="2924">
        <v>0</v>
      </c>
      <c r="L5" s="2924">
        <v>0</v>
      </c>
      <c r="N5" s="1464">
        <f>I5/100</f>
        <v>0</v>
      </c>
      <c r="O5" s="1464">
        <f t="shared" ref="O5" si="7">J5/100</f>
        <v>0</v>
      </c>
      <c r="P5" s="1464">
        <f t="shared" ref="P5" si="8">K5/100</f>
        <v>0</v>
      </c>
      <c r="Q5" s="1464">
        <f t="shared" ref="Q5" si="9">L5/100</f>
        <v>0</v>
      </c>
      <c r="R5" s="1729"/>
      <c r="S5" s="1730"/>
      <c r="T5" s="1729"/>
      <c r="U5" s="1729"/>
      <c r="V5" s="1729"/>
      <c r="W5" s="2928" t="s">
        <v>3040</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5" thickBot="1">
      <c r="A6" s="1458" t="s">
        <v>3047</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9"/>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3" customFormat="1" ht="13.5" thickBot="1">
      <c r="A7" s="1458" t="s">
        <v>3038</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9"/>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8" t="s">
        <v>3035</v>
      </c>
      <c r="B8" s="1466">
        <v>439</v>
      </c>
      <c r="C8" s="1466">
        <v>327</v>
      </c>
      <c r="D8" s="1466">
        <f>C8</f>
        <v>327</v>
      </c>
      <c r="E8" s="1466">
        <v>627</v>
      </c>
      <c r="F8" s="1467">
        <v>283</v>
      </c>
      <c r="G8" s="2926">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5" thickBot="1">
      <c r="A9" s="1458" t="s">
        <v>3036</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22"/>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8" t="s">
        <v>1386</v>
      </c>
      <c r="B10" s="1474">
        <f t="shared" si="40"/>
        <v>419.31181600000002</v>
      </c>
      <c r="C10" s="1474">
        <f t="shared" si="41"/>
        <v>313.95436800000004</v>
      </c>
      <c r="D10" s="1474">
        <f t="shared" si="42"/>
        <v>313.95436800000004</v>
      </c>
      <c r="E10" s="1474">
        <f t="shared" si="43"/>
        <v>596.63028431999999</v>
      </c>
      <c r="F10" s="1474">
        <f t="shared" si="44"/>
        <v>274.74220703999998</v>
      </c>
      <c r="G10" s="2921"/>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0"/>
      <c r="AD10" s="1786">
        <f>ROUND(AVERAGE(I10:I$23)/100,4)</f>
        <v>2.46E-2</v>
      </c>
      <c r="AE10" s="1786">
        <f>ROUND(AVERAGE(J10:J$23)/100,4)</f>
        <v>1.6E-2</v>
      </c>
      <c r="AF10" s="1786">
        <f t="shared" si="1"/>
        <v>1.6E-2</v>
      </c>
      <c r="AG10" s="1786">
        <f>ROUND(AVERAGE(K10:K$23)/100,4)</f>
        <v>2.75E-2</v>
      </c>
      <c r="AH10" s="1786">
        <f>ROUND(AVERAGE(L10:L$23)/100,4)</f>
        <v>1.37E-2</v>
      </c>
    </row>
    <row r="11" spans="1:34" s="1463" customFormat="1" ht="13.5" thickBot="1">
      <c r="A11" s="1458" t="s">
        <v>1161</v>
      </c>
      <c r="B11" s="1474">
        <f>B12*(1+N11)</f>
        <v>405.524</v>
      </c>
      <c r="C11" s="1474">
        <f>C12*(1+O11)</f>
        <v>307.79840000000002</v>
      </c>
      <c r="D11" s="1474">
        <f>C11</f>
        <v>307.79840000000002</v>
      </c>
      <c r="E11" s="1474">
        <f>E12*(1+P11)</f>
        <v>574.67759999999998</v>
      </c>
      <c r="F11" s="1474">
        <f>F12*(1+Q11)</f>
        <v>270.20280000000002</v>
      </c>
      <c r="G11" s="2922"/>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8" t="s">
        <v>154</v>
      </c>
      <c r="B12" s="1466">
        <v>392</v>
      </c>
      <c r="C12" s="1466">
        <v>302</v>
      </c>
      <c r="D12" s="1466">
        <f>C12</f>
        <v>302</v>
      </c>
      <c r="E12" s="1466">
        <v>553</v>
      </c>
      <c r="F12" s="1467">
        <v>266</v>
      </c>
      <c r="G12" s="3450">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445"/>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445"/>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5"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446"/>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5" thickBot="1">
      <c r="A16" s="1458" t="s">
        <v>151</v>
      </c>
      <c r="B16" s="1466">
        <v>333</v>
      </c>
      <c r="C16" s="1466">
        <v>277</v>
      </c>
      <c r="D16" s="1466">
        <f t="shared" si="54"/>
        <v>277</v>
      </c>
      <c r="E16" s="1466">
        <v>459</v>
      </c>
      <c r="F16" s="1467">
        <v>249</v>
      </c>
      <c r="G16" s="3444">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445"/>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445"/>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446"/>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5" thickBot="1">
      <c r="A20" s="1458" t="s">
        <v>147</v>
      </c>
      <c r="B20" s="1487">
        <v>318</v>
      </c>
      <c r="C20" s="1487">
        <v>268</v>
      </c>
      <c r="D20" s="1487">
        <f t="shared" si="54"/>
        <v>268</v>
      </c>
      <c r="E20" s="1487">
        <v>437</v>
      </c>
      <c r="F20" s="1488">
        <v>237</v>
      </c>
      <c r="G20" s="3444">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445"/>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5"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445"/>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5"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446"/>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1162</v>
      </c>
      <c r="X23" s="1502">
        <v>1</v>
      </c>
      <c r="Y23" s="1502">
        <v>1</v>
      </c>
      <c r="Z23" s="1502">
        <v>1</v>
      </c>
      <c r="AA23" s="1502">
        <v>1</v>
      </c>
      <c r="AB23" s="1502">
        <v>1</v>
      </c>
      <c r="AD23" s="1724">
        <f>I23/100</f>
        <v>2.9700000000000001E-2</v>
      </c>
      <c r="AE23" s="1724">
        <f>J23/100</f>
        <v>2.3399999999999997E-2</v>
      </c>
      <c r="AF23" s="1724">
        <f>AE23</f>
        <v>2.3399999999999997E-2</v>
      </c>
      <c r="AG23" s="1724">
        <f>K23/100</f>
        <v>3.2799999999999996E-2</v>
      </c>
      <c r="AH23" s="1724">
        <f>L23/100</f>
        <v>1.3600000000000001E-2</v>
      </c>
    </row>
    <row r="24" spans="1:34" ht="13.5" thickBot="1">
      <c r="A24" s="1458" t="s">
        <v>1163</v>
      </c>
      <c r="B24" s="1466">
        <v>299</v>
      </c>
      <c r="C24" s="1466">
        <v>252</v>
      </c>
      <c r="D24" s="1466">
        <f t="shared" si="54"/>
        <v>252</v>
      </c>
      <c r="E24" s="1466">
        <v>409</v>
      </c>
      <c r="F24" s="1467">
        <v>227</v>
      </c>
      <c r="G24" s="3451">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1164</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452"/>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c r="A26" s="1458" t="s">
        <v>1165</v>
      </c>
      <c r="B26" s="1474">
        <f t="shared" si="63"/>
        <v>288.2649053828776</v>
      </c>
      <c r="C26" s="1474">
        <f t="shared" si="63"/>
        <v>243.64564425013293</v>
      </c>
      <c r="D26" s="1474">
        <f t="shared" si="54"/>
        <v>243.64564425013293</v>
      </c>
      <c r="E26" s="1474">
        <f t="shared" si="64"/>
        <v>393.31080825986544</v>
      </c>
      <c r="F26" s="1474">
        <f t="shared" si="64"/>
        <v>223.07903790551154</v>
      </c>
      <c r="G26" s="3452"/>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1166</v>
      </c>
      <c r="B27" s="1474">
        <f t="shared" si="63"/>
        <v>282.50186729015837</v>
      </c>
      <c r="C27" s="1474">
        <f t="shared" si="63"/>
        <v>238.09796174155468</v>
      </c>
      <c r="D27" s="1474">
        <f t="shared" si="54"/>
        <v>238.09796174155468</v>
      </c>
      <c r="E27" s="1474">
        <f t="shared" si="64"/>
        <v>385.33438646014054</v>
      </c>
      <c r="F27" s="1474">
        <f t="shared" si="64"/>
        <v>221.55034055567739</v>
      </c>
      <c r="G27" s="3453"/>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5" thickBot="1">
      <c r="A28" s="1458" t="s">
        <v>1167</v>
      </c>
      <c r="B28" s="1508">
        <v>278</v>
      </c>
      <c r="C28" s="1508">
        <v>234</v>
      </c>
      <c r="D28" s="1508">
        <f t="shared" si="54"/>
        <v>234</v>
      </c>
      <c r="E28" s="1508">
        <v>379</v>
      </c>
      <c r="F28" s="1509">
        <v>220</v>
      </c>
      <c r="G28" s="3444">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1168</v>
      </c>
      <c r="B29" s="1474">
        <f>B28/(1+N28)</f>
        <v>275.49301357645425</v>
      </c>
      <c r="C29" s="1474">
        <f>C28/(1+O28)</f>
        <v>232.41954707985698</v>
      </c>
      <c r="D29" s="1474">
        <f t="shared" si="54"/>
        <v>232.41954707985698</v>
      </c>
      <c r="E29" s="1474">
        <f t="shared" ref="E29:F31" si="65">E28/(1+P28)</f>
        <v>375.32184591008121</v>
      </c>
      <c r="F29" s="1474">
        <f t="shared" si="65"/>
        <v>218.03766105054513</v>
      </c>
      <c r="G29" s="3445"/>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1169</v>
      </c>
      <c r="B30" s="1474">
        <f>B29/(1+N29)</f>
        <v>275.24529281292263</v>
      </c>
      <c r="C30" s="1474">
        <f>C29/(1+O29)</f>
        <v>231.74747938962707</v>
      </c>
      <c r="D30" s="1474">
        <f t="shared" si="54"/>
        <v>231.74747938962707</v>
      </c>
      <c r="E30" s="1474">
        <f t="shared" si="65"/>
        <v>375.35938184826603</v>
      </c>
      <c r="F30" s="1474">
        <f t="shared" si="65"/>
        <v>216.78033510692495</v>
      </c>
      <c r="G30" s="3445"/>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5" thickBot="1">
      <c r="A31" s="1458" t="s">
        <v>1170</v>
      </c>
      <c r="B31" s="1474">
        <f>B30/(1+N30)</f>
        <v>275.19025476197027</v>
      </c>
      <c r="C31" s="1510">
        <v>232</v>
      </c>
      <c r="D31" s="1510">
        <f t="shared" si="54"/>
        <v>232</v>
      </c>
      <c r="E31" s="1474">
        <f t="shared" si="65"/>
        <v>375.65990977608692</v>
      </c>
      <c r="F31" s="1474">
        <f t="shared" si="65"/>
        <v>214.12518283971252</v>
      </c>
      <c r="G31" s="3446"/>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5" thickBot="1">
      <c r="A32" s="1458" t="s">
        <v>1171</v>
      </c>
      <c r="B32" s="1466">
        <v>275</v>
      </c>
      <c r="C32" s="1466">
        <v>232</v>
      </c>
      <c r="D32" s="1466">
        <f t="shared" si="54"/>
        <v>232</v>
      </c>
      <c r="E32" s="1466">
        <v>376</v>
      </c>
      <c r="F32" s="1467">
        <v>213</v>
      </c>
      <c r="G32" s="3444">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1172</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445">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1173</v>
      </c>
      <c r="B34" s="1474">
        <f t="shared" si="66"/>
        <v>275.19335084830601</v>
      </c>
      <c r="C34" s="1474">
        <f t="shared" si="66"/>
        <v>230.18088050139744</v>
      </c>
      <c r="D34" s="1474">
        <f t="shared" si="54"/>
        <v>230.18088050139744</v>
      </c>
      <c r="E34" s="1474">
        <f t="shared" si="67"/>
        <v>377.58482925212331</v>
      </c>
      <c r="F34" s="1474">
        <f t="shared" si="67"/>
        <v>210.90687997847917</v>
      </c>
      <c r="G34" s="3445">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5" thickBot="1">
      <c r="A35" s="1458" t="s">
        <v>1174</v>
      </c>
      <c r="B35" s="1474">
        <f t="shared" si="66"/>
        <v>276.29854502841971</v>
      </c>
      <c r="C35" s="1474">
        <f t="shared" si="66"/>
        <v>229.79023709833027</v>
      </c>
      <c r="D35" s="1474">
        <f t="shared" si="54"/>
        <v>229.79023709833027</v>
      </c>
      <c r="E35" s="1474">
        <f t="shared" si="67"/>
        <v>379.78759731655936</v>
      </c>
      <c r="F35" s="1474">
        <f t="shared" si="67"/>
        <v>211.32953905659235</v>
      </c>
      <c r="G35" s="3446">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5" thickBot="1">
      <c r="A36" s="1458" t="s">
        <v>1175</v>
      </c>
      <c r="B36" s="1466">
        <v>269</v>
      </c>
      <c r="C36" s="1466">
        <v>221</v>
      </c>
      <c r="D36" s="1466">
        <f t="shared" si="54"/>
        <v>221</v>
      </c>
      <c r="E36" s="1466">
        <v>373</v>
      </c>
      <c r="F36" s="1467">
        <v>196</v>
      </c>
      <c r="G36" s="3444">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1176</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445">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1177</v>
      </c>
      <c r="B38" s="1474">
        <f t="shared" si="68"/>
        <v>242.95398227588385</v>
      </c>
      <c r="C38" s="1474">
        <f t="shared" si="68"/>
        <v>199.59137053614126</v>
      </c>
      <c r="D38" s="1474">
        <f t="shared" si="54"/>
        <v>199.59137053614126</v>
      </c>
      <c r="E38" s="1474">
        <f t="shared" si="69"/>
        <v>335.92189522342125</v>
      </c>
      <c r="F38" s="1474">
        <f t="shared" si="69"/>
        <v>183.10139991109489</v>
      </c>
      <c r="G38" s="3445">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5" thickBot="1">
      <c r="A39" s="1458" t="s">
        <v>1178</v>
      </c>
      <c r="B39" s="1474">
        <f t="shared" si="68"/>
        <v>232.06990378821649</v>
      </c>
      <c r="C39" s="1474">
        <f t="shared" si="68"/>
        <v>192.74878854286936</v>
      </c>
      <c r="D39" s="1474">
        <f t="shared" si="54"/>
        <v>192.74878854286936</v>
      </c>
      <c r="E39" s="1474">
        <f t="shared" si="69"/>
        <v>319.71247284992984</v>
      </c>
      <c r="F39" s="1474">
        <f t="shared" si="69"/>
        <v>175.67053622862409</v>
      </c>
      <c r="G39" s="3446">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5" thickBot="1">
      <c r="A40" s="1458" t="s">
        <v>1179</v>
      </c>
      <c r="B40" s="1466">
        <v>220</v>
      </c>
      <c r="C40" s="1466">
        <v>187</v>
      </c>
      <c r="D40" s="1466">
        <f t="shared" si="54"/>
        <v>187</v>
      </c>
      <c r="E40" s="1466">
        <v>301</v>
      </c>
      <c r="F40" s="1467">
        <v>168</v>
      </c>
      <c r="G40" s="3444">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1180</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445">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1181</v>
      </c>
      <c r="B42" s="1474">
        <f t="shared" si="70"/>
        <v>210.630522469011</v>
      </c>
      <c r="C42" s="1474">
        <f t="shared" si="70"/>
        <v>181.69567812247232</v>
      </c>
      <c r="D42" s="1474">
        <f t="shared" si="54"/>
        <v>181.69567812247232</v>
      </c>
      <c r="E42" s="1474">
        <f t="shared" si="71"/>
        <v>286.13517466736738</v>
      </c>
      <c r="F42" s="1474">
        <f t="shared" si="71"/>
        <v>165.47535084591149</v>
      </c>
      <c r="G42" s="3445">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1182</v>
      </c>
      <c r="B43" s="1474">
        <f t="shared" si="70"/>
        <v>208.83454537875372</v>
      </c>
      <c r="C43" s="1474">
        <f t="shared" si="70"/>
        <v>183.77230517090351</v>
      </c>
      <c r="D43" s="1474">
        <f t="shared" si="54"/>
        <v>183.77230517090351</v>
      </c>
      <c r="E43" s="1474">
        <f t="shared" si="71"/>
        <v>281.10342338870947</v>
      </c>
      <c r="F43" s="1474">
        <f t="shared" si="71"/>
        <v>168.97309388942256</v>
      </c>
      <c r="G43" s="3446">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5" thickBot="1">
      <c r="A44" s="1458" t="s">
        <v>1183</v>
      </c>
      <c r="B44" s="1508">
        <v>214</v>
      </c>
      <c r="C44" s="1508">
        <v>188</v>
      </c>
      <c r="D44" s="1508">
        <f t="shared" si="54"/>
        <v>188</v>
      </c>
      <c r="E44" s="1508">
        <v>289</v>
      </c>
      <c r="F44" s="1509">
        <v>166</v>
      </c>
      <c r="G44" s="3444">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1184</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445">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1185</v>
      </c>
      <c r="B46" s="1474">
        <f t="shared" si="72"/>
        <v>206.31694671589116</v>
      </c>
      <c r="C46" s="1474">
        <f t="shared" si="72"/>
        <v>183.61041121036101</v>
      </c>
      <c r="D46" s="1474">
        <f t="shared" si="54"/>
        <v>183.61041121036101</v>
      </c>
      <c r="E46" s="1474">
        <f t="shared" si="73"/>
        <v>276.66850301795557</v>
      </c>
      <c r="F46" s="1474">
        <f t="shared" si="73"/>
        <v>165.1360938278614</v>
      </c>
      <c r="G46" s="3445">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5" thickBot="1">
      <c r="A47" s="1458" t="s">
        <v>1186</v>
      </c>
      <c r="B47" s="1511">
        <f t="shared" si="72"/>
        <v>196.62341248059772</v>
      </c>
      <c r="C47" s="1511">
        <f t="shared" si="72"/>
        <v>170.99125648199012</v>
      </c>
      <c r="D47" s="1511">
        <f t="shared" si="54"/>
        <v>170.99125648199012</v>
      </c>
      <c r="E47" s="1511">
        <f t="shared" si="73"/>
        <v>266.07857570490052</v>
      </c>
      <c r="F47" s="1511">
        <f t="shared" si="73"/>
        <v>154.53499328828505</v>
      </c>
      <c r="G47" s="3446">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5" thickBot="1">
      <c r="A48" s="1458" t="s">
        <v>1187</v>
      </c>
      <c r="B48" s="1466">
        <v>188</v>
      </c>
      <c r="C48" s="1466">
        <v>165</v>
      </c>
      <c r="D48" s="1466">
        <f t="shared" si="54"/>
        <v>165</v>
      </c>
      <c r="E48" s="1466">
        <v>254</v>
      </c>
      <c r="F48" s="1467">
        <v>148</v>
      </c>
      <c r="G48" s="3444">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1188</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445">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1189</v>
      </c>
      <c r="B50" s="1474">
        <f t="shared" si="76"/>
        <v>168.82017748715555</v>
      </c>
      <c r="C50" s="1474">
        <f t="shared" si="76"/>
        <v>148.06267029972753</v>
      </c>
      <c r="D50" s="1474">
        <f t="shared" si="54"/>
        <v>148.06267029972753</v>
      </c>
      <c r="E50" s="1474">
        <f t="shared" si="77"/>
        <v>216.46288379323747</v>
      </c>
      <c r="F50" s="1474">
        <f t="shared" si="77"/>
        <v>134.23529411764704</v>
      </c>
      <c r="G50" s="3445">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1190</v>
      </c>
      <c r="B51" s="1474">
        <f t="shared" si="76"/>
        <v>163.84913591779542</v>
      </c>
      <c r="C51" s="1474">
        <f t="shared" si="76"/>
        <v>145.0283378746594</v>
      </c>
      <c r="D51" s="1474">
        <f t="shared" si="54"/>
        <v>145.0283378746594</v>
      </c>
      <c r="E51" s="1474">
        <f t="shared" si="77"/>
        <v>204.95180722891567</v>
      </c>
      <c r="F51" s="1474">
        <f t="shared" si="77"/>
        <v>125.95920303605313</v>
      </c>
      <c r="G51" s="3446">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5" thickBot="1">
      <c r="A52" s="1458" t="s">
        <v>1191</v>
      </c>
      <c r="B52" s="1487">
        <v>159</v>
      </c>
      <c r="C52" s="1487">
        <v>141</v>
      </c>
      <c r="D52" s="1487">
        <f t="shared" si="54"/>
        <v>141</v>
      </c>
      <c r="E52" s="1487">
        <v>195</v>
      </c>
      <c r="F52" s="1488">
        <v>122</v>
      </c>
      <c r="G52" s="3444">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1192</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445">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1193</v>
      </c>
      <c r="B54" s="1474">
        <f t="shared" si="80"/>
        <v>146.57412060301507</v>
      </c>
      <c r="C54" s="1474">
        <f t="shared" si="80"/>
        <v>136.46831955922866</v>
      </c>
      <c r="D54" s="1474">
        <f t="shared" si="54"/>
        <v>136.46831955922866</v>
      </c>
      <c r="E54" s="1474">
        <f t="shared" si="81"/>
        <v>166.73864894795128</v>
      </c>
      <c r="F54" s="1474">
        <f t="shared" si="81"/>
        <v>115.05882352941177</v>
      </c>
      <c r="G54" s="3445">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1194</v>
      </c>
      <c r="B55" s="1474">
        <f t="shared" si="80"/>
        <v>144.04145728643215</v>
      </c>
      <c r="C55" s="1474">
        <f t="shared" si="80"/>
        <v>136.12396694214877</v>
      </c>
      <c r="D55" s="1474">
        <f t="shared" si="54"/>
        <v>136.12396694214877</v>
      </c>
      <c r="E55" s="1474">
        <f t="shared" si="81"/>
        <v>158.32225913621264</v>
      </c>
      <c r="F55" s="1474">
        <f t="shared" si="81"/>
        <v>114.04278074866311</v>
      </c>
      <c r="G55" s="3446">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5" thickBot="1">
      <c r="A56" s="1458" t="s">
        <v>1195</v>
      </c>
      <c r="B56" s="1487">
        <v>138</v>
      </c>
      <c r="C56" s="1487">
        <v>131</v>
      </c>
      <c r="D56" s="1487">
        <f t="shared" si="54"/>
        <v>131</v>
      </c>
      <c r="E56" s="1487">
        <v>155</v>
      </c>
      <c r="F56" s="1488">
        <v>114</v>
      </c>
      <c r="G56" s="3444">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1196</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445">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1197</v>
      </c>
      <c r="B58" s="1474">
        <f t="shared" si="84"/>
        <v>124.29032258064517</v>
      </c>
      <c r="C58" s="1474">
        <f t="shared" si="84"/>
        <v>123.8968609865471</v>
      </c>
      <c r="D58" s="1474">
        <f t="shared" si="54"/>
        <v>123.8968609865471</v>
      </c>
      <c r="E58" s="1474">
        <f t="shared" si="85"/>
        <v>138.00507614213197</v>
      </c>
      <c r="F58" s="1474">
        <f t="shared" si="85"/>
        <v>107.96106557377048</v>
      </c>
      <c r="G58" s="3445">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1198</v>
      </c>
      <c r="B59" s="1474">
        <f t="shared" si="84"/>
        <v>122.57204301075269</v>
      </c>
      <c r="C59" s="1474">
        <f t="shared" si="84"/>
        <v>123.4932735426009</v>
      </c>
      <c r="D59" s="1474">
        <f t="shared" si="54"/>
        <v>123.4932735426009</v>
      </c>
      <c r="E59" s="1474">
        <f t="shared" si="85"/>
        <v>129.82233502538071</v>
      </c>
      <c r="F59" s="1474">
        <f t="shared" si="85"/>
        <v>107.39446721311475</v>
      </c>
      <c r="G59" s="3446">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5" thickBot="1">
      <c r="A60" s="1458" t="s">
        <v>1199</v>
      </c>
      <c r="B60" s="1508">
        <v>121</v>
      </c>
      <c r="C60" s="1508">
        <v>122</v>
      </c>
      <c r="D60" s="1508">
        <f t="shared" si="54"/>
        <v>122</v>
      </c>
      <c r="E60" s="1508">
        <v>124</v>
      </c>
      <c r="F60" s="1509">
        <v>107</v>
      </c>
      <c r="G60" s="3444">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1200</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445">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1201</v>
      </c>
      <c r="B62" s="1474">
        <f t="shared" si="88"/>
        <v>116.99099099099099</v>
      </c>
      <c r="C62" s="1474">
        <f t="shared" si="88"/>
        <v>118.84848484848486</v>
      </c>
      <c r="D62" s="1474">
        <f t="shared" si="54"/>
        <v>118.84848484848486</v>
      </c>
      <c r="E62" s="1474">
        <f t="shared" si="89"/>
        <v>117.60960960960961</v>
      </c>
      <c r="F62" s="1474">
        <f t="shared" si="89"/>
        <v>104</v>
      </c>
      <c r="G62" s="3445">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5" thickBot="1">
      <c r="A63" s="1458" t="s">
        <v>1202</v>
      </c>
      <c r="B63" s="1511">
        <f t="shared" si="88"/>
        <v>112.48648648648648</v>
      </c>
      <c r="C63" s="1511">
        <f t="shared" si="88"/>
        <v>115.21212121212122</v>
      </c>
      <c r="D63" s="1511">
        <f t="shared" si="54"/>
        <v>115.21212121212122</v>
      </c>
      <c r="E63" s="1511">
        <f t="shared" si="89"/>
        <v>110.4024024024024</v>
      </c>
      <c r="F63" s="1511">
        <f t="shared" si="89"/>
        <v>104</v>
      </c>
      <c r="G63" s="3446">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5" thickBot="1">
      <c r="A64" s="1458" t="s">
        <v>1203</v>
      </c>
      <c r="B64" s="1529">
        <v>111</v>
      </c>
      <c r="C64" s="1529">
        <v>114</v>
      </c>
      <c r="D64" s="1529">
        <f t="shared" si="54"/>
        <v>114</v>
      </c>
      <c r="E64" s="1529">
        <v>108</v>
      </c>
      <c r="F64" s="1530">
        <v>104</v>
      </c>
      <c r="G64" s="3444">
        <v>2003</v>
      </c>
      <c r="H64" s="1519">
        <v>4</v>
      </c>
      <c r="I64" s="1531"/>
      <c r="J64" s="1531"/>
      <c r="K64" s="1531"/>
      <c r="L64" s="1531"/>
      <c r="N64" s="1532"/>
      <c r="O64" s="1531"/>
      <c r="P64" s="1531"/>
      <c r="Q64" s="1531"/>
      <c r="S64" s="1532"/>
      <c r="T64" s="1531"/>
      <c r="U64" s="1531"/>
      <c r="V64" s="1531"/>
      <c r="X64" s="1523"/>
      <c r="Y64" s="1523"/>
      <c r="Z64" s="1523"/>
    </row>
    <row r="65" spans="1:26">
      <c r="A65" s="1458" t="s">
        <v>1204</v>
      </c>
      <c r="B65" s="1533">
        <f t="shared" ref="B65:C67" si="90">B66+(B$64-B$68)/4</f>
        <v>109.75</v>
      </c>
      <c r="C65" s="1533">
        <f t="shared" si="90"/>
        <v>112.25</v>
      </c>
      <c r="D65" s="1533">
        <f t="shared" si="54"/>
        <v>112.25</v>
      </c>
      <c r="E65" s="1533">
        <f t="shared" ref="E65:F67" si="91">E66+(E$64-E$68)/4</f>
        <v>107.25</v>
      </c>
      <c r="F65" s="1533">
        <f t="shared" si="91"/>
        <v>103.5</v>
      </c>
      <c r="G65" s="3445">
        <v>2003</v>
      </c>
      <c r="H65" s="1484">
        <v>3</v>
      </c>
      <c r="I65" s="1531"/>
      <c r="J65" s="1531"/>
      <c r="K65" s="1531"/>
      <c r="L65" s="1531"/>
      <c r="X65" s="1523"/>
      <c r="Y65" s="1523"/>
      <c r="Z65" s="1523"/>
    </row>
    <row r="66" spans="1:26">
      <c r="A66" s="1458" t="s">
        <v>1205</v>
      </c>
      <c r="B66" s="1533">
        <f t="shared" si="90"/>
        <v>108.5</v>
      </c>
      <c r="C66" s="1533">
        <f t="shared" si="90"/>
        <v>110.5</v>
      </c>
      <c r="D66" s="1533">
        <f t="shared" si="54"/>
        <v>110.5</v>
      </c>
      <c r="E66" s="1533">
        <f t="shared" si="91"/>
        <v>106.5</v>
      </c>
      <c r="F66" s="1533">
        <f t="shared" si="91"/>
        <v>103</v>
      </c>
      <c r="G66" s="3445">
        <v>2003</v>
      </c>
      <c r="H66" s="1462">
        <v>2</v>
      </c>
      <c r="I66" s="1531"/>
      <c r="J66" s="1531"/>
      <c r="K66" s="1531"/>
      <c r="L66" s="1531"/>
      <c r="X66" s="1523"/>
      <c r="Y66" s="1523"/>
      <c r="Z66" s="1523"/>
    </row>
    <row r="67" spans="1:26" ht="13.5" thickBot="1">
      <c r="A67" s="1458" t="s">
        <v>1206</v>
      </c>
      <c r="B67" s="1533">
        <f t="shared" si="90"/>
        <v>107.25</v>
      </c>
      <c r="C67" s="1533">
        <f t="shared" si="90"/>
        <v>108.75</v>
      </c>
      <c r="D67" s="1533">
        <f t="shared" si="54"/>
        <v>108.75</v>
      </c>
      <c r="E67" s="1533">
        <f t="shared" si="91"/>
        <v>105.75</v>
      </c>
      <c r="F67" s="1533">
        <f t="shared" si="91"/>
        <v>102.5</v>
      </c>
      <c r="G67" s="3446">
        <v>2003</v>
      </c>
      <c r="H67" s="1534">
        <v>1</v>
      </c>
      <c r="I67" s="1531"/>
      <c r="J67" s="1531"/>
      <c r="K67" s="1531"/>
      <c r="L67" s="1531"/>
      <c r="S67" s="1469"/>
      <c r="T67" s="1470"/>
      <c r="U67" s="1470"/>
      <c r="X67" s="1523"/>
      <c r="Y67" s="1523"/>
      <c r="Z67" s="1523"/>
    </row>
    <row r="68" spans="1:26" ht="13.5" thickBot="1">
      <c r="A68" s="1458" t="s">
        <v>1207</v>
      </c>
      <c r="B68" s="1535">
        <v>106</v>
      </c>
      <c r="C68" s="1535">
        <v>107</v>
      </c>
      <c r="D68" s="1535">
        <f t="shared" si="54"/>
        <v>107</v>
      </c>
      <c r="E68" s="1535">
        <v>105</v>
      </c>
      <c r="F68" s="1536">
        <v>102</v>
      </c>
      <c r="G68" s="3444">
        <v>2002</v>
      </c>
      <c r="H68" s="1479">
        <v>4</v>
      </c>
      <c r="I68" s="1531"/>
      <c r="J68" s="1531"/>
      <c r="K68" s="1531"/>
      <c r="L68" s="1531"/>
      <c r="N68" s="1532"/>
      <c r="O68" s="1531"/>
      <c r="P68" s="1531"/>
      <c r="Q68" s="1531"/>
      <c r="S68" s="1532"/>
      <c r="T68" s="1531"/>
      <c r="U68" s="1531"/>
      <c r="V68" s="1531"/>
      <c r="X68" s="1523"/>
      <c r="Y68" s="1523"/>
      <c r="Z68" s="1523"/>
    </row>
    <row r="69" spans="1:26">
      <c r="A69" s="1458" t="s">
        <v>1208</v>
      </c>
      <c r="B69" s="1533">
        <f t="shared" ref="B69:C71" si="92">B70+(B$68-B$72)/4</f>
        <v>105</v>
      </c>
      <c r="C69" s="1533">
        <f t="shared" si="92"/>
        <v>106</v>
      </c>
      <c r="D69" s="1533">
        <f t="shared" si="54"/>
        <v>106</v>
      </c>
      <c r="E69" s="1533">
        <f t="shared" ref="E69:F71" si="93">E70+(E$68-E$72)/4</f>
        <v>104.5</v>
      </c>
      <c r="F69" s="1533">
        <f t="shared" si="93"/>
        <v>101.5</v>
      </c>
      <c r="G69" s="3445">
        <v>2002</v>
      </c>
      <c r="H69" s="1484">
        <v>3</v>
      </c>
      <c r="I69" s="1531"/>
      <c r="J69" s="1531"/>
      <c r="K69" s="1531"/>
      <c r="L69" s="1531"/>
      <c r="X69" s="1523"/>
      <c r="Y69" s="1523"/>
      <c r="Z69" s="1523"/>
    </row>
    <row r="70" spans="1:26">
      <c r="A70" s="1458" t="s">
        <v>1209</v>
      </c>
      <c r="B70" s="1533">
        <f t="shared" si="92"/>
        <v>104</v>
      </c>
      <c r="C70" s="1533">
        <f t="shared" si="92"/>
        <v>105</v>
      </c>
      <c r="D70" s="1533">
        <f t="shared" si="54"/>
        <v>105</v>
      </c>
      <c r="E70" s="1533">
        <f t="shared" si="93"/>
        <v>104</v>
      </c>
      <c r="F70" s="1533">
        <f t="shared" si="93"/>
        <v>101</v>
      </c>
      <c r="G70" s="3445">
        <v>2002</v>
      </c>
      <c r="H70" s="1462">
        <v>2</v>
      </c>
      <c r="I70" s="1531"/>
      <c r="J70" s="1531"/>
      <c r="K70" s="1531"/>
      <c r="L70" s="1531"/>
      <c r="X70" s="1523"/>
      <c r="Y70" s="1523"/>
      <c r="Z70" s="1523"/>
    </row>
    <row r="71" spans="1:26" s="1495" customFormat="1" ht="13.5" thickBot="1">
      <c r="A71" s="1491" t="s">
        <v>1210</v>
      </c>
      <c r="B71" s="1537">
        <f t="shared" si="92"/>
        <v>103</v>
      </c>
      <c r="C71" s="1537">
        <f t="shared" si="92"/>
        <v>104</v>
      </c>
      <c r="D71" s="1537">
        <f t="shared" si="54"/>
        <v>104</v>
      </c>
      <c r="E71" s="1537">
        <f t="shared" si="93"/>
        <v>103.5</v>
      </c>
      <c r="F71" s="1537">
        <f t="shared" si="93"/>
        <v>100.5</v>
      </c>
      <c r="G71" s="3446">
        <v>2002</v>
      </c>
      <c r="H71" s="1538">
        <v>1</v>
      </c>
      <c r="I71" s="1539"/>
      <c r="J71" s="1539"/>
      <c r="K71" s="1539"/>
      <c r="L71" s="1539"/>
      <c r="N71" s="1540"/>
      <c r="S71" s="1540"/>
      <c r="X71" s="1541"/>
      <c r="Y71" s="1541"/>
      <c r="Z71" s="1541"/>
    </row>
    <row r="72" spans="1:26" ht="13.5"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c r="A74" s="1545" t="s">
        <v>1211</v>
      </c>
      <c r="G74" s="1547"/>
      <c r="N74" s="1547"/>
      <c r="S74" s="1547"/>
    </row>
    <row r="75" spans="1:26" s="1546" customFormat="1">
      <c r="A75" s="1546" t="s">
        <v>1212</v>
      </c>
      <c r="G75" s="1547"/>
      <c r="N75" s="1547"/>
      <c r="S75" s="1547"/>
    </row>
    <row r="76" spans="1:26" s="1546" customFormat="1">
      <c r="A76" s="1546" t="s">
        <v>1213</v>
      </c>
      <c r="G76" s="1547"/>
      <c r="I76" s="1548"/>
      <c r="J76" s="1548"/>
      <c r="K76" s="1548"/>
      <c r="L76" s="1548"/>
      <c r="N76" s="1549"/>
      <c r="O76" s="1548"/>
      <c r="P76" s="1548"/>
      <c r="Q76" s="1548"/>
      <c r="S76" s="1549"/>
      <c r="T76" s="1548"/>
      <c r="U76" s="1548"/>
      <c r="V76" s="1548"/>
    </row>
    <row r="77" spans="1:26" s="1546" customFormat="1">
      <c r="A77" s="1546" t="s">
        <v>1214</v>
      </c>
      <c r="G77" s="1547"/>
      <c r="N77" s="1547"/>
      <c r="S77" s="1547"/>
    </row>
    <row r="84" spans="7:22" ht="13.5" thickBot="1"/>
    <row r="85" spans="7:22">
      <c r="G85" s="1468"/>
      <c r="S85" s="1550" t="s">
        <v>1215</v>
      </c>
      <c r="T85" s="1551" t="s">
        <v>1216</v>
      </c>
      <c r="U85" s="1551" t="s">
        <v>1217</v>
      </c>
      <c r="V85" s="1551" t="s">
        <v>1218</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5"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31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28"/>
      <c r="C2" s="3128"/>
      <c r="D2" s="3128"/>
      <c r="E2" s="3128"/>
    </row>
    <row r="3" spans="1:5" ht="18">
      <c r="A3" s="3129" t="str">
        <f>IF(项目基本情况!B9="房地产市场价值","估价结果一览表（市场价值不需“结果表-1”）","估价结果一览表")</f>
        <v>估价结果一览表（市场价值不需“结果表-1”）</v>
      </c>
      <c r="B3" s="3129"/>
      <c r="C3" s="3129"/>
      <c r="D3" s="3129"/>
      <c r="E3" s="3129"/>
    </row>
    <row r="4" spans="1:5" ht="19.5" thickBot="1">
      <c r="A4" s="1958"/>
      <c r="B4" s="3127" t="s">
        <v>1630</v>
      </c>
      <c r="C4" s="3127"/>
      <c r="D4" s="3127"/>
      <c r="E4" s="1958"/>
    </row>
    <row r="5" spans="1:5" ht="16.5" thickTop="1">
      <c r="A5" s="1956"/>
      <c r="B5" s="3125" t="s">
        <v>1622</v>
      </c>
      <c r="C5" s="1959" t="s">
        <v>1623</v>
      </c>
      <c r="D5" s="1038">
        <f ca="1">结果表!H101</f>
        <v>3</v>
      </c>
      <c r="E5" s="1956"/>
    </row>
    <row r="6" spans="1:5" ht="15.75">
      <c r="A6" s="1956"/>
      <c r="B6" s="3125"/>
      <c r="C6" s="1959" t="s">
        <v>1624</v>
      </c>
      <c r="D6" s="1038" t="str">
        <f ca="1">NUMBERSTRING(INT(D5*10000),2)&amp;"元整"</f>
        <v>叁万元整</v>
      </c>
      <c r="E6" s="1956"/>
    </row>
    <row r="7" spans="1:5" ht="15.75">
      <c r="A7" s="1956"/>
      <c r="B7" s="3130"/>
      <c r="C7" s="1960" t="s">
        <v>1625</v>
      </c>
      <c r="D7" s="1039" t="e">
        <f ca="1">结果表!H102</f>
        <v>#DIV/0!</v>
      </c>
      <c r="E7" s="1956"/>
    </row>
    <row r="8" spans="1:5" ht="15.75">
      <c r="A8" s="1956"/>
      <c r="B8" s="3131" t="str">
        <f>结果表!E103</f>
        <v>2.估价师知悉的法定优先受偿款</v>
      </c>
      <c r="C8" s="1961" t="s">
        <v>1626</v>
      </c>
      <c r="D8" s="1039">
        <f>结果表!H103</f>
        <v>0</v>
      </c>
      <c r="E8" s="1956"/>
    </row>
    <row r="9" spans="1:5" ht="15.75">
      <c r="A9" s="1956"/>
      <c r="B9" s="3133"/>
      <c r="C9" s="1959" t="s">
        <v>1624</v>
      </c>
      <c r="D9" s="1038" t="str">
        <f>NUMBERSTRING(INT(D8*10000),2)&amp;"元整"</f>
        <v>零元整</v>
      </c>
      <c r="E9" s="1956"/>
    </row>
    <row r="10" spans="1:5" ht="15">
      <c r="A10" s="1956"/>
      <c r="B10" s="1962" t="s">
        <v>1629</v>
      </c>
      <c r="C10" s="1963" t="s">
        <v>1627</v>
      </c>
      <c r="D10" s="1040">
        <f>结果表!H104</f>
        <v>0</v>
      </c>
      <c r="E10" s="1956"/>
    </row>
    <row r="11" spans="1:5" ht="15">
      <c r="A11" s="1956"/>
      <c r="B11" s="1962" t="s">
        <v>1631</v>
      </c>
      <c r="C11" s="1963" t="s">
        <v>1632</v>
      </c>
      <c r="D11" s="1040">
        <f>结果表!H105</f>
        <v>0</v>
      </c>
      <c r="E11" s="1956"/>
    </row>
    <row r="12" spans="1:5" ht="15">
      <c r="A12" s="1956"/>
      <c r="B12" s="1962" t="s">
        <v>1633</v>
      </c>
      <c r="C12" s="1963" t="s">
        <v>1632</v>
      </c>
      <c r="D12" s="1040">
        <f>结果表!H106</f>
        <v>0</v>
      </c>
      <c r="E12" s="1956"/>
    </row>
    <row r="13" spans="1:5" ht="15.75">
      <c r="A13" s="1956"/>
      <c r="B13" s="3124" t="str">
        <f>结果表!E107</f>
        <v>3.房地产抵押价值</v>
      </c>
      <c r="C13" s="1964" t="s">
        <v>1623</v>
      </c>
      <c r="D13" s="1041">
        <f ca="1">结果表!H107</f>
        <v>3</v>
      </c>
      <c r="E13" s="1956"/>
    </row>
    <row r="14" spans="1:5" ht="15.75">
      <c r="A14" s="1956"/>
      <c r="B14" s="3125"/>
      <c r="C14" s="1959" t="s">
        <v>1624</v>
      </c>
      <c r="D14" s="1038" t="str">
        <f ca="1">NUMBERSTRING(INT(D13*10000),2)&amp;"元整"</f>
        <v>叁万元整</v>
      </c>
      <c r="E14" s="1956"/>
    </row>
    <row r="15" spans="1:5" ht="15">
      <c r="A15" s="1956"/>
      <c r="B15" s="3130"/>
      <c r="C15" s="1960" t="s">
        <v>1634</v>
      </c>
      <c r="D15" s="1050">
        <f ca="1">结果表!H108</f>
        <v>30000</v>
      </c>
      <c r="E15" s="1956"/>
    </row>
    <row r="16" spans="1:5" ht="15">
      <c r="A16" s="1956"/>
      <c r="B16" s="3131" t="str">
        <f>结果表!E109</f>
        <v>——</v>
      </c>
      <c r="C16" s="1964" t="s">
        <v>1635</v>
      </c>
      <c r="D16" s="1965" t="str">
        <f>结果表!H109</f>
        <v>——</v>
      </c>
      <c r="E16" s="1956"/>
    </row>
    <row r="17" spans="1:5" ht="15.75">
      <c r="A17" s="1956"/>
      <c r="B17" s="3132"/>
      <c r="C17" s="1959" t="s">
        <v>1636</v>
      </c>
      <c r="D17" s="1038" t="e">
        <f>NUMBERSTRING(INT(D16*10000),2)&amp;"元整"</f>
        <v>#VALUE!</v>
      </c>
      <c r="E17" s="1956"/>
    </row>
    <row r="18" spans="1:5" ht="15">
      <c r="A18" s="1956"/>
      <c r="B18" s="3133"/>
      <c r="C18" s="1960" t="s">
        <v>1625</v>
      </c>
      <c r="D18" s="1050" t="str">
        <f>结果表!H110</f>
        <v>——</v>
      </c>
      <c r="E18" s="1956"/>
    </row>
    <row r="19" spans="1:5" ht="15.75">
      <c r="A19" s="1956"/>
      <c r="B19" s="3124" t="str">
        <f>结果表!E111</f>
        <v>——</v>
      </c>
      <c r="C19" s="1964" t="s">
        <v>1623</v>
      </c>
      <c r="D19" s="1039" t="str">
        <f>结果表!H111</f>
        <v>——</v>
      </c>
      <c r="E19" s="1956"/>
    </row>
    <row r="20" spans="1:5" ht="15.75">
      <c r="A20" s="1956"/>
      <c r="B20" s="3125"/>
      <c r="C20" s="1959" t="s">
        <v>1636</v>
      </c>
      <c r="D20" s="1038" t="e">
        <f>NUMBERSTRING(INT(D19*10000),2)&amp;"元整"</f>
        <v>#VALUE!</v>
      </c>
      <c r="E20" s="1956"/>
    </row>
    <row r="21" spans="1:5" ht="15.75" thickBot="1">
      <c r="A21" s="1956"/>
      <c r="B21" s="3126"/>
      <c r="C21" s="1966" t="s">
        <v>1634</v>
      </c>
      <c r="D21" s="1051"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6"/>
    <col min="20" max="45" width="9" style="790"/>
    <col min="46" max="16384" width="9" style="136"/>
  </cols>
  <sheetData>
    <row r="1" spans="1:45" ht="14.25" customHeight="1" thickBot="1">
      <c r="A1" s="152"/>
      <c r="B1" s="1202" t="s">
        <v>3006</v>
      </c>
      <c r="C1" s="3455" t="s">
        <v>3007</v>
      </c>
      <c r="D1" s="3456"/>
      <c r="E1" s="3456"/>
      <c r="F1" s="3456"/>
      <c r="G1" s="3456"/>
      <c r="H1" s="3456"/>
      <c r="I1" s="3456"/>
      <c r="J1" s="3456"/>
      <c r="K1" s="3456"/>
      <c r="L1" s="3456"/>
      <c r="M1" s="3456"/>
      <c r="N1" s="3456"/>
      <c r="O1" s="3456"/>
      <c r="P1" s="3456"/>
      <c r="Q1" s="3456"/>
      <c r="R1" s="3456"/>
      <c r="S1" s="3457"/>
      <c r="T1" s="1202" t="s">
        <v>3008</v>
      </c>
    </row>
    <row r="2" spans="1:45" s="702" customFormat="1">
      <c r="A2" s="1203"/>
      <c r="B2" s="698" t="s">
        <v>3009</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4"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5"/>
      <c r="B3" s="703"/>
      <c r="C3" s="704"/>
      <c r="D3" s="705"/>
      <c r="E3" s="705"/>
      <c r="F3" s="1701"/>
      <c r="G3" s="1701"/>
      <c r="H3" s="1701"/>
      <c r="I3" s="1701"/>
      <c r="J3" s="1701"/>
      <c r="K3" s="1701"/>
      <c r="L3" s="1702"/>
      <c r="M3" s="1703"/>
      <c r="N3" s="1703"/>
      <c r="O3" s="1701"/>
      <c r="P3" s="1701"/>
      <c r="Q3" s="1701"/>
      <c r="R3" s="1701"/>
      <c r="S3" s="1704"/>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c r="A5" s="1213"/>
      <c r="B5" s="1766" t="s">
        <v>3010</v>
      </c>
      <c r="C5" s="1214"/>
      <c r="D5" s="1215"/>
      <c r="E5" s="1215"/>
      <c r="F5" s="1708"/>
      <c r="G5" s="1708"/>
      <c r="H5" s="1708"/>
      <c r="I5" s="1708"/>
      <c r="J5" s="1708"/>
      <c r="K5" s="1708"/>
      <c r="L5" s="1709"/>
      <c r="M5" s="1710"/>
      <c r="N5" s="1710"/>
      <c r="O5" s="1708"/>
      <c r="P5" s="1708"/>
      <c r="Q5" s="1708"/>
      <c r="R5" s="1708"/>
      <c r="S5" s="1711"/>
      <c r="T5" s="1217"/>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c r="A7" s="1213"/>
      <c r="B7" s="1767" t="s">
        <v>3011</v>
      </c>
      <c r="C7" s="1119"/>
      <c r="D7" s="1113"/>
      <c r="E7" s="1113"/>
      <c r="F7" s="1713"/>
      <c r="G7" s="1713"/>
      <c r="H7" s="1713"/>
      <c r="I7" s="1713"/>
      <c r="J7" s="1713"/>
      <c r="K7" s="1713"/>
      <c r="L7" s="1713"/>
      <c r="M7" s="1714"/>
      <c r="N7" s="1715"/>
      <c r="O7" s="1716"/>
      <c r="P7" s="1717"/>
      <c r="Q7" s="1718"/>
      <c r="R7" s="1719"/>
      <c r="S7" s="1720"/>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1213"/>
      <c r="B9" s="1767" t="s">
        <v>3012</v>
      </c>
      <c r="C9" s="1119"/>
      <c r="D9" s="1113"/>
      <c r="E9" s="1113"/>
      <c r="F9" s="1713"/>
      <c r="G9" s="1713"/>
      <c r="H9" s="1713"/>
      <c r="I9" s="1713"/>
      <c r="J9" s="1713"/>
      <c r="K9" s="1713"/>
      <c r="L9" s="1721"/>
      <c r="M9" s="1714"/>
      <c r="N9" s="1715"/>
      <c r="O9" s="1716"/>
      <c r="P9" s="1717"/>
      <c r="Q9" s="1718"/>
      <c r="R9" s="1719"/>
      <c r="S9" s="1720"/>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1213"/>
      <c r="B11" s="1766" t="s">
        <v>3013</v>
      </c>
      <c r="C11" s="1214"/>
      <c r="D11" s="1215"/>
      <c r="E11" s="1215"/>
      <c r="F11" s="1215"/>
      <c r="G11" s="1215"/>
      <c r="H11" s="1215"/>
      <c r="I11" s="1215"/>
      <c r="J11" s="1215"/>
      <c r="K11" s="1215"/>
      <c r="L11" s="1215"/>
      <c r="M11" s="1216"/>
      <c r="N11" s="1220"/>
      <c r="O11" s="1221"/>
      <c r="P11" s="1222"/>
      <c r="Q11" s="1223"/>
      <c r="R11" s="1224"/>
      <c r="S11" s="1225"/>
      <c r="T11" s="1217"/>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1213"/>
      <c r="B13" s="1766" t="s">
        <v>3014</v>
      </c>
      <c r="C13" s="1214"/>
      <c r="D13" s="1215"/>
      <c r="E13" s="1215"/>
      <c r="F13" s="1215"/>
      <c r="G13" s="1215"/>
      <c r="H13" s="1215"/>
      <c r="I13" s="1215"/>
      <c r="J13" s="1215"/>
      <c r="K13" s="1215"/>
      <c r="L13" s="1215"/>
      <c r="M13" s="1216"/>
      <c r="N13" s="1220"/>
      <c r="O13" s="1221"/>
      <c r="P13" s="1222"/>
      <c r="Q13" s="1223"/>
      <c r="R13" s="1224"/>
      <c r="S13" s="1225"/>
      <c r="T13" s="1226"/>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1213"/>
      <c r="B15" s="1766" t="s">
        <v>3015</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16" t="s">
        <v>3016</v>
      </c>
      <c r="B17" s="2917" t="s">
        <v>3017</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1"/>
      <c r="AS17" s="791"/>
    </row>
    <row r="18" spans="1:45" s="702"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1"/>
      <c r="AS18" s="791"/>
    </row>
    <row r="19" spans="1:45">
      <c r="A19" s="135"/>
      <c r="B19" s="165"/>
      <c r="C19" s="165"/>
      <c r="D19" s="2918" t="s">
        <v>3018</v>
      </c>
      <c r="E19" s="1789"/>
      <c r="F19" s="1789"/>
      <c r="G19" s="1789"/>
      <c r="H19" s="1278"/>
      <c r="I19" s="165"/>
      <c r="J19" s="165"/>
      <c r="K19" s="165"/>
      <c r="L19" s="165"/>
      <c r="M19" s="165"/>
      <c r="N19" s="165"/>
      <c r="O19" s="165"/>
      <c r="P19" s="165"/>
      <c r="Q19" s="165"/>
      <c r="R19" s="783"/>
      <c r="S19" s="135"/>
    </row>
    <row r="20" spans="1:45" ht="16.5" thickBot="1">
      <c r="A20" s="710" t="s">
        <v>3019</v>
      </c>
      <c r="B20" s="335" t="e">
        <f ca="1">IF(D20="——",S22,S22-F20)</f>
        <v>#REF!</v>
      </c>
      <c r="C20" s="165"/>
      <c r="D20" s="2919" t="s">
        <v>3020</v>
      </c>
      <c r="E20" s="1790"/>
      <c r="F20" s="1202" t="e">
        <f ca="1">SUMIF(INDIRECT("'"&amp;H20&amp;"'"&amp;"!A:A"),"承租人权益价值",INDIRECT("'"&amp;H20&amp;"'"&amp;"!c:c"))</f>
        <v>#REF!</v>
      </c>
      <c r="G20" s="1202" t="s">
        <v>3021</v>
      </c>
      <c r="H20" s="2920"/>
      <c r="I20" s="165"/>
      <c r="J20" s="165"/>
      <c r="K20" s="165"/>
      <c r="L20" s="165"/>
      <c r="M20" s="165"/>
      <c r="N20" s="165"/>
      <c r="O20" s="165"/>
      <c r="P20" s="165"/>
      <c r="Q20" s="165"/>
      <c r="R20" s="783"/>
      <c r="S20" s="135"/>
    </row>
    <row r="21" spans="1:45" ht="15.75">
      <c r="A21" s="710" t="s">
        <v>3022</v>
      </c>
      <c r="B21" s="335">
        <f>R22</f>
        <v>10000</v>
      </c>
      <c r="C21" s="165"/>
      <c r="D21" s="165"/>
      <c r="E21" s="165"/>
      <c r="F21" s="165"/>
      <c r="G21" s="165"/>
      <c r="H21" s="165"/>
      <c r="I21" s="165"/>
      <c r="J21" s="165"/>
      <c r="K21" s="165"/>
      <c r="L21" s="165"/>
      <c r="M21" s="165"/>
      <c r="N21" s="165"/>
      <c r="O21" s="165"/>
      <c r="P21" s="165"/>
      <c r="Q21" s="165"/>
      <c r="R21" s="783"/>
      <c r="S21" s="135"/>
    </row>
    <row r="22" spans="1:45">
      <c r="A22" s="358" t="s">
        <v>3023</v>
      </c>
      <c r="B22" s="24">
        <f>SUM(B24:B10000)</f>
        <v>100</v>
      </c>
      <c r="C22" s="3304" t="s">
        <v>33</v>
      </c>
      <c r="D22" s="3305"/>
      <c r="E22" s="3305"/>
      <c r="F22" s="3305"/>
      <c r="G22" s="3305"/>
      <c r="H22" s="3305"/>
      <c r="I22" s="3305"/>
      <c r="J22" s="3305"/>
      <c r="K22" s="3305"/>
      <c r="L22" s="3305"/>
      <c r="M22" s="3305"/>
      <c r="N22" s="3305"/>
      <c r="O22" s="3305"/>
      <c r="P22" s="3305"/>
      <c r="Q22" s="3454"/>
      <c r="R22" s="711">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2" t="s">
        <v>3027</v>
      </c>
      <c r="S23" s="11" t="s">
        <v>3028</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3029</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6"/>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58">
        <f t="shared" si="11"/>
        <v>0</v>
      </c>
    </row>
    <row r="26" spans="1:45">
      <c r="A26" s="156"/>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58">
        <f t="shared" si="11"/>
        <v>0</v>
      </c>
    </row>
    <row r="27" spans="1:45">
      <c r="A27" s="156"/>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8">
        <f t="shared" si="11"/>
        <v>0</v>
      </c>
    </row>
    <row r="28" spans="1:45">
      <c r="A28" s="156"/>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8">
        <f t="shared" si="11"/>
        <v>0</v>
      </c>
    </row>
    <row r="29" spans="1:45">
      <c r="A29" s="156"/>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8">
        <f t="shared" si="11"/>
        <v>0</v>
      </c>
    </row>
    <row r="30" spans="1:45">
      <c r="A30" s="156"/>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8">
        <f t="shared" si="11"/>
        <v>0</v>
      </c>
    </row>
    <row r="31" spans="1:45">
      <c r="A31" s="156"/>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8">
        <f t="shared" si="11"/>
        <v>0</v>
      </c>
    </row>
    <row r="32" spans="1:45">
      <c r="A32" s="156"/>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8">
        <f t="shared" si="11"/>
        <v>0</v>
      </c>
    </row>
    <row r="33" spans="1:19">
      <c r="A33" s="156"/>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8">
        <f t="shared" si="11"/>
        <v>0</v>
      </c>
    </row>
    <row r="34" spans="1:19">
      <c r="A34" s="156"/>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8">
        <f t="shared" si="11"/>
        <v>0</v>
      </c>
    </row>
    <row r="35" spans="1:19">
      <c r="A35" s="156"/>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8">
        <f t="shared" si="11"/>
        <v>0</v>
      </c>
    </row>
    <row r="36" spans="1:19">
      <c r="A36" s="156"/>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8">
        <f t="shared" si="11"/>
        <v>0</v>
      </c>
    </row>
    <row r="37" spans="1:19">
      <c r="A37" s="156"/>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8">
        <f t="shared" si="11"/>
        <v>0</v>
      </c>
    </row>
    <row r="38" spans="1:19">
      <c r="A38" s="156"/>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8">
        <f t="shared" si="11"/>
        <v>0</v>
      </c>
    </row>
    <row r="39" spans="1:19">
      <c r="A39" s="156"/>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8">
        <f t="shared" si="11"/>
        <v>0</v>
      </c>
    </row>
    <row r="40" spans="1:19">
      <c r="A40" s="156"/>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8">
        <f t="shared" si="11"/>
        <v>0</v>
      </c>
    </row>
    <row r="41" spans="1:19">
      <c r="A41" s="156"/>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8">
        <f t="shared" si="11"/>
        <v>0</v>
      </c>
    </row>
    <row r="42" spans="1:19">
      <c r="A42" s="156"/>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8">
        <f t="shared" si="11"/>
        <v>0</v>
      </c>
    </row>
    <row r="43" spans="1:19">
      <c r="A43" s="156"/>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8">
        <f t="shared" si="11"/>
        <v>0</v>
      </c>
    </row>
    <row r="44" spans="1:19">
      <c r="A44" s="156"/>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8">
        <f t="shared" si="11"/>
        <v>0</v>
      </c>
    </row>
    <row r="45" spans="1:19">
      <c r="A45" s="156"/>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8">
        <f t="shared" si="11"/>
        <v>0</v>
      </c>
    </row>
    <row r="46" spans="1:19">
      <c r="A46" s="156"/>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8">
        <f t="shared" si="11"/>
        <v>0</v>
      </c>
    </row>
    <row r="47" spans="1:19">
      <c r="A47" s="156"/>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8">
        <f t="shared" si="11"/>
        <v>0</v>
      </c>
    </row>
    <row r="48" spans="1:19">
      <c r="A48" s="156"/>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8">
        <f t="shared" si="11"/>
        <v>0</v>
      </c>
    </row>
    <row r="49" spans="1:19">
      <c r="A49" s="156"/>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8">
        <f t="shared" si="11"/>
        <v>0</v>
      </c>
    </row>
    <row r="50" spans="1:19">
      <c r="A50" s="156"/>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8">
        <f t="shared" si="11"/>
        <v>0</v>
      </c>
    </row>
    <row r="51" spans="1:19">
      <c r="A51" s="156"/>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8">
        <f t="shared" si="11"/>
        <v>0</v>
      </c>
    </row>
    <row r="52" spans="1:19">
      <c r="A52" s="156"/>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8">
        <f t="shared" si="11"/>
        <v>0</v>
      </c>
    </row>
    <row r="53" spans="1:19">
      <c r="A53" s="156"/>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8">
        <f t="shared" si="11"/>
        <v>0</v>
      </c>
    </row>
    <row r="54" spans="1:19">
      <c r="A54" s="156"/>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8">
        <f t="shared" si="11"/>
        <v>0</v>
      </c>
    </row>
    <row r="55" spans="1:19">
      <c r="A55" s="156"/>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8">
        <f t="shared" ref="S55:S77" si="21">ROUND(R55*B55/10000,0)</f>
        <v>0</v>
      </c>
    </row>
    <row r="56" spans="1:19">
      <c r="A56" s="156"/>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8">
        <f t="shared" si="21"/>
        <v>0</v>
      </c>
    </row>
    <row r="57" spans="1:19">
      <c r="A57" s="156"/>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8">
        <f t="shared" si="21"/>
        <v>0</v>
      </c>
    </row>
    <row r="58" spans="1:19">
      <c r="A58" s="156"/>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8">
        <f t="shared" si="21"/>
        <v>0</v>
      </c>
    </row>
    <row r="59" spans="1:19">
      <c r="A59" s="156"/>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8">
        <f t="shared" si="21"/>
        <v>0</v>
      </c>
    </row>
    <row r="60" spans="1:19">
      <c r="A60" s="156"/>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8">
        <f t="shared" si="21"/>
        <v>0</v>
      </c>
    </row>
    <row r="61" spans="1:19">
      <c r="A61" s="156"/>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8">
        <f t="shared" si="21"/>
        <v>0</v>
      </c>
    </row>
    <row r="62" spans="1:19">
      <c r="A62" s="156"/>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8">
        <f t="shared" si="21"/>
        <v>0</v>
      </c>
    </row>
    <row r="63" spans="1:19">
      <c r="A63" s="156"/>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8">
        <f t="shared" si="21"/>
        <v>0</v>
      </c>
    </row>
    <row r="64" spans="1:19">
      <c r="A64" s="156"/>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8">
        <f t="shared" si="21"/>
        <v>0</v>
      </c>
    </row>
    <row r="65" spans="1:19">
      <c r="A65" s="156"/>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8">
        <f t="shared" si="21"/>
        <v>0</v>
      </c>
    </row>
    <row r="66" spans="1:19">
      <c r="A66" s="156"/>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8">
        <f t="shared" si="21"/>
        <v>0</v>
      </c>
    </row>
    <row r="67" spans="1:19">
      <c r="A67" s="156"/>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8">
        <f t="shared" si="21"/>
        <v>0</v>
      </c>
    </row>
    <row r="68" spans="1:19">
      <c r="A68" s="156"/>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8">
        <f t="shared" si="21"/>
        <v>0</v>
      </c>
    </row>
    <row r="69" spans="1:19">
      <c r="A69" s="156"/>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8">
        <f t="shared" si="21"/>
        <v>0</v>
      </c>
    </row>
    <row r="70" spans="1:19">
      <c r="A70" s="156"/>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8">
        <f t="shared" si="21"/>
        <v>0</v>
      </c>
    </row>
    <row r="71" spans="1:19">
      <c r="A71" s="156"/>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8">
        <f t="shared" si="21"/>
        <v>0</v>
      </c>
    </row>
    <row r="72" spans="1:19">
      <c r="A72" s="156"/>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8">
        <f t="shared" si="21"/>
        <v>0</v>
      </c>
    </row>
    <row r="73" spans="1:19">
      <c r="A73" s="156"/>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8">
        <f t="shared" si="21"/>
        <v>0</v>
      </c>
    </row>
    <row r="74" spans="1:19">
      <c r="A74" s="156"/>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8">
        <f t="shared" si="21"/>
        <v>0</v>
      </c>
    </row>
    <row r="75" spans="1:19">
      <c r="A75" s="156"/>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8">
        <f t="shared" si="21"/>
        <v>0</v>
      </c>
    </row>
    <row r="76" spans="1:19">
      <c r="A76" s="156"/>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8">
        <f t="shared" si="21"/>
        <v>0</v>
      </c>
    </row>
    <row r="77" spans="1:19">
      <c r="A77" s="156"/>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8">
        <f t="shared" si="21"/>
        <v>0</v>
      </c>
    </row>
    <row r="78" spans="1:19">
      <c r="A78" s="156"/>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8">
        <f t="shared" ref="S78:S122" si="22">ROUND(R78*B78/10000,0)</f>
        <v>0</v>
      </c>
    </row>
    <row r="79" spans="1:19">
      <c r="A79" s="156"/>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8">
        <f t="shared" si="22"/>
        <v>0</v>
      </c>
    </row>
    <row r="80" spans="1:19">
      <c r="A80" s="156"/>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8">
        <f t="shared" si="22"/>
        <v>0</v>
      </c>
    </row>
    <row r="81" spans="1:19">
      <c r="A81" s="156"/>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8">
        <f t="shared" si="22"/>
        <v>0</v>
      </c>
    </row>
    <row r="82" spans="1:19">
      <c r="A82" s="156"/>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8">
        <f t="shared" si="22"/>
        <v>0</v>
      </c>
    </row>
    <row r="83" spans="1:19">
      <c r="A83" s="156"/>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8">
        <f t="shared" si="22"/>
        <v>0</v>
      </c>
    </row>
    <row r="84" spans="1:19">
      <c r="A84" s="156"/>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8">
        <f t="shared" si="22"/>
        <v>0</v>
      </c>
    </row>
    <row r="85" spans="1:19">
      <c r="A85" s="156"/>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8">
        <f t="shared" si="22"/>
        <v>0</v>
      </c>
    </row>
    <row r="86" spans="1:19">
      <c r="A86" s="156"/>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8">
        <f t="shared" si="22"/>
        <v>0</v>
      </c>
    </row>
    <row r="87" spans="1:19">
      <c r="A87" s="156"/>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8">
        <f t="shared" si="22"/>
        <v>0</v>
      </c>
    </row>
    <row r="88" spans="1:19">
      <c r="A88" s="156"/>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8">
        <f t="shared" si="22"/>
        <v>0</v>
      </c>
    </row>
    <row r="89" spans="1:19">
      <c r="A89" s="156"/>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8">
        <f t="shared" si="22"/>
        <v>0</v>
      </c>
    </row>
    <row r="90" spans="1:19">
      <c r="A90" s="156"/>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8">
        <f t="shared" si="22"/>
        <v>0</v>
      </c>
    </row>
    <row r="91" spans="1:19">
      <c r="A91" s="156"/>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8">
        <f t="shared" si="22"/>
        <v>0</v>
      </c>
    </row>
    <row r="92" spans="1:19">
      <c r="A92" s="156"/>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8">
        <f t="shared" si="22"/>
        <v>0</v>
      </c>
    </row>
    <row r="93" spans="1:19">
      <c r="A93" s="156"/>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8">
        <f t="shared" si="22"/>
        <v>0</v>
      </c>
    </row>
    <row r="94" spans="1:19">
      <c r="A94" s="156"/>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8">
        <f t="shared" si="22"/>
        <v>0</v>
      </c>
    </row>
    <row r="95" spans="1:19">
      <c r="A95" s="156"/>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8">
        <f t="shared" si="22"/>
        <v>0</v>
      </c>
    </row>
    <row r="96" spans="1:19">
      <c r="A96" s="156"/>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8">
        <f t="shared" si="22"/>
        <v>0</v>
      </c>
    </row>
    <row r="97" spans="1:19">
      <c r="A97" s="156"/>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8">
        <f t="shared" si="22"/>
        <v>0</v>
      </c>
    </row>
    <row r="98" spans="1:19">
      <c r="A98" s="156"/>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8">
        <f t="shared" si="22"/>
        <v>0</v>
      </c>
    </row>
    <row r="99" spans="1:19">
      <c r="A99" s="156"/>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8">
        <f t="shared" si="22"/>
        <v>0</v>
      </c>
    </row>
    <row r="100" spans="1:19">
      <c r="A100" s="156"/>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8">
        <f t="shared" si="22"/>
        <v>0</v>
      </c>
    </row>
    <row r="101" spans="1:19">
      <c r="A101" s="156"/>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8">
        <f t="shared" si="22"/>
        <v>0</v>
      </c>
    </row>
    <row r="102" spans="1:19">
      <c r="A102" s="156"/>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8">
        <f t="shared" si="22"/>
        <v>0</v>
      </c>
    </row>
    <row r="103" spans="1:19">
      <c r="A103" s="156"/>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8">
        <f t="shared" si="22"/>
        <v>0</v>
      </c>
    </row>
    <row r="104" spans="1:19">
      <c r="A104" s="156"/>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8">
        <f t="shared" si="22"/>
        <v>0</v>
      </c>
    </row>
    <row r="105" spans="1:19">
      <c r="A105" s="156"/>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8">
        <f t="shared" si="22"/>
        <v>0</v>
      </c>
    </row>
    <row r="106" spans="1:19">
      <c r="A106" s="156"/>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8">
        <f t="shared" si="22"/>
        <v>0</v>
      </c>
    </row>
    <row r="107" spans="1:19">
      <c r="A107" s="156"/>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8">
        <f t="shared" si="22"/>
        <v>0</v>
      </c>
    </row>
    <row r="108" spans="1:19">
      <c r="A108" s="156"/>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8">
        <f t="shared" si="22"/>
        <v>0</v>
      </c>
    </row>
    <row r="109" spans="1:19">
      <c r="A109" s="156"/>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8">
        <f t="shared" si="22"/>
        <v>0</v>
      </c>
    </row>
    <row r="110" spans="1:19">
      <c r="A110" s="156"/>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8">
        <f t="shared" si="22"/>
        <v>0</v>
      </c>
    </row>
    <row r="111" spans="1:19">
      <c r="A111" s="156"/>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8">
        <f t="shared" si="22"/>
        <v>0</v>
      </c>
    </row>
    <row r="112" spans="1:19">
      <c r="A112" s="156"/>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8">
        <f t="shared" si="22"/>
        <v>0</v>
      </c>
    </row>
    <row r="113" spans="1:19">
      <c r="A113" s="156"/>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8">
        <f t="shared" si="22"/>
        <v>0</v>
      </c>
    </row>
    <row r="114" spans="1:19">
      <c r="A114" s="156"/>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8">
        <f t="shared" si="22"/>
        <v>0</v>
      </c>
    </row>
    <row r="115" spans="1:19">
      <c r="A115" s="156"/>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8">
        <f t="shared" si="22"/>
        <v>0</v>
      </c>
    </row>
    <row r="116" spans="1:19">
      <c r="A116" s="156"/>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8">
        <f t="shared" si="22"/>
        <v>0</v>
      </c>
    </row>
    <row r="117" spans="1:19">
      <c r="A117" s="156"/>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8">
        <f t="shared" si="22"/>
        <v>0</v>
      </c>
    </row>
    <row r="118" spans="1:19">
      <c r="A118" s="156"/>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8">
        <f t="shared" si="22"/>
        <v>0</v>
      </c>
    </row>
    <row r="119" spans="1:19">
      <c r="A119" s="156"/>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8">
        <f t="shared" si="22"/>
        <v>0</v>
      </c>
    </row>
    <row r="120" spans="1:19">
      <c r="A120" s="156"/>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8">
        <f t="shared" si="22"/>
        <v>0</v>
      </c>
    </row>
    <row r="121" spans="1:19">
      <c r="A121" s="156"/>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8">
        <f t="shared" si="22"/>
        <v>0</v>
      </c>
    </row>
    <row r="122" spans="1:19">
      <c r="A122" s="156"/>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8">
        <f t="shared" si="22"/>
        <v>0</v>
      </c>
    </row>
    <row r="123" spans="1:19">
      <c r="A123" s="156"/>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8">
        <f t="shared" ref="S123:S186" si="32">ROUND(R123*B123/10000,0)</f>
        <v>0</v>
      </c>
    </row>
    <row r="124" spans="1:19">
      <c r="A124" s="156"/>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8">
        <f t="shared" si="32"/>
        <v>0</v>
      </c>
    </row>
    <row r="125" spans="1:19">
      <c r="A125" s="156"/>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8">
        <f t="shared" si="32"/>
        <v>0</v>
      </c>
    </row>
    <row r="126" spans="1:19">
      <c r="A126" s="156"/>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8">
        <f t="shared" si="32"/>
        <v>0</v>
      </c>
    </row>
    <row r="127" spans="1:19">
      <c r="A127" s="156"/>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8">
        <f t="shared" si="32"/>
        <v>0</v>
      </c>
    </row>
    <row r="128" spans="1:19">
      <c r="A128" s="156"/>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8">
        <f t="shared" si="32"/>
        <v>0</v>
      </c>
    </row>
    <row r="129" spans="1:19">
      <c r="A129" s="156"/>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8">
        <f t="shared" si="32"/>
        <v>0</v>
      </c>
    </row>
    <row r="130" spans="1:19">
      <c r="A130" s="156"/>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8">
        <f t="shared" si="32"/>
        <v>0</v>
      </c>
    </row>
    <row r="131" spans="1:19">
      <c r="A131" s="156"/>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8">
        <f t="shared" si="32"/>
        <v>0</v>
      </c>
    </row>
    <row r="132" spans="1:19">
      <c r="A132" s="156"/>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8">
        <f t="shared" si="32"/>
        <v>0</v>
      </c>
    </row>
    <row r="133" spans="1:19">
      <c r="A133" s="156"/>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8">
        <f t="shared" si="32"/>
        <v>0</v>
      </c>
    </row>
    <row r="134" spans="1:19">
      <c r="A134" s="156"/>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8">
        <f t="shared" si="32"/>
        <v>0</v>
      </c>
    </row>
    <row r="135" spans="1:19">
      <c r="A135" s="156"/>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8">
        <f t="shared" si="32"/>
        <v>0</v>
      </c>
    </row>
    <row r="136" spans="1:19">
      <c r="A136" s="156"/>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8">
        <f t="shared" si="32"/>
        <v>0</v>
      </c>
    </row>
    <row r="137" spans="1:19">
      <c r="A137" s="156"/>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8">
        <f t="shared" si="32"/>
        <v>0</v>
      </c>
    </row>
    <row r="138" spans="1:19">
      <c r="A138" s="156"/>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8">
        <f t="shared" si="32"/>
        <v>0</v>
      </c>
    </row>
    <row r="139" spans="1:19">
      <c r="A139" s="156"/>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8">
        <f t="shared" si="32"/>
        <v>0</v>
      </c>
    </row>
    <row r="140" spans="1:19">
      <c r="A140" s="156"/>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8">
        <f t="shared" si="32"/>
        <v>0</v>
      </c>
    </row>
    <row r="141" spans="1:19">
      <c r="A141" s="156"/>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8">
        <f t="shared" si="32"/>
        <v>0</v>
      </c>
    </row>
    <row r="142" spans="1:19">
      <c r="A142" s="156"/>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8">
        <f t="shared" si="32"/>
        <v>0</v>
      </c>
    </row>
    <row r="143" spans="1:19">
      <c r="A143" s="156"/>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8">
        <f t="shared" si="32"/>
        <v>0</v>
      </c>
    </row>
    <row r="144" spans="1:19">
      <c r="A144" s="156"/>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8">
        <f t="shared" si="32"/>
        <v>0</v>
      </c>
    </row>
    <row r="145" spans="1:19">
      <c r="A145" s="156"/>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8">
        <f t="shared" si="32"/>
        <v>0</v>
      </c>
    </row>
    <row r="146" spans="1:19">
      <c r="A146" s="156"/>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8">
        <f t="shared" si="32"/>
        <v>0</v>
      </c>
    </row>
    <row r="147" spans="1:19">
      <c r="A147" s="156"/>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8">
        <f t="shared" si="32"/>
        <v>0</v>
      </c>
    </row>
    <row r="148" spans="1:19">
      <c r="A148" s="156"/>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8">
        <f t="shared" si="32"/>
        <v>0</v>
      </c>
    </row>
    <row r="149" spans="1:19">
      <c r="A149" s="156"/>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8">
        <f t="shared" si="32"/>
        <v>0</v>
      </c>
    </row>
    <row r="150" spans="1:19">
      <c r="A150" s="156"/>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8">
        <f t="shared" si="32"/>
        <v>0</v>
      </c>
    </row>
    <row r="151" spans="1:19">
      <c r="A151" s="156"/>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8">
        <f t="shared" si="32"/>
        <v>0</v>
      </c>
    </row>
    <row r="152" spans="1:19">
      <c r="A152" s="156"/>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8">
        <f t="shared" si="32"/>
        <v>0</v>
      </c>
    </row>
    <row r="153" spans="1:19">
      <c r="A153" s="156"/>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8">
        <f t="shared" si="32"/>
        <v>0</v>
      </c>
    </row>
    <row r="154" spans="1:19">
      <c r="A154" s="156"/>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8">
        <f t="shared" si="32"/>
        <v>0</v>
      </c>
    </row>
    <row r="155" spans="1:19">
      <c r="A155" s="156"/>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8">
        <f t="shared" si="32"/>
        <v>0</v>
      </c>
    </row>
    <row r="156" spans="1:19">
      <c r="A156" s="156"/>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8">
        <f t="shared" si="32"/>
        <v>0</v>
      </c>
    </row>
    <row r="157" spans="1:19">
      <c r="A157" s="156"/>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8">
        <f t="shared" si="32"/>
        <v>0</v>
      </c>
    </row>
    <row r="158" spans="1:19">
      <c r="A158" s="156"/>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8">
        <f t="shared" si="32"/>
        <v>0</v>
      </c>
    </row>
    <row r="159" spans="1:19">
      <c r="A159" s="156"/>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8">
        <f t="shared" si="32"/>
        <v>0</v>
      </c>
    </row>
    <row r="160" spans="1:19">
      <c r="A160" s="156"/>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8">
        <f t="shared" si="32"/>
        <v>0</v>
      </c>
    </row>
    <row r="161" spans="1:19">
      <c r="A161" s="156"/>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8">
        <f t="shared" si="32"/>
        <v>0</v>
      </c>
    </row>
    <row r="162" spans="1:19">
      <c r="A162" s="156"/>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8">
        <f t="shared" si="32"/>
        <v>0</v>
      </c>
    </row>
    <row r="163" spans="1:19">
      <c r="A163" s="156"/>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8">
        <f t="shared" si="32"/>
        <v>0</v>
      </c>
    </row>
    <row r="164" spans="1:19">
      <c r="A164" s="156"/>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8">
        <f t="shared" si="32"/>
        <v>0</v>
      </c>
    </row>
    <row r="165" spans="1:19">
      <c r="A165" s="156"/>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8">
        <f t="shared" si="32"/>
        <v>0</v>
      </c>
    </row>
    <row r="166" spans="1:19">
      <c r="A166" s="156"/>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8">
        <f t="shared" si="32"/>
        <v>0</v>
      </c>
    </row>
    <row r="167" spans="1:19">
      <c r="A167" s="156"/>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8">
        <f t="shared" si="32"/>
        <v>0</v>
      </c>
    </row>
    <row r="168" spans="1:19">
      <c r="A168" s="156"/>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8">
        <f t="shared" si="32"/>
        <v>0</v>
      </c>
    </row>
    <row r="169" spans="1:19">
      <c r="A169" s="156"/>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8">
        <f t="shared" si="32"/>
        <v>0</v>
      </c>
    </row>
    <row r="170" spans="1:19">
      <c r="A170" s="156"/>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8">
        <f t="shared" si="32"/>
        <v>0</v>
      </c>
    </row>
    <row r="171" spans="1:19">
      <c r="A171" s="156"/>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8">
        <f t="shared" si="32"/>
        <v>0</v>
      </c>
    </row>
    <row r="172" spans="1:19">
      <c r="A172" s="156"/>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8">
        <f t="shared" si="32"/>
        <v>0</v>
      </c>
    </row>
    <row r="173" spans="1:19">
      <c r="A173" s="156"/>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8">
        <f t="shared" si="32"/>
        <v>0</v>
      </c>
    </row>
    <row r="174" spans="1:19">
      <c r="A174" s="156"/>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8">
        <f t="shared" si="32"/>
        <v>0</v>
      </c>
    </row>
    <row r="175" spans="1:19">
      <c r="A175" s="156"/>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8">
        <f t="shared" si="32"/>
        <v>0</v>
      </c>
    </row>
    <row r="176" spans="1:19">
      <c r="A176" s="156"/>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8">
        <f t="shared" si="32"/>
        <v>0</v>
      </c>
    </row>
    <row r="177" spans="1:19">
      <c r="A177" s="156"/>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8">
        <f t="shared" si="32"/>
        <v>0</v>
      </c>
    </row>
    <row r="178" spans="1:19">
      <c r="A178" s="156"/>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8">
        <f t="shared" si="32"/>
        <v>0</v>
      </c>
    </row>
    <row r="179" spans="1:19">
      <c r="A179" s="156"/>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8">
        <f t="shared" si="32"/>
        <v>0</v>
      </c>
    </row>
    <row r="180" spans="1:19">
      <c r="A180" s="156"/>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8">
        <f t="shared" si="32"/>
        <v>0</v>
      </c>
    </row>
    <row r="181" spans="1:19">
      <c r="A181" s="156"/>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8">
        <f t="shared" si="32"/>
        <v>0</v>
      </c>
    </row>
    <row r="182" spans="1:19">
      <c r="A182" s="156"/>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8">
        <f t="shared" si="32"/>
        <v>0</v>
      </c>
    </row>
    <row r="183" spans="1:19">
      <c r="A183" s="156"/>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8">
        <f t="shared" si="32"/>
        <v>0</v>
      </c>
    </row>
    <row r="184" spans="1:19">
      <c r="A184" s="156"/>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8">
        <f t="shared" si="32"/>
        <v>0</v>
      </c>
    </row>
    <row r="185" spans="1:19">
      <c r="A185" s="156"/>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8">
        <f t="shared" si="32"/>
        <v>0</v>
      </c>
    </row>
    <row r="186" spans="1:19">
      <c r="A186" s="156"/>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8">
        <f t="shared" si="32"/>
        <v>0</v>
      </c>
    </row>
    <row r="187" spans="1:19">
      <c r="A187" s="156"/>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8">
        <f t="shared" ref="S187:S222" si="42">ROUND(R187*B187/10000,0)</f>
        <v>0</v>
      </c>
    </row>
    <row r="188" spans="1:19">
      <c r="A188" s="156"/>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8">
        <f t="shared" si="42"/>
        <v>0</v>
      </c>
    </row>
    <row r="189" spans="1:19">
      <c r="A189" s="156"/>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8">
        <f t="shared" si="42"/>
        <v>0</v>
      </c>
    </row>
    <row r="190" spans="1:19">
      <c r="A190" s="156"/>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8">
        <f t="shared" si="42"/>
        <v>0</v>
      </c>
    </row>
    <row r="191" spans="1:19">
      <c r="A191" s="156"/>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8">
        <f t="shared" si="42"/>
        <v>0</v>
      </c>
    </row>
    <row r="192" spans="1:19">
      <c r="A192" s="156"/>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8">
        <f t="shared" si="42"/>
        <v>0</v>
      </c>
    </row>
    <row r="193" spans="1:19">
      <c r="A193" s="156"/>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8">
        <f t="shared" si="42"/>
        <v>0</v>
      </c>
    </row>
    <row r="194" spans="1:19">
      <c r="A194" s="156"/>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8">
        <f t="shared" si="42"/>
        <v>0</v>
      </c>
    </row>
    <row r="195" spans="1:19">
      <c r="A195" s="156"/>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8">
        <f t="shared" si="42"/>
        <v>0</v>
      </c>
    </row>
    <row r="196" spans="1:19">
      <c r="A196" s="156"/>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8">
        <f t="shared" si="42"/>
        <v>0</v>
      </c>
    </row>
    <row r="197" spans="1:19">
      <c r="A197" s="156"/>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8">
        <f t="shared" si="42"/>
        <v>0</v>
      </c>
    </row>
    <row r="198" spans="1:19">
      <c r="A198" s="156"/>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8">
        <f t="shared" si="42"/>
        <v>0</v>
      </c>
    </row>
    <row r="199" spans="1:19">
      <c r="A199" s="156"/>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8">
        <f t="shared" si="42"/>
        <v>0</v>
      </c>
    </row>
    <row r="200" spans="1:19">
      <c r="A200" s="156"/>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8">
        <f t="shared" si="42"/>
        <v>0</v>
      </c>
    </row>
    <row r="201" spans="1:19">
      <c r="A201" s="156"/>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8">
        <f t="shared" si="42"/>
        <v>0</v>
      </c>
    </row>
    <row r="202" spans="1:19">
      <c r="A202" s="156"/>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8">
        <f t="shared" si="42"/>
        <v>0</v>
      </c>
    </row>
    <row r="203" spans="1:19">
      <c r="A203" s="156"/>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8">
        <f t="shared" si="42"/>
        <v>0</v>
      </c>
    </row>
    <row r="204" spans="1:19">
      <c r="A204" s="156"/>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8">
        <f t="shared" si="42"/>
        <v>0</v>
      </c>
    </row>
    <row r="205" spans="1:19">
      <c r="A205" s="156"/>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8">
        <f t="shared" si="42"/>
        <v>0</v>
      </c>
    </row>
    <row r="206" spans="1:19">
      <c r="A206" s="156"/>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8">
        <f t="shared" si="42"/>
        <v>0</v>
      </c>
    </row>
    <row r="207" spans="1:19">
      <c r="A207" s="156"/>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8">
        <f t="shared" si="42"/>
        <v>0</v>
      </c>
    </row>
    <row r="208" spans="1:19">
      <c r="A208" s="156"/>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8">
        <f t="shared" si="42"/>
        <v>0</v>
      </c>
    </row>
    <row r="209" spans="1:19">
      <c r="A209" s="156"/>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8">
        <f t="shared" si="42"/>
        <v>0</v>
      </c>
    </row>
    <row r="210" spans="1:19">
      <c r="A210" s="156"/>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8">
        <f t="shared" si="42"/>
        <v>0</v>
      </c>
    </row>
    <row r="211" spans="1:19">
      <c r="A211" s="156"/>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8">
        <f t="shared" si="42"/>
        <v>0</v>
      </c>
    </row>
    <row r="212" spans="1:19">
      <c r="A212" s="156"/>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8">
        <f t="shared" si="42"/>
        <v>0</v>
      </c>
    </row>
    <row r="213" spans="1:19">
      <c r="A213" s="156"/>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8">
        <f t="shared" si="42"/>
        <v>0</v>
      </c>
    </row>
    <row r="214" spans="1:19">
      <c r="A214" s="156"/>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8">
        <f t="shared" si="42"/>
        <v>0</v>
      </c>
    </row>
    <row r="215" spans="1:19">
      <c r="A215" s="156"/>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8">
        <f t="shared" si="42"/>
        <v>0</v>
      </c>
    </row>
    <row r="216" spans="1:19">
      <c r="A216" s="156"/>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8">
        <f t="shared" si="42"/>
        <v>0</v>
      </c>
    </row>
    <row r="217" spans="1:19">
      <c r="A217" s="156"/>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8">
        <f t="shared" si="42"/>
        <v>0</v>
      </c>
    </row>
    <row r="218" spans="1:19">
      <c r="A218" s="156"/>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8">
        <f t="shared" si="42"/>
        <v>0</v>
      </c>
    </row>
    <row r="219" spans="1:19">
      <c r="A219" s="156"/>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8">
        <f t="shared" si="42"/>
        <v>0</v>
      </c>
    </row>
    <row r="220" spans="1:19">
      <c r="A220" s="156"/>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8">
        <f t="shared" si="42"/>
        <v>0</v>
      </c>
    </row>
    <row r="221" spans="1:19">
      <c r="A221" s="156"/>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8">
        <f t="shared" si="42"/>
        <v>0</v>
      </c>
    </row>
    <row r="222" spans="1:19">
      <c r="A222" s="156"/>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8">
        <f t="shared" si="42"/>
        <v>0</v>
      </c>
    </row>
    <row r="223" spans="1:19">
      <c r="A223" s="156"/>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8">
        <f t="shared" ref="S223:S286" si="52">ROUND(R223*B223/10000,0)</f>
        <v>0</v>
      </c>
    </row>
    <row r="224" spans="1:19">
      <c r="A224" s="156"/>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8">
        <f t="shared" si="52"/>
        <v>0</v>
      </c>
    </row>
    <row r="225" spans="1:19">
      <c r="A225" s="156"/>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8">
        <f t="shared" si="52"/>
        <v>0</v>
      </c>
    </row>
    <row r="226" spans="1:19">
      <c r="A226" s="156"/>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8">
        <f t="shared" si="52"/>
        <v>0</v>
      </c>
    </row>
    <row r="227" spans="1:19">
      <c r="A227" s="156"/>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8">
        <f t="shared" si="52"/>
        <v>0</v>
      </c>
    </row>
    <row r="228" spans="1:19">
      <c r="A228" s="156"/>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8">
        <f t="shared" si="52"/>
        <v>0</v>
      </c>
    </row>
    <row r="229" spans="1:19">
      <c r="A229" s="156"/>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8">
        <f t="shared" si="52"/>
        <v>0</v>
      </c>
    </row>
    <row r="230" spans="1:19">
      <c r="A230" s="156"/>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8">
        <f t="shared" si="52"/>
        <v>0</v>
      </c>
    </row>
    <row r="231" spans="1:19">
      <c r="A231" s="156"/>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8">
        <f t="shared" si="52"/>
        <v>0</v>
      </c>
    </row>
    <row r="232" spans="1:19">
      <c r="A232" s="156"/>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8">
        <f t="shared" si="52"/>
        <v>0</v>
      </c>
    </row>
    <row r="233" spans="1:19">
      <c r="A233" s="156"/>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8">
        <f t="shared" si="52"/>
        <v>0</v>
      </c>
    </row>
    <row r="234" spans="1:19">
      <c r="A234" s="156"/>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8">
        <f t="shared" si="52"/>
        <v>0</v>
      </c>
    </row>
    <row r="235" spans="1:19">
      <c r="A235" s="156"/>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8">
        <f t="shared" si="52"/>
        <v>0</v>
      </c>
    </row>
    <row r="236" spans="1:19">
      <c r="A236" s="156"/>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8">
        <f t="shared" si="52"/>
        <v>0</v>
      </c>
    </row>
    <row r="237" spans="1:19">
      <c r="A237" s="156"/>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8">
        <f t="shared" si="52"/>
        <v>0</v>
      </c>
    </row>
    <row r="238" spans="1:19">
      <c r="A238" s="156"/>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8">
        <f t="shared" si="52"/>
        <v>0</v>
      </c>
    </row>
    <row r="239" spans="1:19">
      <c r="A239" s="156"/>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8">
        <f t="shared" si="52"/>
        <v>0</v>
      </c>
    </row>
    <row r="240" spans="1:19">
      <c r="A240" s="156"/>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8">
        <f t="shared" si="52"/>
        <v>0</v>
      </c>
    </row>
    <row r="241" spans="1:19">
      <c r="A241" s="156"/>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8">
        <f t="shared" si="52"/>
        <v>0</v>
      </c>
    </row>
    <row r="242" spans="1:19">
      <c r="A242" s="156"/>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8">
        <f t="shared" si="52"/>
        <v>0</v>
      </c>
    </row>
    <row r="243" spans="1:19">
      <c r="A243" s="156"/>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8">
        <f t="shared" si="52"/>
        <v>0</v>
      </c>
    </row>
    <row r="244" spans="1:19">
      <c r="A244" s="156"/>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8">
        <f t="shared" si="52"/>
        <v>0</v>
      </c>
    </row>
    <row r="245" spans="1:19">
      <c r="A245" s="156"/>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8">
        <f t="shared" si="52"/>
        <v>0</v>
      </c>
    </row>
    <row r="246" spans="1:19">
      <c r="A246" s="156"/>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8">
        <f t="shared" si="52"/>
        <v>0</v>
      </c>
    </row>
    <row r="247" spans="1:19">
      <c r="A247" s="156"/>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8">
        <f t="shared" si="52"/>
        <v>0</v>
      </c>
    </row>
    <row r="248" spans="1:19">
      <c r="A248" s="156"/>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8">
        <f t="shared" si="52"/>
        <v>0</v>
      </c>
    </row>
    <row r="249" spans="1:19">
      <c r="A249" s="156"/>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8">
        <f t="shared" si="52"/>
        <v>0</v>
      </c>
    </row>
    <row r="250" spans="1:19">
      <c r="A250" s="156"/>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8">
        <f t="shared" si="52"/>
        <v>0</v>
      </c>
    </row>
    <row r="251" spans="1:19">
      <c r="A251" s="156"/>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8">
        <f t="shared" si="52"/>
        <v>0</v>
      </c>
    </row>
    <row r="252" spans="1:19">
      <c r="A252" s="156"/>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8">
        <f t="shared" si="52"/>
        <v>0</v>
      </c>
    </row>
    <row r="253" spans="1:19">
      <c r="A253" s="156"/>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8">
        <f t="shared" si="52"/>
        <v>0</v>
      </c>
    </row>
    <row r="254" spans="1:19">
      <c r="A254" s="156"/>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8">
        <f t="shared" si="52"/>
        <v>0</v>
      </c>
    </row>
    <row r="255" spans="1:19">
      <c r="A255" s="156"/>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8">
        <f t="shared" si="52"/>
        <v>0</v>
      </c>
    </row>
    <row r="256" spans="1:19">
      <c r="A256" s="156"/>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8">
        <f t="shared" si="52"/>
        <v>0</v>
      </c>
    </row>
    <row r="257" spans="1:19">
      <c r="A257" s="156"/>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8">
        <f t="shared" si="52"/>
        <v>0</v>
      </c>
    </row>
    <row r="258" spans="1:19">
      <c r="A258" s="156"/>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8">
        <f t="shared" si="52"/>
        <v>0</v>
      </c>
    </row>
    <row r="259" spans="1:19">
      <c r="A259" s="156"/>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8">
        <f t="shared" si="52"/>
        <v>0</v>
      </c>
    </row>
    <row r="260" spans="1:19">
      <c r="A260" s="156"/>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8">
        <f t="shared" si="52"/>
        <v>0</v>
      </c>
    </row>
    <row r="261" spans="1:19">
      <c r="A261" s="156"/>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8">
        <f t="shared" si="52"/>
        <v>0</v>
      </c>
    </row>
    <row r="262" spans="1:19">
      <c r="A262" s="156"/>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8">
        <f t="shared" si="52"/>
        <v>0</v>
      </c>
    </row>
    <row r="263" spans="1:19">
      <c r="A263" s="156"/>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8">
        <f t="shared" si="52"/>
        <v>0</v>
      </c>
    </row>
    <row r="264" spans="1:19">
      <c r="A264" s="156"/>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8">
        <f t="shared" si="52"/>
        <v>0</v>
      </c>
    </row>
    <row r="265" spans="1:19">
      <c r="A265" s="156"/>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8">
        <f t="shared" si="52"/>
        <v>0</v>
      </c>
    </row>
    <row r="266" spans="1:19">
      <c r="A266" s="156"/>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8">
        <f t="shared" si="52"/>
        <v>0</v>
      </c>
    </row>
    <row r="267" spans="1:19">
      <c r="A267" s="156"/>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8">
        <f t="shared" si="52"/>
        <v>0</v>
      </c>
    </row>
    <row r="268" spans="1:19">
      <c r="A268" s="156"/>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8">
        <f t="shared" si="52"/>
        <v>0</v>
      </c>
    </row>
    <row r="269" spans="1:19">
      <c r="A269" s="156"/>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8">
        <f t="shared" si="52"/>
        <v>0</v>
      </c>
    </row>
    <row r="270" spans="1:19">
      <c r="A270" s="156"/>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8">
        <f t="shared" si="52"/>
        <v>0</v>
      </c>
    </row>
    <row r="271" spans="1:19">
      <c r="A271" s="156"/>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8">
        <f t="shared" si="52"/>
        <v>0</v>
      </c>
    </row>
    <row r="272" spans="1:19">
      <c r="A272" s="156"/>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8">
        <f t="shared" si="52"/>
        <v>0</v>
      </c>
    </row>
    <row r="273" spans="1:19">
      <c r="A273" s="156"/>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8">
        <f t="shared" si="52"/>
        <v>0</v>
      </c>
    </row>
    <row r="274" spans="1:19">
      <c r="A274" s="156"/>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8">
        <f t="shared" si="52"/>
        <v>0</v>
      </c>
    </row>
    <row r="275" spans="1:19">
      <c r="A275" s="156"/>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8">
        <f t="shared" si="52"/>
        <v>0</v>
      </c>
    </row>
    <row r="276" spans="1:19">
      <c r="A276" s="156"/>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8">
        <f t="shared" si="52"/>
        <v>0</v>
      </c>
    </row>
    <row r="277" spans="1:19">
      <c r="A277" s="156"/>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8">
        <f t="shared" si="52"/>
        <v>0</v>
      </c>
    </row>
    <row r="278" spans="1:19">
      <c r="A278" s="156"/>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8">
        <f t="shared" si="52"/>
        <v>0</v>
      </c>
    </row>
    <row r="279" spans="1:19">
      <c r="A279" s="156"/>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8">
        <f t="shared" si="52"/>
        <v>0</v>
      </c>
    </row>
    <row r="280" spans="1:19">
      <c r="A280" s="156"/>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8">
        <f t="shared" si="52"/>
        <v>0</v>
      </c>
    </row>
    <row r="281" spans="1:19">
      <c r="A281" s="156"/>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8">
        <f t="shared" si="52"/>
        <v>0</v>
      </c>
    </row>
    <row r="282" spans="1:19">
      <c r="A282" s="156"/>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8">
        <f t="shared" si="52"/>
        <v>0</v>
      </c>
    </row>
    <row r="283" spans="1:19">
      <c r="A283" s="156"/>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8">
        <f t="shared" si="52"/>
        <v>0</v>
      </c>
    </row>
    <row r="284" spans="1:19">
      <c r="A284" s="156"/>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8">
        <f t="shared" si="52"/>
        <v>0</v>
      </c>
    </row>
    <row r="285" spans="1:19">
      <c r="A285" s="156"/>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8">
        <f t="shared" si="52"/>
        <v>0</v>
      </c>
    </row>
    <row r="286" spans="1:19">
      <c r="A286" s="156"/>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8">
        <f t="shared" si="52"/>
        <v>0</v>
      </c>
    </row>
    <row r="287" spans="1:19">
      <c r="A287" s="156"/>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8">
        <f t="shared" ref="S287:S320" si="62">ROUND(R287*B287/10000,0)</f>
        <v>0</v>
      </c>
    </row>
    <row r="288" spans="1:19">
      <c r="A288" s="156"/>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8">
        <f t="shared" si="62"/>
        <v>0</v>
      </c>
    </row>
    <row r="289" spans="1:19">
      <c r="A289" s="156"/>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8">
        <f t="shared" si="62"/>
        <v>0</v>
      </c>
    </row>
    <row r="290" spans="1:19">
      <c r="A290" s="156"/>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8">
        <f t="shared" si="62"/>
        <v>0</v>
      </c>
    </row>
    <row r="291" spans="1:19">
      <c r="A291" s="156"/>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8">
        <f t="shared" si="62"/>
        <v>0</v>
      </c>
    </row>
    <row r="292" spans="1:19">
      <c r="A292" s="156"/>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8">
        <f t="shared" si="62"/>
        <v>0</v>
      </c>
    </row>
    <row r="293" spans="1:19">
      <c r="A293" s="156"/>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8">
        <f t="shared" si="62"/>
        <v>0</v>
      </c>
    </row>
    <row r="294" spans="1:19">
      <c r="A294" s="156"/>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8">
        <f t="shared" si="62"/>
        <v>0</v>
      </c>
    </row>
    <row r="295" spans="1:19">
      <c r="A295" s="156"/>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8">
        <f t="shared" si="62"/>
        <v>0</v>
      </c>
    </row>
    <row r="296" spans="1:19">
      <c r="A296" s="156"/>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8">
        <f t="shared" si="62"/>
        <v>0</v>
      </c>
    </row>
    <row r="297" spans="1:19">
      <c r="A297" s="156"/>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8">
        <f t="shared" si="62"/>
        <v>0</v>
      </c>
    </row>
    <row r="298" spans="1:19">
      <c r="A298" s="156"/>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8">
        <f t="shared" si="62"/>
        <v>0</v>
      </c>
    </row>
    <row r="299" spans="1:19">
      <c r="A299" s="156"/>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8">
        <f t="shared" si="62"/>
        <v>0</v>
      </c>
    </row>
    <row r="300" spans="1:19">
      <c r="A300" s="156"/>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8">
        <f t="shared" si="62"/>
        <v>0</v>
      </c>
    </row>
    <row r="301" spans="1:19">
      <c r="A301" s="156"/>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8">
        <f t="shared" si="62"/>
        <v>0</v>
      </c>
    </row>
    <row r="302" spans="1:19">
      <c r="A302" s="156"/>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8">
        <f t="shared" si="62"/>
        <v>0</v>
      </c>
    </row>
    <row r="303" spans="1:19">
      <c r="A303" s="156"/>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8">
        <f t="shared" si="62"/>
        <v>0</v>
      </c>
    </row>
    <row r="304" spans="1:19">
      <c r="A304" s="156"/>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8">
        <f t="shared" si="62"/>
        <v>0</v>
      </c>
    </row>
    <row r="305" spans="1:19">
      <c r="A305" s="156"/>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8">
        <f t="shared" si="62"/>
        <v>0</v>
      </c>
    </row>
    <row r="306" spans="1:19">
      <c r="A306" s="156"/>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8">
        <f t="shared" si="62"/>
        <v>0</v>
      </c>
    </row>
    <row r="307" spans="1:19">
      <c r="A307" s="156"/>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8">
        <f t="shared" si="62"/>
        <v>0</v>
      </c>
    </row>
    <row r="308" spans="1:19">
      <c r="A308" s="156"/>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8">
        <f t="shared" si="62"/>
        <v>0</v>
      </c>
    </row>
    <row r="309" spans="1:19">
      <c r="A309" s="156"/>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8">
        <f t="shared" si="62"/>
        <v>0</v>
      </c>
    </row>
    <row r="310" spans="1:19">
      <c r="A310" s="156"/>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8">
        <f t="shared" si="62"/>
        <v>0</v>
      </c>
    </row>
    <row r="311" spans="1:19">
      <c r="A311" s="156"/>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8">
        <f t="shared" si="62"/>
        <v>0</v>
      </c>
    </row>
    <row r="312" spans="1:19">
      <c r="A312" s="156"/>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8">
        <f t="shared" si="62"/>
        <v>0</v>
      </c>
    </row>
    <row r="313" spans="1:19">
      <c r="A313" s="156"/>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8">
        <f t="shared" si="62"/>
        <v>0</v>
      </c>
    </row>
    <row r="314" spans="1:19">
      <c r="A314" s="156"/>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8">
        <f t="shared" si="62"/>
        <v>0</v>
      </c>
    </row>
    <row r="315" spans="1:19">
      <c r="A315" s="156"/>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8">
        <f t="shared" si="62"/>
        <v>0</v>
      </c>
    </row>
    <row r="316" spans="1:19">
      <c r="A316" s="156"/>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8">
        <f t="shared" si="62"/>
        <v>0</v>
      </c>
    </row>
    <row r="317" spans="1:19">
      <c r="A317" s="156"/>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8">
        <f t="shared" si="62"/>
        <v>0</v>
      </c>
    </row>
    <row r="318" spans="1:19">
      <c r="A318" s="156"/>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8">
        <f t="shared" si="62"/>
        <v>0</v>
      </c>
    </row>
    <row r="319" spans="1:19">
      <c r="A319" s="156"/>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8">
        <f t="shared" si="62"/>
        <v>0</v>
      </c>
    </row>
    <row r="320" spans="1:19">
      <c r="A320" s="156"/>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8">
        <f t="shared" si="62"/>
        <v>0</v>
      </c>
    </row>
    <row r="321" spans="1:19">
      <c r="A321" s="156"/>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8">
        <f t="shared" ref="S321:S384" si="63">ROUND(R321*B321/10000,0)</f>
        <v>0</v>
      </c>
    </row>
    <row r="322" spans="1:19">
      <c r="A322" s="156"/>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8">
        <f t="shared" si="63"/>
        <v>0</v>
      </c>
    </row>
    <row r="323" spans="1:19">
      <c r="A323" s="156"/>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8">
        <f t="shared" si="63"/>
        <v>0</v>
      </c>
    </row>
    <row r="324" spans="1:19">
      <c r="A324" s="156"/>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8">
        <f t="shared" si="63"/>
        <v>0</v>
      </c>
    </row>
    <row r="325" spans="1:19">
      <c r="A325" s="156"/>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8">
        <f t="shared" si="63"/>
        <v>0</v>
      </c>
    </row>
    <row r="326" spans="1:19">
      <c r="A326" s="156"/>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8">
        <f t="shared" si="63"/>
        <v>0</v>
      </c>
    </row>
    <row r="327" spans="1:19">
      <c r="A327" s="156"/>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8">
        <f t="shared" si="63"/>
        <v>0</v>
      </c>
    </row>
    <row r="328" spans="1:19">
      <c r="A328" s="156"/>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8">
        <f t="shared" si="63"/>
        <v>0</v>
      </c>
    </row>
    <row r="329" spans="1:19">
      <c r="A329" s="156"/>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8">
        <f t="shared" si="63"/>
        <v>0</v>
      </c>
    </row>
    <row r="330" spans="1:19">
      <c r="A330" s="156"/>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8">
        <f t="shared" si="63"/>
        <v>0</v>
      </c>
    </row>
    <row r="331" spans="1:19">
      <c r="A331" s="156"/>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8">
        <f t="shared" si="63"/>
        <v>0</v>
      </c>
    </row>
    <row r="332" spans="1:19">
      <c r="A332" s="156"/>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8">
        <f t="shared" si="63"/>
        <v>0</v>
      </c>
    </row>
    <row r="333" spans="1:19">
      <c r="A333" s="156"/>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8">
        <f t="shared" si="63"/>
        <v>0</v>
      </c>
    </row>
    <row r="334" spans="1:19">
      <c r="A334" s="156"/>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8">
        <f t="shared" si="63"/>
        <v>0</v>
      </c>
    </row>
    <row r="335" spans="1:19">
      <c r="A335" s="156"/>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8">
        <f t="shared" si="63"/>
        <v>0</v>
      </c>
    </row>
    <row r="336" spans="1:19">
      <c r="A336" s="156"/>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8">
        <f t="shared" si="63"/>
        <v>0</v>
      </c>
    </row>
    <row r="337" spans="1:19">
      <c r="A337" s="156"/>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8">
        <f t="shared" si="63"/>
        <v>0</v>
      </c>
    </row>
    <row r="338" spans="1:19">
      <c r="A338" s="156"/>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8">
        <f t="shared" si="63"/>
        <v>0</v>
      </c>
    </row>
    <row r="339" spans="1:19">
      <c r="A339" s="156"/>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8">
        <f t="shared" si="63"/>
        <v>0</v>
      </c>
    </row>
    <row r="340" spans="1:19">
      <c r="A340" s="156"/>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8">
        <f t="shared" si="63"/>
        <v>0</v>
      </c>
    </row>
    <row r="341" spans="1:19">
      <c r="A341" s="156"/>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8">
        <f t="shared" si="63"/>
        <v>0</v>
      </c>
    </row>
    <row r="342" spans="1:19">
      <c r="A342" s="156"/>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8">
        <f t="shared" si="63"/>
        <v>0</v>
      </c>
    </row>
    <row r="343" spans="1:19">
      <c r="A343" s="156"/>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8">
        <f t="shared" si="63"/>
        <v>0</v>
      </c>
    </row>
    <row r="344" spans="1:19">
      <c r="A344" s="156"/>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8">
        <f t="shared" si="63"/>
        <v>0</v>
      </c>
    </row>
    <row r="345" spans="1:19">
      <c r="A345" s="156"/>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8">
        <f t="shared" si="63"/>
        <v>0</v>
      </c>
    </row>
    <row r="346" spans="1:19">
      <c r="A346" s="156"/>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8">
        <f t="shared" si="63"/>
        <v>0</v>
      </c>
    </row>
    <row r="347" spans="1:19">
      <c r="A347" s="156"/>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8">
        <f t="shared" si="63"/>
        <v>0</v>
      </c>
    </row>
    <row r="348" spans="1:19">
      <c r="A348" s="156"/>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8">
        <f t="shared" si="63"/>
        <v>0</v>
      </c>
    </row>
    <row r="349" spans="1:19">
      <c r="A349" s="156"/>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8">
        <f t="shared" si="63"/>
        <v>0</v>
      </c>
    </row>
    <row r="350" spans="1:19">
      <c r="A350" s="156"/>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8">
        <f t="shared" si="63"/>
        <v>0</v>
      </c>
    </row>
    <row r="351" spans="1:19">
      <c r="A351" s="156"/>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8">
        <f t="shared" si="63"/>
        <v>0</v>
      </c>
    </row>
    <row r="352" spans="1:19">
      <c r="A352" s="156"/>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8">
        <f t="shared" si="63"/>
        <v>0</v>
      </c>
    </row>
    <row r="353" spans="1:19">
      <c r="A353" s="156"/>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8">
        <f t="shared" si="63"/>
        <v>0</v>
      </c>
    </row>
    <row r="354" spans="1:19">
      <c r="A354" s="156"/>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8">
        <f t="shared" si="63"/>
        <v>0</v>
      </c>
    </row>
    <row r="355" spans="1:19">
      <c r="A355" s="156"/>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8">
        <f t="shared" si="63"/>
        <v>0</v>
      </c>
    </row>
    <row r="356" spans="1:19">
      <c r="A356" s="156"/>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8">
        <f t="shared" si="63"/>
        <v>0</v>
      </c>
    </row>
    <row r="357" spans="1:19">
      <c r="A357" s="156"/>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8">
        <f t="shared" si="63"/>
        <v>0</v>
      </c>
    </row>
    <row r="358" spans="1:19">
      <c r="A358" s="156"/>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8">
        <f t="shared" si="63"/>
        <v>0</v>
      </c>
    </row>
    <row r="359" spans="1:19">
      <c r="A359" s="156"/>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8">
        <f t="shared" si="63"/>
        <v>0</v>
      </c>
    </row>
    <row r="360" spans="1:19">
      <c r="A360" s="156"/>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8">
        <f t="shared" si="63"/>
        <v>0</v>
      </c>
    </row>
    <row r="361" spans="1:19">
      <c r="A361" s="156"/>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8">
        <f t="shared" si="63"/>
        <v>0</v>
      </c>
    </row>
    <row r="362" spans="1:19">
      <c r="A362" s="156"/>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8">
        <f t="shared" si="63"/>
        <v>0</v>
      </c>
    </row>
    <row r="363" spans="1:19">
      <c r="A363" s="156"/>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8">
        <f t="shared" si="63"/>
        <v>0</v>
      </c>
    </row>
    <row r="364" spans="1:19">
      <c r="A364" s="156"/>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8">
        <f t="shared" si="63"/>
        <v>0</v>
      </c>
    </row>
    <row r="365" spans="1:19">
      <c r="A365" s="156"/>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8">
        <f t="shared" si="63"/>
        <v>0</v>
      </c>
    </row>
    <row r="366" spans="1:19">
      <c r="A366" s="156"/>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8">
        <f t="shared" si="63"/>
        <v>0</v>
      </c>
    </row>
    <row r="367" spans="1:19">
      <c r="A367" s="156"/>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8">
        <f t="shared" si="63"/>
        <v>0</v>
      </c>
    </row>
    <row r="368" spans="1:19">
      <c r="A368" s="156"/>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8">
        <f t="shared" si="63"/>
        <v>0</v>
      </c>
    </row>
    <row r="369" spans="1:19">
      <c r="A369" s="156"/>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8">
        <f t="shared" si="63"/>
        <v>0</v>
      </c>
    </row>
    <row r="370" spans="1:19">
      <c r="A370" s="156"/>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8">
        <f t="shared" si="63"/>
        <v>0</v>
      </c>
    </row>
    <row r="371" spans="1:19">
      <c r="A371" s="156"/>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8">
        <f t="shared" si="63"/>
        <v>0</v>
      </c>
    </row>
    <row r="372" spans="1:19">
      <c r="A372" s="156"/>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8">
        <f t="shared" si="63"/>
        <v>0</v>
      </c>
    </row>
    <row r="373" spans="1:19">
      <c r="A373" s="156"/>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8">
        <f t="shared" si="63"/>
        <v>0</v>
      </c>
    </row>
    <row r="374" spans="1:19">
      <c r="A374" s="156"/>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8">
        <f t="shared" si="63"/>
        <v>0</v>
      </c>
    </row>
    <row r="375" spans="1:19">
      <c r="A375" s="156"/>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8">
        <f t="shared" si="63"/>
        <v>0</v>
      </c>
    </row>
    <row r="376" spans="1:19">
      <c r="A376" s="156"/>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8">
        <f t="shared" si="63"/>
        <v>0</v>
      </c>
    </row>
    <row r="377" spans="1:19">
      <c r="A377" s="156"/>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8">
        <f t="shared" si="63"/>
        <v>0</v>
      </c>
    </row>
    <row r="378" spans="1:19">
      <c r="A378" s="156"/>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8">
        <f t="shared" si="63"/>
        <v>0</v>
      </c>
    </row>
    <row r="379" spans="1:19">
      <c r="A379" s="156"/>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8">
        <f t="shared" si="63"/>
        <v>0</v>
      </c>
    </row>
    <row r="380" spans="1:19">
      <c r="A380" s="156"/>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8">
        <f t="shared" si="63"/>
        <v>0</v>
      </c>
    </row>
    <row r="381" spans="1:19">
      <c r="A381" s="156"/>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8">
        <f t="shared" si="63"/>
        <v>0</v>
      </c>
    </row>
    <row r="382" spans="1:19">
      <c r="A382" s="156"/>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8">
        <f t="shared" si="63"/>
        <v>0</v>
      </c>
    </row>
    <row r="383" spans="1:19">
      <c r="A383" s="156"/>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8">
        <f t="shared" si="63"/>
        <v>0</v>
      </c>
    </row>
    <row r="384" spans="1:19">
      <c r="A384" s="156"/>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8">
        <f t="shared" si="63"/>
        <v>0</v>
      </c>
    </row>
    <row r="385" spans="1:19">
      <c r="A385" s="156"/>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8">
        <f t="shared" ref="S385:S422" si="73">ROUND(R385*B385/10000,0)</f>
        <v>0</v>
      </c>
    </row>
    <row r="386" spans="1:19">
      <c r="A386" s="156"/>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8">
        <f t="shared" si="73"/>
        <v>0</v>
      </c>
    </row>
    <row r="387" spans="1:19">
      <c r="A387" s="156"/>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8">
        <f t="shared" si="73"/>
        <v>0</v>
      </c>
    </row>
    <row r="388" spans="1:19">
      <c r="A388" s="156"/>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8">
        <f t="shared" si="73"/>
        <v>0</v>
      </c>
    </row>
    <row r="389" spans="1:19">
      <c r="A389" s="156"/>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8">
        <f t="shared" si="73"/>
        <v>0</v>
      </c>
    </row>
    <row r="390" spans="1:19">
      <c r="A390" s="156"/>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8">
        <f t="shared" si="73"/>
        <v>0</v>
      </c>
    </row>
    <row r="391" spans="1:19">
      <c r="A391" s="156"/>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8">
        <f t="shared" si="73"/>
        <v>0</v>
      </c>
    </row>
    <row r="392" spans="1:19">
      <c r="A392" s="156"/>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8">
        <f t="shared" si="73"/>
        <v>0</v>
      </c>
    </row>
    <row r="393" spans="1:19">
      <c r="A393" s="156"/>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8">
        <f t="shared" si="73"/>
        <v>0</v>
      </c>
    </row>
    <row r="394" spans="1:19">
      <c r="A394" s="156"/>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8">
        <f t="shared" si="73"/>
        <v>0</v>
      </c>
    </row>
    <row r="395" spans="1:19">
      <c r="A395" s="156"/>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8">
        <f t="shared" si="73"/>
        <v>0</v>
      </c>
    </row>
    <row r="396" spans="1:19">
      <c r="A396" s="156"/>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8">
        <f t="shared" si="73"/>
        <v>0</v>
      </c>
    </row>
    <row r="397" spans="1:19">
      <c r="A397" s="156"/>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8">
        <f t="shared" si="73"/>
        <v>0</v>
      </c>
    </row>
    <row r="398" spans="1:19">
      <c r="A398" s="156"/>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8">
        <f t="shared" si="73"/>
        <v>0</v>
      </c>
    </row>
    <row r="399" spans="1:19">
      <c r="A399" s="156"/>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8">
        <f t="shared" si="73"/>
        <v>0</v>
      </c>
    </row>
    <row r="400" spans="1:19">
      <c r="A400" s="156"/>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8">
        <f t="shared" si="73"/>
        <v>0</v>
      </c>
    </row>
    <row r="401" spans="1:19">
      <c r="A401" s="156"/>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8">
        <f t="shared" si="73"/>
        <v>0</v>
      </c>
    </row>
    <row r="402" spans="1:19">
      <c r="A402" s="156"/>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8">
        <f t="shared" si="73"/>
        <v>0</v>
      </c>
    </row>
    <row r="403" spans="1:19">
      <c r="A403" s="156"/>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8">
        <f t="shared" si="73"/>
        <v>0</v>
      </c>
    </row>
    <row r="404" spans="1:19">
      <c r="A404" s="156"/>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8">
        <f t="shared" si="73"/>
        <v>0</v>
      </c>
    </row>
    <row r="405" spans="1:19">
      <c r="A405" s="156"/>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8">
        <f t="shared" si="73"/>
        <v>0</v>
      </c>
    </row>
    <row r="406" spans="1:19">
      <c r="A406" s="156"/>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8">
        <f t="shared" si="73"/>
        <v>0</v>
      </c>
    </row>
    <row r="407" spans="1:19">
      <c r="A407" s="156"/>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8">
        <f t="shared" si="73"/>
        <v>0</v>
      </c>
    </row>
    <row r="408" spans="1:19">
      <c r="A408" s="156"/>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8">
        <f t="shared" si="73"/>
        <v>0</v>
      </c>
    </row>
    <row r="409" spans="1:19">
      <c r="A409" s="156"/>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8">
        <f t="shared" si="73"/>
        <v>0</v>
      </c>
    </row>
    <row r="410" spans="1:19">
      <c r="A410" s="156"/>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8">
        <f t="shared" si="73"/>
        <v>0</v>
      </c>
    </row>
    <row r="411" spans="1:19">
      <c r="A411" s="156"/>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8">
        <f t="shared" si="73"/>
        <v>0</v>
      </c>
    </row>
    <row r="412" spans="1:19">
      <c r="A412" s="156"/>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8">
        <f t="shared" si="73"/>
        <v>0</v>
      </c>
    </row>
    <row r="413" spans="1:19">
      <c r="A413" s="156"/>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8">
        <f t="shared" si="73"/>
        <v>0</v>
      </c>
    </row>
    <row r="414" spans="1:19">
      <c r="A414" s="156"/>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8">
        <f t="shared" si="73"/>
        <v>0</v>
      </c>
    </row>
    <row r="415" spans="1:19">
      <c r="A415" s="156"/>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8">
        <f t="shared" si="73"/>
        <v>0</v>
      </c>
    </row>
    <row r="416" spans="1:19">
      <c r="A416" s="156"/>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8">
        <f t="shared" si="73"/>
        <v>0</v>
      </c>
    </row>
    <row r="417" spans="1:19">
      <c r="A417" s="156"/>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8">
        <f t="shared" si="73"/>
        <v>0</v>
      </c>
    </row>
    <row r="418" spans="1:19">
      <c r="A418" s="156"/>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8">
        <f t="shared" si="73"/>
        <v>0</v>
      </c>
    </row>
    <row r="419" spans="1:19">
      <c r="A419" s="156"/>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8">
        <f t="shared" si="73"/>
        <v>0</v>
      </c>
    </row>
    <row r="420" spans="1:19">
      <c r="A420" s="156"/>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8">
        <f t="shared" si="73"/>
        <v>0</v>
      </c>
    </row>
    <row r="421" spans="1:19">
      <c r="A421" s="156"/>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8">
        <f t="shared" si="73"/>
        <v>0</v>
      </c>
    </row>
    <row r="422" spans="1:19">
      <c r="A422" s="156"/>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8">
        <f t="shared" si="73"/>
        <v>0</v>
      </c>
    </row>
    <row r="423" spans="1:19">
      <c r="A423" s="156"/>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8">
        <f t="shared" ref="S423:S467" si="83">ROUND(R423*B423/10000,0)</f>
        <v>0</v>
      </c>
    </row>
    <row r="424" spans="1:19">
      <c r="A424" s="156"/>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8">
        <f t="shared" si="83"/>
        <v>0</v>
      </c>
    </row>
    <row r="425" spans="1:19">
      <c r="A425" s="156"/>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8">
        <f t="shared" si="83"/>
        <v>0</v>
      </c>
    </row>
    <row r="426" spans="1:19">
      <c r="A426" s="156"/>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8">
        <f t="shared" si="83"/>
        <v>0</v>
      </c>
    </row>
    <row r="427" spans="1:19">
      <c r="A427" s="156"/>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8">
        <f t="shared" si="83"/>
        <v>0</v>
      </c>
    </row>
    <row r="428" spans="1:19">
      <c r="A428" s="156"/>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8">
        <f t="shared" si="83"/>
        <v>0</v>
      </c>
    </row>
    <row r="429" spans="1:19">
      <c r="A429" s="156"/>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8">
        <f t="shared" si="83"/>
        <v>0</v>
      </c>
    </row>
    <row r="430" spans="1:19">
      <c r="A430" s="156"/>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8">
        <f t="shared" si="83"/>
        <v>0</v>
      </c>
    </row>
    <row r="431" spans="1:19">
      <c r="A431" s="156"/>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8">
        <f t="shared" si="83"/>
        <v>0</v>
      </c>
    </row>
    <row r="432" spans="1:19">
      <c r="A432" s="156"/>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8">
        <f t="shared" si="83"/>
        <v>0</v>
      </c>
    </row>
    <row r="433" spans="1:19">
      <c r="A433" s="156"/>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8">
        <f t="shared" si="83"/>
        <v>0</v>
      </c>
    </row>
    <row r="434" spans="1:19">
      <c r="A434" s="156"/>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8">
        <f t="shared" si="83"/>
        <v>0</v>
      </c>
    </row>
    <row r="435" spans="1:19">
      <c r="A435" s="156"/>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8">
        <f t="shared" si="83"/>
        <v>0</v>
      </c>
    </row>
    <row r="436" spans="1:19">
      <c r="A436" s="156"/>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8">
        <f t="shared" si="83"/>
        <v>0</v>
      </c>
    </row>
    <row r="437" spans="1:19">
      <c r="A437" s="156"/>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8">
        <f t="shared" si="83"/>
        <v>0</v>
      </c>
    </row>
    <row r="438" spans="1:19">
      <c r="A438" s="156"/>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8">
        <f t="shared" si="83"/>
        <v>0</v>
      </c>
    </row>
    <row r="439" spans="1:19">
      <c r="A439" s="156"/>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8">
        <f t="shared" si="83"/>
        <v>0</v>
      </c>
    </row>
    <row r="440" spans="1:19">
      <c r="A440" s="156"/>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8">
        <f t="shared" si="83"/>
        <v>0</v>
      </c>
    </row>
    <row r="441" spans="1:19">
      <c r="A441" s="156"/>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8">
        <f t="shared" si="83"/>
        <v>0</v>
      </c>
    </row>
    <row r="442" spans="1:19">
      <c r="A442" s="156"/>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8">
        <f t="shared" si="83"/>
        <v>0</v>
      </c>
    </row>
    <row r="443" spans="1:19">
      <c r="A443" s="156"/>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8">
        <f t="shared" si="83"/>
        <v>0</v>
      </c>
    </row>
    <row r="444" spans="1:19">
      <c r="A444" s="156"/>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8">
        <f t="shared" si="83"/>
        <v>0</v>
      </c>
    </row>
    <row r="445" spans="1:19">
      <c r="A445" s="156"/>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8">
        <f t="shared" si="83"/>
        <v>0</v>
      </c>
    </row>
    <row r="446" spans="1:19">
      <c r="A446" s="156"/>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8">
        <f t="shared" si="83"/>
        <v>0</v>
      </c>
    </row>
    <row r="447" spans="1:19">
      <c r="A447" s="156"/>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8">
        <f t="shared" si="83"/>
        <v>0</v>
      </c>
    </row>
    <row r="448" spans="1:19">
      <c r="A448" s="156"/>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8">
        <f t="shared" si="83"/>
        <v>0</v>
      </c>
    </row>
    <row r="449" spans="1:19">
      <c r="A449" s="156"/>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8">
        <f t="shared" si="83"/>
        <v>0</v>
      </c>
    </row>
    <row r="450" spans="1:19">
      <c r="A450" s="156"/>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8">
        <f t="shared" si="83"/>
        <v>0</v>
      </c>
    </row>
    <row r="451" spans="1:19">
      <c r="A451" s="156"/>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8">
        <f t="shared" si="83"/>
        <v>0</v>
      </c>
    </row>
    <row r="452" spans="1:19">
      <c r="A452" s="156"/>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8">
        <f t="shared" si="83"/>
        <v>0</v>
      </c>
    </row>
    <row r="453" spans="1:19">
      <c r="A453" s="156"/>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8">
        <f t="shared" si="83"/>
        <v>0</v>
      </c>
    </row>
    <row r="454" spans="1:19">
      <c r="A454" s="156"/>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8">
        <f t="shared" si="83"/>
        <v>0</v>
      </c>
    </row>
    <row r="455" spans="1:19">
      <c r="A455" s="156"/>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8">
        <f t="shared" si="83"/>
        <v>0</v>
      </c>
    </row>
    <row r="456" spans="1:19">
      <c r="A456" s="156"/>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8">
        <f t="shared" si="83"/>
        <v>0</v>
      </c>
    </row>
    <row r="457" spans="1:19">
      <c r="A457" s="156"/>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8">
        <f t="shared" si="83"/>
        <v>0</v>
      </c>
    </row>
    <row r="458" spans="1:19">
      <c r="A458" s="156"/>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8">
        <f t="shared" si="83"/>
        <v>0</v>
      </c>
    </row>
    <row r="459" spans="1:19">
      <c r="A459" s="156"/>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8">
        <f t="shared" si="83"/>
        <v>0</v>
      </c>
    </row>
    <row r="460" spans="1:19">
      <c r="A460" s="156"/>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8">
        <f t="shared" si="83"/>
        <v>0</v>
      </c>
    </row>
    <row r="461" spans="1:19">
      <c r="A461" s="156"/>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8">
        <f t="shared" si="83"/>
        <v>0</v>
      </c>
    </row>
    <row r="462" spans="1:19">
      <c r="A462" s="156"/>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8">
        <f t="shared" si="83"/>
        <v>0</v>
      </c>
    </row>
    <row r="463" spans="1:19">
      <c r="A463" s="156"/>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8">
        <f t="shared" si="83"/>
        <v>0</v>
      </c>
    </row>
    <row r="464" spans="1:19">
      <c r="A464" s="156"/>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8">
        <f t="shared" si="83"/>
        <v>0</v>
      </c>
    </row>
    <row r="465" spans="1:19">
      <c r="A465" s="156"/>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8">
        <f t="shared" si="83"/>
        <v>0</v>
      </c>
    </row>
    <row r="466" spans="1:19">
      <c r="A466" s="156"/>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8">
        <f t="shared" si="83"/>
        <v>0</v>
      </c>
    </row>
    <row r="467" spans="1:19">
      <c r="A467" s="156"/>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8">
        <f t="shared" si="83"/>
        <v>0</v>
      </c>
    </row>
    <row r="468" spans="1:19">
      <c r="A468" s="156"/>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8">
        <f t="shared" ref="S468:S497" si="84">ROUND(R468*B468/10000,0)</f>
        <v>0</v>
      </c>
    </row>
    <row r="469" spans="1:19">
      <c r="A469" s="156"/>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8">
        <f t="shared" si="84"/>
        <v>0</v>
      </c>
    </row>
    <row r="470" spans="1:19">
      <c r="A470" s="156"/>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8">
        <f t="shared" si="84"/>
        <v>0</v>
      </c>
    </row>
    <row r="471" spans="1:19">
      <c r="A471" s="156"/>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8">
        <f t="shared" si="84"/>
        <v>0</v>
      </c>
    </row>
    <row r="472" spans="1:19">
      <c r="A472" s="156"/>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8">
        <f t="shared" si="84"/>
        <v>0</v>
      </c>
    </row>
    <row r="473" spans="1:19">
      <c r="A473" s="156"/>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8">
        <f t="shared" si="84"/>
        <v>0</v>
      </c>
    </row>
    <row r="474" spans="1:19">
      <c r="A474" s="156"/>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8">
        <f t="shared" si="84"/>
        <v>0</v>
      </c>
    </row>
    <row r="475" spans="1:19">
      <c r="A475" s="156"/>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8">
        <f t="shared" si="84"/>
        <v>0</v>
      </c>
    </row>
    <row r="476" spans="1:19">
      <c r="A476" s="156"/>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8">
        <f t="shared" si="84"/>
        <v>0</v>
      </c>
    </row>
    <row r="477" spans="1:19">
      <c r="A477" s="156"/>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8">
        <f t="shared" si="84"/>
        <v>0</v>
      </c>
    </row>
    <row r="478" spans="1:19">
      <c r="A478" s="156"/>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8">
        <f t="shared" si="84"/>
        <v>0</v>
      </c>
    </row>
    <row r="479" spans="1:19">
      <c r="A479" s="156"/>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8">
        <f t="shared" si="84"/>
        <v>0</v>
      </c>
    </row>
    <row r="480" spans="1:19">
      <c r="A480" s="156"/>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8">
        <f t="shared" si="84"/>
        <v>0</v>
      </c>
    </row>
    <row r="481" spans="1:19">
      <c r="A481" s="156"/>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8">
        <f t="shared" si="84"/>
        <v>0</v>
      </c>
    </row>
    <row r="482" spans="1:19">
      <c r="A482" s="156"/>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8">
        <f t="shared" si="84"/>
        <v>0</v>
      </c>
    </row>
    <row r="483" spans="1:19">
      <c r="A483" s="156"/>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8">
        <f t="shared" si="84"/>
        <v>0</v>
      </c>
    </row>
    <row r="484" spans="1:19">
      <c r="A484" s="156"/>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8">
        <f t="shared" si="84"/>
        <v>0</v>
      </c>
    </row>
    <row r="485" spans="1:19">
      <c r="A485" s="156"/>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8">
        <f t="shared" si="84"/>
        <v>0</v>
      </c>
    </row>
    <row r="486" spans="1:19">
      <c r="A486" s="156"/>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8">
        <f t="shared" si="84"/>
        <v>0</v>
      </c>
    </row>
    <row r="487" spans="1:19">
      <c r="A487" s="156"/>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8">
        <f t="shared" si="84"/>
        <v>0</v>
      </c>
    </row>
    <row r="488" spans="1:19">
      <c r="A488" s="156"/>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8">
        <f t="shared" si="84"/>
        <v>0</v>
      </c>
    </row>
    <row r="489" spans="1:19">
      <c r="A489" s="156"/>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8">
        <f t="shared" si="84"/>
        <v>0</v>
      </c>
    </row>
    <row r="490" spans="1:19">
      <c r="A490" s="156"/>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8">
        <f t="shared" si="84"/>
        <v>0</v>
      </c>
    </row>
    <row r="491" spans="1:19">
      <c r="A491" s="156"/>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8">
        <f t="shared" si="84"/>
        <v>0</v>
      </c>
    </row>
    <row r="492" spans="1:19">
      <c r="A492" s="156"/>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8">
        <f t="shared" si="84"/>
        <v>0</v>
      </c>
    </row>
    <row r="493" spans="1:19">
      <c r="A493" s="156"/>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8">
        <f t="shared" si="84"/>
        <v>0</v>
      </c>
    </row>
    <row r="494" spans="1:19">
      <c r="A494" s="156"/>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8">
        <f t="shared" si="84"/>
        <v>0</v>
      </c>
    </row>
    <row r="495" spans="1:19">
      <c r="A495" s="156"/>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8">
        <f t="shared" si="84"/>
        <v>0</v>
      </c>
    </row>
    <row r="496" spans="1:19">
      <c r="A496" s="156"/>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8">
        <f t="shared" si="84"/>
        <v>0</v>
      </c>
    </row>
    <row r="497" spans="1:19">
      <c r="A497" s="156"/>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8">
        <f t="shared" si="84"/>
        <v>0</v>
      </c>
    </row>
    <row r="498" spans="1:19">
      <c r="A498" s="156"/>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8">
        <f t="shared" ref="S498:S524" si="94">ROUND(R498*B498/10000,0)</f>
        <v>0</v>
      </c>
    </row>
    <row r="499" spans="1:19">
      <c r="A499" s="156"/>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8">
        <f t="shared" si="94"/>
        <v>0</v>
      </c>
    </row>
    <row r="500" spans="1:19">
      <c r="A500" s="156"/>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8">
        <f t="shared" si="94"/>
        <v>0</v>
      </c>
    </row>
    <row r="501" spans="1:19">
      <c r="A501" s="156"/>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8">
        <f t="shared" si="94"/>
        <v>0</v>
      </c>
    </row>
    <row r="502" spans="1:19">
      <c r="A502" s="156"/>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8">
        <f t="shared" si="94"/>
        <v>0</v>
      </c>
    </row>
    <row r="503" spans="1:19">
      <c r="A503" s="156"/>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8">
        <f t="shared" si="94"/>
        <v>0</v>
      </c>
    </row>
    <row r="504" spans="1:19">
      <c r="A504" s="156"/>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8">
        <f t="shared" si="94"/>
        <v>0</v>
      </c>
    </row>
    <row r="505" spans="1:19">
      <c r="A505" s="156"/>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8">
        <f t="shared" si="94"/>
        <v>0</v>
      </c>
    </row>
    <row r="506" spans="1:19">
      <c r="A506" s="156"/>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8">
        <f t="shared" si="94"/>
        <v>0</v>
      </c>
    </row>
    <row r="507" spans="1:19">
      <c r="A507" s="156"/>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8">
        <f t="shared" si="94"/>
        <v>0</v>
      </c>
    </row>
    <row r="508" spans="1:19">
      <c r="A508" s="156"/>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8">
        <f t="shared" si="94"/>
        <v>0</v>
      </c>
    </row>
    <row r="509" spans="1:19">
      <c r="A509" s="156"/>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8">
        <f t="shared" si="94"/>
        <v>0</v>
      </c>
    </row>
    <row r="510" spans="1:19">
      <c r="A510" s="156"/>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8">
        <f t="shared" si="94"/>
        <v>0</v>
      </c>
    </row>
    <row r="511" spans="1:19">
      <c r="A511" s="156"/>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8">
        <f t="shared" si="94"/>
        <v>0</v>
      </c>
    </row>
    <row r="512" spans="1:19">
      <c r="A512" s="156"/>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8">
        <f t="shared" si="94"/>
        <v>0</v>
      </c>
    </row>
    <row r="513" spans="1:19">
      <c r="A513" s="156"/>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8">
        <f t="shared" si="94"/>
        <v>0</v>
      </c>
    </row>
    <row r="514" spans="1:19">
      <c r="A514" s="156"/>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8">
        <f t="shared" si="94"/>
        <v>0</v>
      </c>
    </row>
    <row r="515" spans="1:19">
      <c r="A515" s="156"/>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8">
        <f t="shared" si="94"/>
        <v>0</v>
      </c>
    </row>
    <row r="516" spans="1:19">
      <c r="A516" s="156"/>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8">
        <f t="shared" si="94"/>
        <v>0</v>
      </c>
    </row>
    <row r="517" spans="1:19">
      <c r="A517" s="156"/>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8">
        <f t="shared" si="94"/>
        <v>0</v>
      </c>
    </row>
    <row r="518" spans="1:19">
      <c r="A518" s="156"/>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8">
        <f t="shared" si="94"/>
        <v>0</v>
      </c>
    </row>
    <row r="519" spans="1:19">
      <c r="A519" s="156"/>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8">
        <f t="shared" si="94"/>
        <v>0</v>
      </c>
    </row>
    <row r="520" spans="1:19">
      <c r="A520" s="156"/>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8">
        <f t="shared" si="94"/>
        <v>0</v>
      </c>
    </row>
    <row r="521" spans="1:19">
      <c r="A521" s="156"/>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8">
        <f t="shared" si="94"/>
        <v>0</v>
      </c>
    </row>
    <row r="522" spans="1:19">
      <c r="A522" s="156"/>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8">
        <f t="shared" si="94"/>
        <v>0</v>
      </c>
    </row>
    <row r="523" spans="1:19">
      <c r="A523" s="156"/>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8">
        <f t="shared" si="94"/>
        <v>0</v>
      </c>
    </row>
    <row r="524" spans="1:19">
      <c r="A524" s="156"/>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34605</v>
      </c>
      <c r="C2" s="2" t="s">
        <v>133</v>
      </c>
      <c r="D2" s="240"/>
      <c r="E2" s="240"/>
      <c r="F2" s="240"/>
      <c r="G2" s="240"/>
    </row>
    <row r="3" spans="1:7" s="241" customFormat="1" ht="18" customHeight="1" thickBot="1">
      <c r="A3" s="244" t="s">
        <v>85</v>
      </c>
      <c r="B3" s="245">
        <f ca="1">ROUND(B2*10000/'数据-汇总表'!E3,0)</f>
        <v>346050000</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7" t="s">
        <v>791</v>
      </c>
      <c r="B6" s="256" t="s">
        <v>91</v>
      </c>
      <c r="C6" s="257">
        <v>20000</v>
      </c>
      <c r="D6" s="258"/>
      <c r="E6" s="259"/>
      <c r="F6" s="259"/>
      <c r="G6" s="260"/>
    </row>
    <row r="7" spans="1:7" s="255" customFormat="1" ht="13.5" customHeight="1">
      <c r="A7" s="947" t="s">
        <v>792</v>
      </c>
      <c r="B7" s="256" t="s">
        <v>57</v>
      </c>
      <c r="C7" s="261">
        <f>ROUND(C6*F7,0)</f>
        <v>610</v>
      </c>
      <c r="D7" s="261"/>
      <c r="E7" s="259"/>
      <c r="F7" s="262">
        <f>'数据-取费表'!B48+'数据-取费表'!B49</f>
        <v>3.0499999999999999E-2</v>
      </c>
      <c r="G7" s="260"/>
    </row>
    <row r="8" spans="1:7" s="264" customFormat="1">
      <c r="A8" s="947" t="s">
        <v>793</v>
      </c>
      <c r="B8" s="256" t="s">
        <v>92</v>
      </c>
      <c r="C8" s="261" t="str">
        <f>IF(G8="已包含在土地购买价格中","0",'数据-取费表'!B29)</f>
        <v>0</v>
      </c>
      <c r="D8" s="263"/>
      <c r="E8" s="261"/>
      <c r="F8" s="262"/>
      <c r="G8" s="1" t="s">
        <v>1148</v>
      </c>
    </row>
    <row r="9" spans="1:7" s="255" customFormat="1" ht="13.5" customHeight="1">
      <c r="A9" s="948" t="s">
        <v>800</v>
      </c>
      <c r="B9" s="265" t="s">
        <v>93</v>
      </c>
      <c r="C9" s="266">
        <f>ROUND(D9*E9/10000,0)</f>
        <v>0</v>
      </c>
      <c r="D9" s="1030">
        <f>'数据-汇总表'!E5</f>
        <v>1</v>
      </c>
      <c r="E9" s="266">
        <f>'数据-取费表'!B27</f>
        <v>160</v>
      </c>
      <c r="F9" s="262"/>
      <c r="G9" s="267"/>
    </row>
    <row r="10" spans="1:7" s="255" customFormat="1" ht="13.5" customHeight="1">
      <c r="A10" s="948" t="s">
        <v>801</v>
      </c>
      <c r="B10" s="265" t="s">
        <v>94</v>
      </c>
      <c r="C10" s="266">
        <f>ROUND(D10*E10/10000,0)</f>
        <v>0</v>
      </c>
      <c r="D10" s="1030">
        <f>'数据-汇总表'!E6</f>
        <v>0</v>
      </c>
      <c r="E10" s="266">
        <f>'数据-取费表'!B28</f>
        <v>0</v>
      </c>
      <c r="F10" s="262"/>
      <c r="G10" s="267"/>
    </row>
    <row r="11" spans="1:7" s="255" customFormat="1" ht="13.5" hidden="1" customHeight="1">
      <c r="A11" s="268" t="s">
        <v>7</v>
      </c>
      <c r="B11" s="256" t="s">
        <v>95</v>
      </c>
      <c r="C11" s="252"/>
      <c r="D11" s="1032"/>
      <c r="E11" s="259"/>
      <c r="F11" s="259"/>
      <c r="G11" s="260"/>
    </row>
    <row r="12" spans="1:7" s="255" customFormat="1" ht="13.5" hidden="1" customHeight="1">
      <c r="A12" s="268" t="s">
        <v>8</v>
      </c>
      <c r="B12" s="256" t="s">
        <v>96</v>
      </c>
      <c r="C12" s="252">
        <v>0</v>
      </c>
      <c r="D12" s="1032"/>
      <c r="E12" s="269"/>
      <c r="F12" s="262">
        <v>3.0499999999999999E-2</v>
      </c>
      <c r="G12" s="260"/>
    </row>
    <row r="13" spans="1:7" s="255" customFormat="1" ht="13.5" hidden="1" customHeight="1">
      <c r="A13" s="268" t="s">
        <v>9</v>
      </c>
      <c r="B13" s="256" t="s">
        <v>97</v>
      </c>
      <c r="C13" s="252"/>
      <c r="D13" s="1032"/>
      <c r="E13" s="259"/>
      <c r="F13" s="259"/>
      <c r="G13" s="260"/>
    </row>
    <row r="14" spans="1:7" s="255" customFormat="1" ht="13.5" hidden="1" customHeight="1">
      <c r="A14" s="268" t="s">
        <v>10</v>
      </c>
      <c r="B14" s="256" t="s">
        <v>92</v>
      </c>
      <c r="C14" s="252"/>
      <c r="D14" s="1032"/>
      <c r="E14" s="259"/>
      <c r="F14" s="259"/>
      <c r="G14" s="260" t="s">
        <v>98</v>
      </c>
    </row>
    <row r="15" spans="1:7" s="255" customFormat="1" ht="13.5" hidden="1" customHeight="1">
      <c r="A15" s="268" t="s">
        <v>11</v>
      </c>
      <c r="B15" s="256" t="s">
        <v>99</v>
      </c>
      <c r="C15" s="261"/>
      <c r="D15" s="1032"/>
      <c r="E15" s="259"/>
      <c r="F15" s="259"/>
      <c r="G15" s="260" t="s">
        <v>100</v>
      </c>
    </row>
    <row r="16" spans="1:7" s="255" customFormat="1" ht="13.5" hidden="1" customHeight="1">
      <c r="A16" s="268" t="s">
        <v>12</v>
      </c>
      <c r="B16" s="256" t="s">
        <v>92</v>
      </c>
      <c r="C16" s="261"/>
      <c r="D16" s="1032"/>
      <c r="E16" s="259"/>
      <c r="F16" s="259"/>
      <c r="G16" s="260"/>
    </row>
    <row r="17" spans="1:7" s="255" customFormat="1" ht="13.5" hidden="1" customHeight="1">
      <c r="A17" s="268" t="s">
        <v>13</v>
      </c>
      <c r="B17" s="256" t="s">
        <v>101</v>
      </c>
      <c r="C17" s="270"/>
      <c r="D17" s="1033"/>
      <c r="E17" s="270"/>
      <c r="F17" s="270"/>
      <c r="G17" s="260" t="s">
        <v>100</v>
      </c>
    </row>
    <row r="18" spans="1:7" s="255" customFormat="1" ht="13.5" hidden="1" customHeight="1">
      <c r="A18" s="268" t="s">
        <v>14</v>
      </c>
      <c r="B18" s="256" t="s">
        <v>102</v>
      </c>
      <c r="C18" s="261">
        <v>0</v>
      </c>
      <c r="D18" s="1032"/>
      <c r="E18" s="259"/>
      <c r="F18" s="262">
        <v>3.0499999999999999E-2</v>
      </c>
      <c r="G18" s="260" t="s">
        <v>103</v>
      </c>
    </row>
    <row r="19" spans="1:7" s="264" customFormat="1" ht="13.5" customHeight="1">
      <c r="A19" s="946" t="s">
        <v>1055</v>
      </c>
      <c r="B19" s="251" t="s">
        <v>111</v>
      </c>
      <c r="C19" s="252">
        <f>IF(G19="已包含在土地取得成本中","0",ROUND(D19*E19/10000,0))</f>
        <v>0</v>
      </c>
      <c r="D19" s="1034">
        <f>'数据-汇总表'!E3</f>
        <v>1</v>
      </c>
      <c r="E19" s="252">
        <f>'数据-取费表'!B31</f>
        <v>225</v>
      </c>
      <c r="F19" s="272"/>
      <c r="G19" s="1" t="s">
        <v>1074</v>
      </c>
    </row>
    <row r="20" spans="1:7" s="255" customFormat="1" ht="13.5" customHeight="1">
      <c r="A20" s="946" t="s">
        <v>1057</v>
      </c>
      <c r="B20" s="251" t="s">
        <v>104</v>
      </c>
      <c r="C20" s="273">
        <f>ROUND((C5+C19)*F20,0)</f>
        <v>412</v>
      </c>
      <c r="D20" s="273"/>
      <c r="E20" s="273"/>
      <c r="F20" s="274">
        <f>'数据-取费表'!B37</f>
        <v>0.02</v>
      </c>
      <c r="G20" s="1287" t="s">
        <v>1068</v>
      </c>
    </row>
    <row r="21" spans="1:7" s="255" customFormat="1" ht="13.5" customHeight="1">
      <c r="A21" s="946" t="s">
        <v>1059</v>
      </c>
      <c r="B21" s="251" t="s">
        <v>105</v>
      </c>
      <c r="C21" s="276">
        <f>F21</f>
        <v>0.01</v>
      </c>
      <c r="D21" s="277" t="s">
        <v>126</v>
      </c>
      <c r="E21" s="273"/>
      <c r="F21" s="274">
        <f>'数据-取费表'!B38</f>
        <v>0.01</v>
      </c>
      <c r="G21" s="275" t="s">
        <v>106</v>
      </c>
    </row>
    <row r="22" spans="1:7" s="255" customFormat="1" ht="13.5" customHeight="1">
      <c r="A22" s="946" t="s">
        <v>786</v>
      </c>
      <c r="B22" s="251" t="s">
        <v>107</v>
      </c>
      <c r="C22" s="1352">
        <f ca="1">ROUND(SUM(C23:C25),0)</f>
        <v>2024</v>
      </c>
      <c r="D22" s="276">
        <f ca="1">C26</f>
        <v>5.0000000000000001E-4</v>
      </c>
      <c r="E22" s="277" t="s">
        <v>126</v>
      </c>
      <c r="F22" s="278">
        <f ca="1">'数据-取费表'!B40</f>
        <v>4.7500000000000001E-2</v>
      </c>
      <c r="G22" s="1287" t="str">
        <f>IF('数据-取费表'!B22&lt;=1,"单利计息","复利计息")</f>
        <v>复利计息</v>
      </c>
    </row>
    <row r="23" spans="1:7" s="255" customFormat="1" ht="13.5" customHeight="1">
      <c r="A23" s="949" t="s">
        <v>794</v>
      </c>
      <c r="B23" s="256" t="s">
        <v>1061</v>
      </c>
      <c r="C23" s="1353">
        <f ca="1">ROUND(IF('数据-取费表'!B22&lt;=1,C5*F22*'数据-取费表'!B23,C5*(POWER((1+F22),'数据-取费表'!B23)-1)),0)</f>
        <v>2004</v>
      </c>
      <c r="D23" s="279"/>
      <c r="E23" s="279"/>
      <c r="F23" s="280"/>
      <c r="G23" s="281" t="s">
        <v>108</v>
      </c>
    </row>
    <row r="24" spans="1:7" s="255" customFormat="1" ht="13.5" customHeight="1">
      <c r="A24" s="949" t="s">
        <v>792</v>
      </c>
      <c r="B24" s="256" t="s">
        <v>1056</v>
      </c>
      <c r="C24" s="1353">
        <f ca="1">ROUND(IF('数据-取费表'!B22&lt;=1,C19*F22*('数据-取费表'!B19/2+'数据-取费表'!B21),C19*(POWER((1+F22),('数据-取费表'!B19/2+'数据-取费表'!B21))-1)),0)</f>
        <v>0</v>
      </c>
      <c r="D24" s="279"/>
      <c r="E24" s="279"/>
      <c r="F24" s="280"/>
      <c r="G24" s="281" t="s">
        <v>109</v>
      </c>
    </row>
    <row r="25" spans="1:7" s="255" customFormat="1" ht="24">
      <c r="A25" s="949" t="s">
        <v>793</v>
      </c>
      <c r="B25" s="256" t="s">
        <v>1058</v>
      </c>
      <c r="C25" s="1353">
        <f ca="1">ROUND(IF('数据-取费表'!B22&lt;=1,C20*F22*'数据-取费表'!B23/2,C20*(POWER((1+F22),'数据-取费表'!B23/2)-1)),0)</f>
        <v>20</v>
      </c>
      <c r="D25" s="279"/>
      <c r="E25" s="282"/>
      <c r="F25" s="280"/>
      <c r="G25" s="283" t="s">
        <v>110</v>
      </c>
    </row>
    <row r="26" spans="1:7" s="255" customFormat="1">
      <c r="A26" s="949" t="s">
        <v>795</v>
      </c>
      <c r="B26" s="256" t="s">
        <v>1060</v>
      </c>
      <c r="C26" s="279">
        <f ca="1">ROUND(IF('数据-取费表'!B22&lt;=1,F21*F22*'数据-取费表'!B23/2,F21*(POWER((1+F22),'数据-取费表'!B23/2)-1)),4)</f>
        <v>5.0000000000000001E-4</v>
      </c>
      <c r="D26" s="279"/>
      <c r="E26" s="282"/>
      <c r="F26" s="280"/>
      <c r="G26" s="284"/>
    </row>
    <row r="27" spans="1:7" s="255" customFormat="1" ht="24.75">
      <c r="A27" s="946" t="s">
        <v>787</v>
      </c>
      <c r="B27" s="285" t="s">
        <v>112</v>
      </c>
      <c r="C27" s="286">
        <f>C28</f>
        <v>2523</v>
      </c>
      <c r="D27" s="276">
        <f>C29</f>
        <v>1.1999999999999999E-3</v>
      </c>
      <c r="E27" s="277" t="s">
        <v>126</v>
      </c>
      <c r="F27" s="287">
        <f>'数据-取费表'!Q16</f>
        <v>0.12</v>
      </c>
      <c r="G27" s="288" t="s">
        <v>1069</v>
      </c>
    </row>
    <row r="28" spans="1:7" s="255" customFormat="1" ht="13.5" customHeight="1">
      <c r="A28" s="949" t="s">
        <v>794</v>
      </c>
      <c r="B28" s="289" t="s">
        <v>1062</v>
      </c>
      <c r="C28" s="290">
        <f>ROUND((C5+C19+C20)*F27*'数据-取费表'!B21/'数据-取费表'!B20,0)</f>
        <v>2523</v>
      </c>
      <c r="D28" s="276"/>
      <c r="E28" s="277"/>
      <c r="F28" s="287"/>
      <c r="G28" s="288"/>
    </row>
    <row r="29" spans="1:7" s="255" customFormat="1" ht="13.5" customHeight="1">
      <c r="A29" s="949" t="s">
        <v>792</v>
      </c>
      <c r="B29" s="289" t="s">
        <v>1063</v>
      </c>
      <c r="C29" s="279">
        <f>ROUND(C21*F27*'数据-取费表'!B21/'数据-取费表'!B20,4)</f>
        <v>1.1999999999999999E-3</v>
      </c>
      <c r="D29" s="276"/>
      <c r="E29" s="277"/>
      <c r="F29" s="287"/>
      <c r="G29" s="288"/>
    </row>
    <row r="30" spans="1:7" s="255" customFormat="1" ht="13.5" customHeight="1">
      <c r="A30" s="946"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27320</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5725</v>
      </c>
      <c r="D33" s="273"/>
      <c r="E33" s="253"/>
      <c r="F33" s="282"/>
      <c r="G33" s="275"/>
    </row>
    <row r="34" spans="1:7" s="299" customFormat="1" ht="13.5" customHeight="1">
      <c r="A34" s="949" t="s">
        <v>794</v>
      </c>
      <c r="B34" s="256" t="s">
        <v>59</v>
      </c>
      <c r="C34" s="261">
        <f>IF(F34=100%,'数据-取费表'!M16-SUMIF('数据-取费表'!C:C,"公共配套",'数据-取费表'!M:M),'数据-取费表'!O16-SUMIF('数据-取费表'!C:C,"公共配套",'数据-取费表'!O:O))</f>
        <v>5000</v>
      </c>
      <c r="D34" s="258"/>
      <c r="E34" s="261"/>
      <c r="F34" s="298">
        <f>IF('数据-取费表'!B24=0,1,'数据-取费表'!N16)</f>
        <v>1</v>
      </c>
      <c r="G34" s="260" t="s">
        <v>116</v>
      </c>
    </row>
    <row r="35" spans="1:7" ht="13.5" customHeight="1">
      <c r="A35" s="949" t="s">
        <v>796</v>
      </c>
      <c r="B35" s="256" t="s">
        <v>60</v>
      </c>
      <c r="C35" s="261">
        <f>ROUND(C34*F35,0)</f>
        <v>150</v>
      </c>
      <c r="D35" s="261"/>
      <c r="E35" s="261"/>
      <c r="F35" s="300">
        <f>'数据-取费表'!B33</f>
        <v>0.03</v>
      </c>
      <c r="G35" s="260" t="s">
        <v>117</v>
      </c>
    </row>
    <row r="36" spans="1:7" ht="24">
      <c r="A36" s="949"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500</v>
      </c>
      <c r="D36" s="261"/>
      <c r="E36" s="261"/>
      <c r="F36" s="300">
        <f>'数据-取费表'!B34</f>
        <v>0.1</v>
      </c>
      <c r="G36" s="301" t="s">
        <v>62</v>
      </c>
    </row>
    <row r="37" spans="1:7" s="299" customFormat="1" ht="13.5" customHeight="1">
      <c r="A37" s="949" t="s">
        <v>798</v>
      </c>
      <c r="B37" s="256" t="s">
        <v>118</v>
      </c>
      <c r="C37" s="290">
        <f>ROUND(E37*D37*F34/10000,0)</f>
        <v>0</v>
      </c>
      <c r="D37" s="258">
        <f>'数据-汇总表'!E3</f>
        <v>1</v>
      </c>
      <c r="E37" s="290">
        <f>'数据-取费表'!B35</f>
        <v>200</v>
      </c>
      <c r="F37" s="300"/>
      <c r="G37" s="302" t="s">
        <v>119</v>
      </c>
    </row>
    <row r="38" spans="1:7" ht="13.5" customHeight="1">
      <c r="A38" s="949" t="s">
        <v>799</v>
      </c>
      <c r="B38" s="256" t="s">
        <v>63</v>
      </c>
      <c r="C38" s="261">
        <f>ROUND(C34*F38,0)</f>
        <v>75</v>
      </c>
      <c r="D38" s="261"/>
      <c r="E38" s="261"/>
      <c r="F38" s="300">
        <f>'数据-取费表'!B36</f>
        <v>1.4999999999999999E-2</v>
      </c>
      <c r="G38" s="260" t="s">
        <v>117</v>
      </c>
    </row>
    <row r="39" spans="1:7" s="255" customFormat="1" ht="13.5" customHeight="1">
      <c r="A39" s="946" t="s">
        <v>783</v>
      </c>
      <c r="B39" s="251" t="s">
        <v>104</v>
      </c>
      <c r="C39" s="273">
        <f>ROUND(C33*F20,0)</f>
        <v>115</v>
      </c>
      <c r="D39" s="273"/>
      <c r="E39" s="273"/>
      <c r="F39" s="274"/>
      <c r="G39" s="1287" t="s">
        <v>1071</v>
      </c>
    </row>
    <row r="40" spans="1:7" s="255" customFormat="1" ht="13.5" customHeight="1">
      <c r="A40" s="946" t="s">
        <v>784</v>
      </c>
      <c r="B40" s="251" t="s">
        <v>105</v>
      </c>
      <c r="C40" s="303">
        <f>F21</f>
        <v>0.01</v>
      </c>
      <c r="D40" s="277" t="s">
        <v>129</v>
      </c>
      <c r="E40" s="273"/>
      <c r="F40" s="274"/>
      <c r="G40" s="275" t="s">
        <v>120</v>
      </c>
    </row>
    <row r="41" spans="1:7" s="255" customFormat="1" ht="13.5" customHeight="1">
      <c r="A41" s="946" t="s">
        <v>785</v>
      </c>
      <c r="B41" s="251" t="s">
        <v>107</v>
      </c>
      <c r="C41" s="273">
        <f ca="1">ROUND(SUM(C42:C43),0)</f>
        <v>277</v>
      </c>
      <c r="D41" s="276">
        <f ca="1">C44</f>
        <v>5.0000000000000001E-4</v>
      </c>
      <c r="E41" s="277" t="s">
        <v>129</v>
      </c>
      <c r="F41" s="278"/>
      <c r="G41" s="1287" t="str">
        <f>IF('数据-取费表'!B22&lt;=1,"单利计息","复利计息")</f>
        <v>复利计息</v>
      </c>
    </row>
    <row r="42" spans="1:7" ht="13.5" customHeight="1">
      <c r="A42" s="949" t="s">
        <v>794</v>
      </c>
      <c r="B42" s="256" t="s">
        <v>1061</v>
      </c>
      <c r="C42" s="279">
        <f ca="1">ROUND(IF('数据-取费表'!B22&lt;=1,C33*F22*'数据-取费表'!B21/2,C33*(POWER((1+F22),'数据-取费表'!B21/2)-1)),0)</f>
        <v>272</v>
      </c>
      <c r="D42" s="279"/>
      <c r="E42" s="279"/>
      <c r="F42" s="280"/>
      <c r="G42" s="3309" t="s">
        <v>121</v>
      </c>
    </row>
    <row r="43" spans="1:7" ht="13.5" customHeight="1">
      <c r="A43" s="949" t="s">
        <v>792</v>
      </c>
      <c r="B43" s="256" t="s">
        <v>1064</v>
      </c>
      <c r="C43" s="279">
        <f ca="1">ROUND(IF('数据-取费表'!B22&lt;=1,C39*F22*'数据-取费表'!B21/2,C39*(POWER((1+F22),'数据-取费表'!B21/2)-1)),0)</f>
        <v>5</v>
      </c>
      <c r="D43" s="279"/>
      <c r="E43" s="279"/>
      <c r="F43" s="280"/>
      <c r="G43" s="3310"/>
    </row>
    <row r="44" spans="1:7" ht="13.5" customHeight="1">
      <c r="A44" s="949" t="s">
        <v>793</v>
      </c>
      <c r="B44" s="256" t="s">
        <v>1066</v>
      </c>
      <c r="C44" s="279">
        <f ca="1">ROUND(IF('数据-取费表'!B22&lt;=1,C40*F22*'数据-取费表'!B21/2,C40*(POWER((1+F22),'数据-取费表'!B21/2)-1)),4)</f>
        <v>5.0000000000000001E-4</v>
      </c>
      <c r="D44" s="279"/>
      <c r="E44" s="279"/>
      <c r="F44" s="280"/>
      <c r="G44" s="3311"/>
    </row>
    <row r="45" spans="1:7" s="255" customFormat="1" ht="13.5" customHeight="1">
      <c r="A45" s="946" t="s">
        <v>786</v>
      </c>
      <c r="B45" s="285" t="s">
        <v>112</v>
      </c>
      <c r="C45" s="286">
        <f>C46</f>
        <v>701</v>
      </c>
      <c r="D45" s="276">
        <f>C47</f>
        <v>1.1999999999999999E-3</v>
      </c>
      <c r="E45" s="277" t="s">
        <v>129</v>
      </c>
      <c r="F45" s="287"/>
      <c r="G45" s="288" t="s">
        <v>1072</v>
      </c>
    </row>
    <row r="46" spans="1:7" s="255" customFormat="1" ht="13.5" customHeight="1">
      <c r="A46" s="949" t="s">
        <v>794</v>
      </c>
      <c r="B46" s="289" t="s">
        <v>1065</v>
      </c>
      <c r="C46" s="290">
        <f>ROUND((C33+C39)*F27,0)</f>
        <v>701</v>
      </c>
      <c r="D46" s="304"/>
      <c r="E46" s="277"/>
      <c r="F46" s="287"/>
      <c r="G46" s="288"/>
    </row>
    <row r="47" spans="1:7" s="255" customFormat="1" ht="13.5" customHeight="1">
      <c r="A47" s="949" t="s">
        <v>792</v>
      </c>
      <c r="B47" s="289" t="s">
        <v>1067</v>
      </c>
      <c r="C47" s="279">
        <f>ROUND(C40*F27,4)</f>
        <v>1.1999999999999999E-3</v>
      </c>
      <c r="D47" s="304"/>
      <c r="E47" s="277"/>
      <c r="F47" s="287"/>
      <c r="G47" s="288"/>
    </row>
    <row r="48" spans="1:7" s="255" customFormat="1" ht="13.5" customHeight="1">
      <c r="A48" s="946" t="s">
        <v>787</v>
      </c>
      <c r="B48" s="251" t="s">
        <v>122</v>
      </c>
      <c r="C48" s="303">
        <f>F30</f>
        <v>5.5000000000000007E-2</v>
      </c>
      <c r="D48" s="277" t="s">
        <v>130</v>
      </c>
      <c r="E48" s="273"/>
      <c r="F48" s="278"/>
      <c r="G48" s="275" t="s">
        <v>123</v>
      </c>
    </row>
    <row r="49" spans="1:7" ht="16.5" customHeight="1">
      <c r="A49" s="946" t="s">
        <v>788</v>
      </c>
      <c r="B49" s="251" t="s">
        <v>131</v>
      </c>
      <c r="C49" s="273">
        <f ca="1">ROUND((C33+C39+C41+C45)/(1-C40-D41-D45-C48/(1+'数据-取费表'!B42)),0)</f>
        <v>7285</v>
      </c>
      <c r="D49" s="273"/>
      <c r="E49" s="273"/>
      <c r="F49" s="305"/>
      <c r="G49" s="275" t="s">
        <v>1073</v>
      </c>
    </row>
    <row r="50" spans="1:7" s="299" customFormat="1" ht="24">
      <c r="A50" s="946" t="s">
        <v>789</v>
      </c>
      <c r="B50" s="251" t="s">
        <v>124</v>
      </c>
      <c r="C50" s="273"/>
      <c r="D50" s="273"/>
      <c r="E50" s="273"/>
      <c r="F50" s="305">
        <f>IF('数据-取费表'!B24=0,'数据-取费表'!N16,1)</f>
        <v>1</v>
      </c>
      <c r="G50" s="288" t="s">
        <v>125</v>
      </c>
    </row>
    <row r="51" spans="1:7" ht="16.5" customHeight="1">
      <c r="A51" s="946" t="s">
        <v>790</v>
      </c>
      <c r="B51" s="251" t="s">
        <v>132</v>
      </c>
      <c r="C51" s="273">
        <f ca="1">ROUND(C49*F50,0)</f>
        <v>7285</v>
      </c>
      <c r="D51" s="273"/>
      <c r="E51" s="273"/>
      <c r="F51" s="305"/>
      <c r="G51" s="275" t="s">
        <v>64</v>
      </c>
    </row>
    <row r="52" spans="1:7" s="249" customFormat="1" ht="16.5" thickBot="1">
      <c r="A52" s="306" t="s">
        <v>65</v>
      </c>
      <c r="B52" s="307"/>
      <c r="C52" s="308">
        <f ca="1">C31+C51</f>
        <v>34605</v>
      </c>
      <c r="D52" s="307"/>
      <c r="E52" s="307"/>
      <c r="F52" s="307"/>
      <c r="G52" s="309"/>
    </row>
    <row r="55" spans="1:7" ht="15">
      <c r="B55" s="311" t="s">
        <v>66</v>
      </c>
      <c r="C55" s="312"/>
    </row>
    <row r="56" spans="1:7">
      <c r="B56" s="314" t="s">
        <v>67</v>
      </c>
      <c r="C56" s="315">
        <f ca="1">ROUND(C51/C52,3)</f>
        <v>0.21099999999999999</v>
      </c>
    </row>
    <row r="57" spans="1:7">
      <c r="B57" s="314" t="s">
        <v>68</v>
      </c>
      <c r="C57" s="316">
        <f ca="1">1-C56</f>
        <v>0.78900000000000003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458" t="s">
        <v>156</v>
      </c>
      <c r="B1" s="3458"/>
      <c r="C1" s="3458"/>
      <c r="D1" s="3458"/>
      <c r="E1" s="3458"/>
      <c r="F1" s="3458"/>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459" t="s">
        <v>169</v>
      </c>
      <c r="B2" s="3459"/>
      <c r="C2" s="3459"/>
      <c r="D2" s="3459"/>
      <c r="E2" s="3459"/>
      <c r="F2" s="3459"/>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460"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461"/>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458" t="s">
        <v>871</v>
      </c>
      <c r="B1" s="3458"/>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43621</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
  <sheetViews>
    <sheetView zoomScale="120" zoomScaleNormal="120" workbookViewId="0">
      <selection activeCell="L18" sqref="L18"/>
    </sheetView>
  </sheetViews>
  <sheetFormatPr defaultRowHeight="13.5"/>
  <cols>
    <col min="1" max="1" width="4.125" style="2963" customWidth="1"/>
    <col min="2" max="2" width="11.875" style="2963" customWidth="1"/>
    <col min="3" max="3" width="6" style="2963" customWidth="1"/>
    <col min="4" max="4" width="10.75" style="2963" customWidth="1"/>
    <col min="5" max="5" width="7.75" style="2963" customWidth="1"/>
    <col min="6" max="6" width="8.625" style="2963" customWidth="1"/>
    <col min="7" max="7" width="6.125" style="2963" customWidth="1"/>
    <col min="8" max="8" width="6.25" style="2963" customWidth="1"/>
    <col min="9" max="9" width="7.5" style="2963" customWidth="1"/>
    <col min="10" max="10" width="5" style="2963" customWidth="1"/>
    <col min="11" max="11" width="8.375" style="2963" bestFit="1" customWidth="1"/>
    <col min="12" max="14" width="9" style="2963"/>
    <col min="15" max="15" width="10.5" style="2963" bestFit="1" customWidth="1"/>
    <col min="16" max="16" width="12.75" style="2963" bestFit="1" customWidth="1"/>
    <col min="17" max="16384" width="9" style="2963"/>
  </cols>
  <sheetData>
    <row r="1" spans="1:20" ht="31.5">
      <c r="A1" s="2964" t="s">
        <v>3140</v>
      </c>
      <c r="B1" s="2964" t="s">
        <v>3141</v>
      </c>
      <c r="C1" s="2964" t="s">
        <v>3273</v>
      </c>
      <c r="D1" s="2964" t="s">
        <v>3142</v>
      </c>
      <c r="E1" s="2964" t="s">
        <v>3143</v>
      </c>
      <c r="F1" s="2964" t="s">
        <v>3144</v>
      </c>
      <c r="G1" s="2964" t="s">
        <v>3145</v>
      </c>
      <c r="H1" s="2964" t="s">
        <v>3146</v>
      </c>
      <c r="I1" s="2964" t="s">
        <v>3147</v>
      </c>
      <c r="J1" s="2964" t="s">
        <v>3148</v>
      </c>
      <c r="K1" s="2964" t="s">
        <v>3149</v>
      </c>
      <c r="O1" s="3108" t="s">
        <v>3346</v>
      </c>
      <c r="P1" s="3108" t="s">
        <v>3347</v>
      </c>
      <c r="Q1" s="3108" t="s">
        <v>3348</v>
      </c>
    </row>
    <row r="2" spans="1:20" ht="21">
      <c r="A2" s="2964">
        <v>1</v>
      </c>
      <c r="B2" s="2964" t="s">
        <v>3257</v>
      </c>
      <c r="C2" s="2964" t="s">
        <v>3274</v>
      </c>
      <c r="D2" s="2964" t="s">
        <v>3178</v>
      </c>
      <c r="E2" s="2964">
        <v>1.04</v>
      </c>
      <c r="F2" s="2964">
        <f>E2*G2</f>
        <v>2.6</v>
      </c>
      <c r="G2" s="2964">
        <v>2.5</v>
      </c>
      <c r="H2" s="2964">
        <v>45</v>
      </c>
      <c r="I2" s="2964">
        <v>40</v>
      </c>
      <c r="J2" s="3464">
        <v>30</v>
      </c>
      <c r="K2" s="2964"/>
      <c r="M2" s="2964" t="s">
        <v>3349</v>
      </c>
      <c r="N2" s="2964" t="s">
        <v>3353</v>
      </c>
      <c r="O2" s="2964" t="s">
        <v>3368</v>
      </c>
      <c r="P2" s="2964" t="s">
        <v>3367</v>
      </c>
      <c r="Q2" s="2964" t="s">
        <v>3369</v>
      </c>
      <c r="R2" s="2964" t="s">
        <v>3372</v>
      </c>
      <c r="S2" s="2964" t="s">
        <v>3371</v>
      </c>
      <c r="T2" s="2964" t="s">
        <v>3370</v>
      </c>
    </row>
    <row r="3" spans="1:20" ht="21">
      <c r="A3" s="2964">
        <v>2</v>
      </c>
      <c r="B3" s="2964" t="s">
        <v>3258</v>
      </c>
      <c r="C3" s="2964" t="s">
        <v>3275</v>
      </c>
      <c r="D3" s="2964" t="s">
        <v>3279</v>
      </c>
      <c r="E3" s="2964">
        <v>0.18</v>
      </c>
      <c r="F3" s="2964" t="s">
        <v>3283</v>
      </c>
      <c r="G3" s="2964" t="s">
        <v>3283</v>
      </c>
      <c r="H3" s="2964" t="s">
        <v>3283</v>
      </c>
      <c r="I3" s="2964" t="s">
        <v>3283</v>
      </c>
      <c r="J3" s="3465"/>
      <c r="K3" s="2964" t="s">
        <v>3284</v>
      </c>
      <c r="M3" s="2964" t="s">
        <v>3350</v>
      </c>
      <c r="N3" s="2964" t="s">
        <v>3354</v>
      </c>
      <c r="O3" s="2964">
        <v>10025.684999999999</v>
      </c>
      <c r="P3" s="2964">
        <v>2.5</v>
      </c>
      <c r="Q3" s="2964">
        <v>25064</v>
      </c>
      <c r="R3" s="2964">
        <v>45</v>
      </c>
      <c r="S3" s="2964">
        <v>30</v>
      </c>
      <c r="T3" s="2964">
        <v>30</v>
      </c>
    </row>
    <row r="4" spans="1:20" ht="21">
      <c r="A4" s="2964">
        <v>3</v>
      </c>
      <c r="B4" s="2964" t="s">
        <v>3259</v>
      </c>
      <c r="C4" s="2964" t="s">
        <v>3276</v>
      </c>
      <c r="D4" s="2964" t="s">
        <v>3281</v>
      </c>
      <c r="E4" s="2964">
        <v>0.36</v>
      </c>
      <c r="F4" s="2964">
        <f>E4*G4</f>
        <v>0.54</v>
      </c>
      <c r="G4" s="2965">
        <v>1.5</v>
      </c>
      <c r="H4" s="2964">
        <v>24</v>
      </c>
      <c r="I4" s="2964">
        <v>30</v>
      </c>
      <c r="J4" s="3465"/>
      <c r="K4" s="2964"/>
      <c r="M4" s="2964" t="s">
        <v>3351</v>
      </c>
      <c r="N4" s="2964" t="s">
        <v>3354</v>
      </c>
      <c r="O4" s="2964">
        <v>17154.449000000001</v>
      </c>
      <c r="P4" s="2964">
        <v>2.5</v>
      </c>
      <c r="Q4" s="2964">
        <v>42886</v>
      </c>
      <c r="R4" s="2964">
        <v>45</v>
      </c>
      <c r="S4" s="2964">
        <v>30</v>
      </c>
      <c r="T4" s="2964">
        <v>30</v>
      </c>
    </row>
    <row r="5" spans="1:20" ht="21">
      <c r="A5" s="2964">
        <v>4</v>
      </c>
      <c r="B5" s="2964" t="s">
        <v>3260</v>
      </c>
      <c r="C5" s="2964" t="s">
        <v>3274</v>
      </c>
      <c r="D5" s="2964" t="s">
        <v>3178</v>
      </c>
      <c r="E5" s="2964">
        <v>1.79</v>
      </c>
      <c r="F5" s="2964">
        <f>E5*G5</f>
        <v>4.4749999999999996</v>
      </c>
      <c r="G5" s="2964">
        <v>2.5</v>
      </c>
      <c r="H5" s="2964">
        <v>45</v>
      </c>
      <c r="I5" s="2964">
        <v>40</v>
      </c>
      <c r="J5" s="3465"/>
      <c r="K5" s="2964" t="s">
        <v>3286</v>
      </c>
      <c r="M5" s="2964" t="s">
        <v>3352</v>
      </c>
      <c r="N5" s="2964" t="s">
        <v>3354</v>
      </c>
      <c r="O5" s="2964">
        <v>29556.541000000001</v>
      </c>
      <c r="P5" s="2964">
        <v>2.5</v>
      </c>
      <c r="Q5" s="2964">
        <v>73891</v>
      </c>
      <c r="R5" s="2964">
        <v>45</v>
      </c>
      <c r="S5" s="2964">
        <v>30</v>
      </c>
      <c r="T5" s="2964">
        <v>30</v>
      </c>
    </row>
    <row r="6" spans="1:20" ht="21">
      <c r="A6" s="2964">
        <v>5</v>
      </c>
      <c r="B6" s="2964" t="s">
        <v>3261</v>
      </c>
      <c r="C6" s="2964" t="s">
        <v>3274</v>
      </c>
      <c r="D6" s="2964" t="s">
        <v>3178</v>
      </c>
      <c r="E6" s="2964">
        <v>3.01</v>
      </c>
      <c r="F6" s="2964">
        <f>E6*G6</f>
        <v>7.5249999999999995</v>
      </c>
      <c r="G6" s="2964">
        <v>2.5</v>
      </c>
      <c r="H6" s="2964">
        <v>45</v>
      </c>
      <c r="I6" s="2964">
        <v>40</v>
      </c>
      <c r="J6" s="3465"/>
      <c r="K6" s="2964"/>
      <c r="M6" s="2964" t="s">
        <v>3355</v>
      </c>
      <c r="N6" s="2964" t="s">
        <v>3354</v>
      </c>
      <c r="O6" s="2964">
        <v>17655.982</v>
      </c>
      <c r="P6" s="2964">
        <v>2.5</v>
      </c>
      <c r="Q6" s="2964">
        <v>44140</v>
      </c>
      <c r="R6" s="2964">
        <v>45</v>
      </c>
      <c r="S6" s="2964">
        <v>30</v>
      </c>
      <c r="T6" s="2964">
        <v>30</v>
      </c>
    </row>
    <row r="7" spans="1:20" ht="21">
      <c r="A7" s="2964">
        <v>6</v>
      </c>
      <c r="B7" s="2964" t="s">
        <v>3262</v>
      </c>
      <c r="C7" s="2964" t="s">
        <v>3277</v>
      </c>
      <c r="D7" s="2964" t="s">
        <v>3280</v>
      </c>
      <c r="E7" s="2964">
        <v>0.19</v>
      </c>
      <c r="F7" s="2964" t="s">
        <v>3283</v>
      </c>
      <c r="G7" s="2964" t="s">
        <v>3283</v>
      </c>
      <c r="H7" s="2964" t="s">
        <v>3283</v>
      </c>
      <c r="I7" s="2964" t="s">
        <v>3283</v>
      </c>
      <c r="J7" s="3465"/>
      <c r="K7" s="2964"/>
      <c r="M7" s="2964" t="s">
        <v>3356</v>
      </c>
      <c r="N7" s="2964" t="s">
        <v>3354</v>
      </c>
      <c r="O7" s="2964">
        <v>23344.762999999999</v>
      </c>
      <c r="P7" s="2964">
        <v>2.5</v>
      </c>
      <c r="Q7" s="2964">
        <v>58362</v>
      </c>
      <c r="R7" s="2964">
        <v>45</v>
      </c>
      <c r="S7" s="2964">
        <v>30</v>
      </c>
      <c r="T7" s="2964">
        <v>30</v>
      </c>
    </row>
    <row r="8" spans="1:20" ht="21">
      <c r="A8" s="2964">
        <v>7</v>
      </c>
      <c r="B8" s="2964" t="s">
        <v>3263</v>
      </c>
      <c r="C8" s="2964" t="s">
        <v>3277</v>
      </c>
      <c r="D8" s="2964" t="s">
        <v>3280</v>
      </c>
      <c r="E8" s="2964">
        <v>0.27</v>
      </c>
      <c r="F8" s="2964" t="s">
        <v>3283</v>
      </c>
      <c r="G8" s="2964" t="s">
        <v>3283</v>
      </c>
      <c r="H8" s="2964" t="s">
        <v>3283</v>
      </c>
      <c r="I8" s="2964" t="s">
        <v>3283</v>
      </c>
      <c r="J8" s="3465"/>
      <c r="K8" s="2964"/>
      <c r="M8" s="2964" t="s">
        <v>3357</v>
      </c>
      <c r="N8" s="2964" t="s">
        <v>3354</v>
      </c>
      <c r="O8" s="2964">
        <v>19318.86</v>
      </c>
      <c r="P8" s="2964">
        <v>2.5</v>
      </c>
      <c r="Q8" s="2964">
        <v>48297</v>
      </c>
      <c r="R8" s="2964">
        <v>45</v>
      </c>
      <c r="S8" s="2964">
        <v>30</v>
      </c>
      <c r="T8" s="2964">
        <v>30</v>
      </c>
    </row>
    <row r="9" spans="1:20" ht="21">
      <c r="A9" s="2964">
        <v>8</v>
      </c>
      <c r="B9" s="2964" t="s">
        <v>3264</v>
      </c>
      <c r="C9" s="2964" t="s">
        <v>3277</v>
      </c>
      <c r="D9" s="2964" t="s">
        <v>3280</v>
      </c>
      <c r="E9" s="2964">
        <v>0.19</v>
      </c>
      <c r="F9" s="2964" t="s">
        <v>3283</v>
      </c>
      <c r="G9" s="2964" t="s">
        <v>3283</v>
      </c>
      <c r="H9" s="2964" t="s">
        <v>3283</v>
      </c>
      <c r="I9" s="2964" t="s">
        <v>3283</v>
      </c>
      <c r="J9" s="3465"/>
      <c r="K9" s="2964"/>
      <c r="M9" s="2964" t="s">
        <v>3358</v>
      </c>
      <c r="N9" s="2964" t="s">
        <v>3354</v>
      </c>
      <c r="O9" s="2964">
        <v>22272.92</v>
      </c>
      <c r="P9" s="2964">
        <v>2.5</v>
      </c>
      <c r="Q9" s="2964">
        <v>55682</v>
      </c>
      <c r="R9" s="2964">
        <v>45</v>
      </c>
      <c r="S9" s="2964">
        <v>30</v>
      </c>
      <c r="T9" s="2964">
        <v>30</v>
      </c>
    </row>
    <row r="10" spans="1:20">
      <c r="A10" s="2964">
        <v>9</v>
      </c>
      <c r="B10" s="2964" t="s">
        <v>3265</v>
      </c>
      <c r="C10" s="2964" t="s">
        <v>3274</v>
      </c>
      <c r="D10" s="2964" t="s">
        <v>3178</v>
      </c>
      <c r="E10" s="2964">
        <v>1.71</v>
      </c>
      <c r="F10" s="2964">
        <f>E10*G10</f>
        <v>4.2750000000000004</v>
      </c>
      <c r="G10" s="2964">
        <v>2.5</v>
      </c>
      <c r="H10" s="2964">
        <v>45</v>
      </c>
      <c r="I10" s="2964">
        <v>40</v>
      </c>
      <c r="J10" s="3465"/>
      <c r="K10" s="2964"/>
      <c r="M10" s="2964" t="s">
        <v>3293</v>
      </c>
      <c r="N10" s="3113" t="s">
        <v>3139</v>
      </c>
      <c r="O10" s="2964">
        <f>SUM(O3:O9)</f>
        <v>139329.20000000001</v>
      </c>
      <c r="P10" s="2964">
        <f>ROUND(Q10/O10,2)</f>
        <v>2.5</v>
      </c>
      <c r="Q10" s="2964">
        <f>SUM(Q3:Q9)</f>
        <v>348322</v>
      </c>
      <c r="R10" s="3109"/>
      <c r="S10" s="3109"/>
      <c r="T10" s="3109"/>
    </row>
    <row r="11" spans="1:20">
      <c r="A11" s="2964">
        <v>10</v>
      </c>
      <c r="B11" s="2964" t="s">
        <v>3266</v>
      </c>
      <c r="C11" s="2964" t="s">
        <v>3274</v>
      </c>
      <c r="D11" s="2964" t="s">
        <v>3178</v>
      </c>
      <c r="E11" s="2964">
        <v>2.7</v>
      </c>
      <c r="F11" s="2964">
        <f>E11*G11</f>
        <v>6.75</v>
      </c>
      <c r="G11" s="2964">
        <v>2.5</v>
      </c>
      <c r="H11" s="2964">
        <v>45</v>
      </c>
      <c r="I11" s="2964">
        <v>40</v>
      </c>
      <c r="J11" s="3465"/>
      <c r="K11" s="2964"/>
    </row>
    <row r="12" spans="1:20">
      <c r="A12" s="2964">
        <v>11</v>
      </c>
      <c r="B12" s="2964" t="s">
        <v>3267</v>
      </c>
      <c r="C12" s="2964" t="s">
        <v>3274</v>
      </c>
      <c r="D12" s="2964" t="s">
        <v>3178</v>
      </c>
      <c r="E12" s="2964">
        <v>2.4</v>
      </c>
      <c r="F12" s="2964">
        <f>E12*G12</f>
        <v>6</v>
      </c>
      <c r="G12" s="2964">
        <v>2.5</v>
      </c>
      <c r="H12" s="2964">
        <v>45</v>
      </c>
      <c r="I12" s="2964">
        <v>40</v>
      </c>
      <c r="J12" s="3465"/>
      <c r="K12" s="2964"/>
    </row>
    <row r="13" spans="1:20">
      <c r="A13" s="2964">
        <v>12</v>
      </c>
      <c r="B13" s="2964" t="s">
        <v>3268</v>
      </c>
      <c r="C13" s="2964" t="s">
        <v>3274</v>
      </c>
      <c r="D13" s="2964" t="s">
        <v>3178</v>
      </c>
      <c r="E13" s="2964">
        <v>1.77</v>
      </c>
      <c r="F13" s="2964">
        <f>E13*G13</f>
        <v>4.4249999999999998</v>
      </c>
      <c r="G13" s="2964">
        <v>2.5</v>
      </c>
      <c r="H13" s="2964">
        <v>45</v>
      </c>
      <c r="I13" s="2964">
        <v>40</v>
      </c>
      <c r="J13" s="3465"/>
      <c r="K13" s="2964"/>
    </row>
    <row r="14" spans="1:20">
      <c r="A14" s="2964">
        <v>13</v>
      </c>
      <c r="B14" s="2964" t="s">
        <v>3269</v>
      </c>
      <c r="C14" s="2964" t="s">
        <v>3278</v>
      </c>
      <c r="D14" s="2964" t="s">
        <v>3282</v>
      </c>
      <c r="E14" s="2964">
        <v>0.51</v>
      </c>
      <c r="F14" s="2964">
        <f>E14*G14</f>
        <v>0.40800000000000003</v>
      </c>
      <c r="G14" s="2965">
        <v>0.8</v>
      </c>
      <c r="H14" s="2964">
        <v>12</v>
      </c>
      <c r="I14" s="2964">
        <v>30</v>
      </c>
      <c r="J14" s="3465"/>
      <c r="K14" s="2964" t="s">
        <v>3285</v>
      </c>
    </row>
    <row r="15" spans="1:20">
      <c r="A15" s="2964">
        <v>14</v>
      </c>
      <c r="B15" s="2964" t="s">
        <v>3270</v>
      </c>
      <c r="C15" s="2964" t="s">
        <v>3275</v>
      </c>
      <c r="D15" s="2964" t="s">
        <v>3279</v>
      </c>
      <c r="E15" s="2964">
        <v>0.12</v>
      </c>
      <c r="F15" s="2964" t="s">
        <v>3283</v>
      </c>
      <c r="G15" s="2964" t="s">
        <v>3283</v>
      </c>
      <c r="H15" s="2964" t="s">
        <v>3283</v>
      </c>
      <c r="I15" s="2964" t="s">
        <v>3283</v>
      </c>
      <c r="J15" s="3465"/>
      <c r="K15" s="2964" t="s">
        <v>3284</v>
      </c>
    </row>
    <row r="16" spans="1:20">
      <c r="A16" s="2964">
        <v>15</v>
      </c>
      <c r="B16" s="2964" t="s">
        <v>3271</v>
      </c>
      <c r="C16" s="2964" t="s">
        <v>3277</v>
      </c>
      <c r="D16" s="2964" t="s">
        <v>3280</v>
      </c>
      <c r="E16" s="2964">
        <v>0.66</v>
      </c>
      <c r="F16" s="2964" t="s">
        <v>3283</v>
      </c>
      <c r="G16" s="2964" t="s">
        <v>3283</v>
      </c>
      <c r="H16" s="2964" t="s">
        <v>3283</v>
      </c>
      <c r="I16" s="2964" t="s">
        <v>3283</v>
      </c>
      <c r="J16" s="3465"/>
      <c r="K16" s="2964"/>
    </row>
    <row r="17" spans="1:11">
      <c r="A17" s="2964">
        <v>16</v>
      </c>
      <c r="B17" s="2964" t="s">
        <v>3272</v>
      </c>
      <c r="C17" s="2964" t="s">
        <v>3277</v>
      </c>
      <c r="D17" s="2964" t="s">
        <v>3280</v>
      </c>
      <c r="E17" s="2964">
        <v>0.56000000000000005</v>
      </c>
      <c r="F17" s="2964" t="s">
        <v>3283</v>
      </c>
      <c r="G17" s="2964" t="s">
        <v>3283</v>
      </c>
      <c r="H17" s="2964" t="s">
        <v>3283</v>
      </c>
      <c r="I17" s="2964" t="s">
        <v>3283</v>
      </c>
      <c r="J17" s="3466"/>
      <c r="K17" s="2964"/>
    </row>
    <row r="18" spans="1:11">
      <c r="A18" s="3462" t="s">
        <v>3150</v>
      </c>
      <c r="B18" s="3463"/>
      <c r="C18" s="3042"/>
      <c r="D18" s="2964" t="s">
        <v>3139</v>
      </c>
      <c r="E18" s="2964">
        <f>SUM(E2:E17)</f>
        <v>17.46</v>
      </c>
      <c r="F18" s="2964">
        <f>F14+F13+F12+F11++F10+F6+F5+F4+F2</f>
        <v>36.997999999999998</v>
      </c>
      <c r="G18" s="2964" t="s">
        <v>3283</v>
      </c>
      <c r="H18" s="2964" t="s">
        <v>3139</v>
      </c>
      <c r="I18" s="2964" t="s">
        <v>3139</v>
      </c>
      <c r="J18" s="2964" t="s">
        <v>3139</v>
      </c>
      <c r="K18" s="2964" t="s">
        <v>3139</v>
      </c>
    </row>
  </sheetData>
  <mergeCells count="2">
    <mergeCell ref="A18:B18"/>
    <mergeCell ref="J2:J17"/>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
  <sheetViews>
    <sheetView topLeftCell="C1" workbookViewId="0">
      <selection activeCell="I1" sqref="I1:I2"/>
    </sheetView>
  </sheetViews>
  <sheetFormatPr defaultRowHeight="13.5"/>
  <cols>
    <col min="4" max="4" width="4.375" customWidth="1"/>
    <col min="5" max="5" width="5" customWidth="1"/>
    <col min="8" max="8" width="48.625" customWidth="1"/>
    <col min="9" max="9" width="23.25" customWidth="1"/>
    <col min="10" max="10" width="28.125" customWidth="1"/>
    <col min="15" max="15" width="14.375" customWidth="1"/>
    <col min="16" max="16" width="10.25" bestFit="1" customWidth="1"/>
    <col min="18" max="18" width="9.375" bestFit="1" customWidth="1"/>
  </cols>
  <sheetData>
    <row r="1" spans="1:18" ht="13.5" customHeight="1">
      <c r="A1" s="3472" t="s">
        <v>608</v>
      </c>
      <c r="B1" s="3472" t="s">
        <v>3190</v>
      </c>
      <c r="C1" s="3472" t="s">
        <v>3191</v>
      </c>
      <c r="D1" s="3476" t="s">
        <v>3192</v>
      </c>
      <c r="E1" s="3472" t="s">
        <v>3193</v>
      </c>
      <c r="F1" s="3478" t="s">
        <v>3194</v>
      </c>
      <c r="G1" s="3474" t="s">
        <v>3195</v>
      </c>
      <c r="H1" s="3472" t="s">
        <v>3196</v>
      </c>
      <c r="I1" s="3472" t="s">
        <v>3335</v>
      </c>
      <c r="J1" s="3472" t="s">
        <v>3200</v>
      </c>
      <c r="K1" s="3472" t="s">
        <v>3201</v>
      </c>
      <c r="L1" s="3471" t="s">
        <v>3204</v>
      </c>
      <c r="M1" s="3471" t="s">
        <v>1111</v>
      </c>
      <c r="N1" s="3471" t="s">
        <v>746</v>
      </c>
      <c r="O1" s="3467" t="s">
        <v>3365</v>
      </c>
      <c r="P1" s="3469" t="s">
        <v>3331</v>
      </c>
      <c r="Q1" s="3469" t="s">
        <v>3332</v>
      </c>
      <c r="R1" s="3469" t="s">
        <v>3333</v>
      </c>
    </row>
    <row r="2" spans="1:18">
      <c r="A2" s="3473"/>
      <c r="B2" s="3473"/>
      <c r="C2" s="3473"/>
      <c r="D2" s="3477"/>
      <c r="E2" s="3473"/>
      <c r="F2" s="3479"/>
      <c r="G2" s="3475"/>
      <c r="H2" s="3473"/>
      <c r="I2" s="3473"/>
      <c r="J2" s="3473"/>
      <c r="K2" s="3473"/>
      <c r="L2" s="3471"/>
      <c r="M2" s="3471"/>
      <c r="N2" s="3471"/>
      <c r="O2" s="3468"/>
      <c r="P2" s="3470"/>
      <c r="Q2" s="3470"/>
      <c r="R2" s="3470"/>
    </row>
    <row r="3" spans="1:18">
      <c r="A3" s="3086">
        <v>1</v>
      </c>
      <c r="B3" s="3086">
        <v>2018</v>
      </c>
      <c r="C3" s="3088"/>
      <c r="D3" s="3088"/>
      <c r="E3" s="3088"/>
      <c r="F3" s="3086" t="s">
        <v>3328</v>
      </c>
      <c r="G3" s="3086" t="s">
        <v>3338</v>
      </c>
      <c r="H3" s="3110" t="s">
        <v>3337</v>
      </c>
      <c r="I3" s="3110" t="s">
        <v>3339</v>
      </c>
      <c r="J3" s="3110" t="s">
        <v>3341</v>
      </c>
      <c r="K3" s="3095"/>
      <c r="L3" s="3111">
        <v>39972.523999999998</v>
      </c>
      <c r="M3" s="3111">
        <v>95934</v>
      </c>
      <c r="N3" s="3111">
        <v>2.4</v>
      </c>
      <c r="O3" s="3089" t="s">
        <v>3366</v>
      </c>
      <c r="P3" s="3090">
        <v>143901</v>
      </c>
      <c r="Q3" s="3090">
        <v>15000</v>
      </c>
      <c r="R3" s="3091">
        <v>43432</v>
      </c>
    </row>
    <row r="4" spans="1:18" s="3086" customFormat="1" ht="12">
      <c r="A4" s="3086">
        <v>2</v>
      </c>
      <c r="B4" s="3086">
        <v>2017</v>
      </c>
      <c r="C4" s="3086">
        <v>4</v>
      </c>
      <c r="F4" s="3086" t="s">
        <v>3328</v>
      </c>
      <c r="G4" s="3086" t="s">
        <v>3330</v>
      </c>
      <c r="H4" s="3110" t="s">
        <v>3329</v>
      </c>
      <c r="I4" s="3110" t="s">
        <v>3336</v>
      </c>
      <c r="J4" s="3110" t="s">
        <v>3340</v>
      </c>
      <c r="K4" s="3110"/>
      <c r="L4" s="3110">
        <v>46473.406999999999</v>
      </c>
      <c r="M4" s="3110">
        <v>116183.52</v>
      </c>
      <c r="N4" s="3110">
        <v>2.5</v>
      </c>
      <c r="O4" s="3086">
        <v>50</v>
      </c>
      <c r="P4" s="3086">
        <v>1510392000</v>
      </c>
      <c r="Q4" s="3086">
        <v>13000</v>
      </c>
      <c r="R4" s="3087">
        <v>43169</v>
      </c>
    </row>
    <row r="5" spans="1:18" s="3086" customFormat="1" ht="12">
      <c r="A5" s="3086">
        <v>3</v>
      </c>
      <c r="B5" s="3086">
        <v>2017</v>
      </c>
      <c r="C5" s="3086">
        <v>4</v>
      </c>
      <c r="F5" s="3086" t="s">
        <v>3328</v>
      </c>
      <c r="G5" s="3086" t="s">
        <v>3330</v>
      </c>
      <c r="H5" s="3110" t="s">
        <v>3334</v>
      </c>
      <c r="I5" s="3110" t="s">
        <v>3343</v>
      </c>
      <c r="J5" s="3110" t="s">
        <v>3344</v>
      </c>
      <c r="K5" s="3110"/>
      <c r="L5" s="3110">
        <v>62373.906999999999</v>
      </c>
      <c r="M5" s="3110">
        <v>149697</v>
      </c>
      <c r="N5" s="3110">
        <v>2.4</v>
      </c>
      <c r="O5" s="3086">
        <v>40</v>
      </c>
      <c r="P5" s="3086">
        <v>1600410627</v>
      </c>
      <c r="Q5" s="3086">
        <v>10691</v>
      </c>
      <c r="R5" s="3087">
        <v>43169</v>
      </c>
    </row>
    <row r="6" spans="1:18" s="3086" customFormat="1" ht="12"/>
    <row r="7" spans="1:18" s="3086" customFormat="1" ht="12"/>
    <row r="8" spans="1:18" s="3086" customFormat="1" ht="12"/>
    <row r="9" spans="1:18" s="3086" customFormat="1" ht="12">
      <c r="P9" s="3090">
        <f>143901</f>
        <v>143901</v>
      </c>
    </row>
    <row r="10" spans="1:18" s="3086" customFormat="1" ht="12">
      <c r="P10" s="3086">
        <f>1510392000/10000</f>
        <v>151039.20000000001</v>
      </c>
    </row>
    <row r="11" spans="1:18" s="3086" customFormat="1" ht="12">
      <c r="P11" s="3086">
        <f>1600410627/10000</f>
        <v>160041.06270000001</v>
      </c>
    </row>
  </sheetData>
  <mergeCells count="18">
    <mergeCell ref="G1:G2"/>
    <mergeCell ref="H1:H2"/>
    <mergeCell ref="I1:I2"/>
    <mergeCell ref="J1:J2"/>
    <mergeCell ref="A1:A2"/>
    <mergeCell ref="B1:B2"/>
    <mergeCell ref="C1:C2"/>
    <mergeCell ref="D1:D2"/>
    <mergeCell ref="E1:E2"/>
    <mergeCell ref="F1:F2"/>
    <mergeCell ref="O1:O2"/>
    <mergeCell ref="Q1:Q2"/>
    <mergeCell ref="M1:M2"/>
    <mergeCell ref="R1:R2"/>
    <mergeCell ref="K1:K2"/>
    <mergeCell ref="N1:N2"/>
    <mergeCell ref="L1:L2"/>
    <mergeCell ref="P1:P2"/>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1"/>
  <sheetViews>
    <sheetView topLeftCell="C1" workbookViewId="0">
      <selection activeCell="P25" sqref="P25"/>
    </sheetView>
  </sheetViews>
  <sheetFormatPr defaultRowHeight="13.5"/>
  <cols>
    <col min="2" max="2" width="17.875" customWidth="1"/>
    <col min="4" max="4" width="13.25" customWidth="1"/>
    <col min="8" max="8" width="14.375" customWidth="1"/>
    <col min="12" max="12" width="18.5" customWidth="1"/>
    <col min="13" max="13" width="42.875" customWidth="1"/>
    <col min="14" max="14" width="9.375" customWidth="1"/>
    <col min="15" max="15" width="10.875" customWidth="1"/>
    <col min="17" max="17" width="9.875" customWidth="1"/>
  </cols>
  <sheetData>
    <row r="1" spans="1:34" s="3043" customFormat="1" ht="11.25">
      <c r="A1" s="3472" t="s">
        <v>3189</v>
      </c>
      <c r="B1" s="3472" t="s">
        <v>3190</v>
      </c>
      <c r="C1" s="3472" t="s">
        <v>3191</v>
      </c>
      <c r="D1" s="3476" t="s">
        <v>3192</v>
      </c>
      <c r="E1" s="3472" t="s">
        <v>3193</v>
      </c>
      <c r="F1" s="3478" t="s">
        <v>3194</v>
      </c>
      <c r="G1" s="3480" t="s">
        <v>3195</v>
      </c>
      <c r="H1" s="3472" t="s">
        <v>3196</v>
      </c>
      <c r="I1" s="3482" t="s">
        <v>3197</v>
      </c>
      <c r="J1" s="3472" t="s">
        <v>3198</v>
      </c>
      <c r="K1" s="3484" t="s">
        <v>3199</v>
      </c>
      <c r="L1" s="3472" t="s">
        <v>3200</v>
      </c>
      <c r="M1" s="3472" t="s">
        <v>3201</v>
      </c>
      <c r="N1" s="3488" t="s">
        <v>3202</v>
      </c>
      <c r="O1" s="3488" t="s">
        <v>3203</v>
      </c>
      <c r="P1" s="3486" t="s">
        <v>3204</v>
      </c>
      <c r="Q1" s="3489" t="s">
        <v>3205</v>
      </c>
      <c r="R1" s="3486" t="s">
        <v>3206</v>
      </c>
      <c r="S1" s="3486" t="s">
        <v>3207</v>
      </c>
    </row>
    <row r="2" spans="1:34" s="3044" customFormat="1" ht="11.25">
      <c r="A2" s="3473"/>
      <c r="B2" s="3473"/>
      <c r="C2" s="3473"/>
      <c r="D2" s="3477"/>
      <c r="E2" s="3473"/>
      <c r="F2" s="3479"/>
      <c r="G2" s="3481"/>
      <c r="H2" s="3473"/>
      <c r="I2" s="3483"/>
      <c r="J2" s="3473"/>
      <c r="K2" s="3485"/>
      <c r="L2" s="3473"/>
      <c r="M2" s="3473"/>
      <c r="N2" s="3487"/>
      <c r="O2" s="3487"/>
      <c r="P2" s="3487"/>
      <c r="Q2" s="3490"/>
      <c r="R2" s="3487"/>
      <c r="S2" s="3487"/>
    </row>
    <row r="3" spans="1:34" s="3050" customFormat="1" ht="72">
      <c r="A3" s="3045" t="s">
        <v>3236</v>
      </c>
      <c r="B3" s="3046">
        <v>2017</v>
      </c>
      <c r="C3" s="3047" t="s">
        <v>3208</v>
      </c>
      <c r="D3" s="3047"/>
      <c r="E3" s="3047">
        <v>2</v>
      </c>
      <c r="F3" s="3054" t="s">
        <v>3222</v>
      </c>
      <c r="G3" s="3048" t="s">
        <v>3209</v>
      </c>
      <c r="H3" s="3048" t="s">
        <v>3210</v>
      </c>
      <c r="I3" s="3048"/>
      <c r="J3" s="3048" t="s">
        <v>3211</v>
      </c>
      <c r="K3" s="3048" t="s">
        <v>3212</v>
      </c>
      <c r="L3" s="3048" t="s">
        <v>3213</v>
      </c>
      <c r="M3" s="3048" t="s">
        <v>3214</v>
      </c>
      <c r="N3" s="3049">
        <v>20148.59</v>
      </c>
      <c r="O3" s="3049">
        <v>195592.13</v>
      </c>
      <c r="P3" s="3049">
        <v>72.180000000000007</v>
      </c>
      <c r="Q3" s="3049">
        <f>R3+S3</f>
        <v>2988.92</v>
      </c>
      <c r="R3" s="3049">
        <f>ROUND(N3/P3,2)</f>
        <v>279.14</v>
      </c>
      <c r="S3" s="3049">
        <f>ROUND(O3/P3,2)</f>
        <v>2709.78</v>
      </c>
    </row>
    <row r="4" spans="1:34" s="3050" customFormat="1" ht="72">
      <c r="A4" s="3046" t="s">
        <v>3237</v>
      </c>
      <c r="B4" s="3046">
        <v>2017</v>
      </c>
      <c r="C4" s="3047" t="s">
        <v>3208</v>
      </c>
      <c r="D4" s="3047"/>
      <c r="E4" s="3047">
        <v>3</v>
      </c>
      <c r="F4" s="3054" t="s">
        <v>3222</v>
      </c>
      <c r="G4" s="3051" t="s">
        <v>3215</v>
      </c>
      <c r="H4" s="3048" t="s">
        <v>3216</v>
      </c>
      <c r="I4" s="3048"/>
      <c r="J4" s="3048" t="s">
        <v>3217</v>
      </c>
      <c r="K4" s="3048" t="s">
        <v>3212</v>
      </c>
      <c r="L4" s="3048" t="s">
        <v>3218</v>
      </c>
      <c r="M4" s="3048" t="s">
        <v>3219</v>
      </c>
      <c r="N4" s="3049">
        <v>46469.07</v>
      </c>
      <c r="O4" s="3049">
        <v>462882.97</v>
      </c>
      <c r="P4" s="3049">
        <v>148.22</v>
      </c>
      <c r="Q4" s="3049">
        <f>R4+S4</f>
        <v>3436.46</v>
      </c>
      <c r="R4" s="3049">
        <f>ROUND(N4/P4,2)</f>
        <v>313.51</v>
      </c>
      <c r="S4" s="3049">
        <f>ROUND(O4/P4,2)</f>
        <v>3122.95</v>
      </c>
    </row>
    <row r="5" spans="1:34" s="3055" customFormat="1" ht="84">
      <c r="A5" s="3046">
        <v>3</v>
      </c>
      <c r="B5" s="3046">
        <v>2017</v>
      </c>
      <c r="C5" s="3052" t="s">
        <v>3220</v>
      </c>
      <c r="D5" s="3053" t="s">
        <v>3221</v>
      </c>
      <c r="E5" s="3052">
        <v>4</v>
      </c>
      <c r="F5" s="3054" t="s">
        <v>3222</v>
      </c>
      <c r="G5" s="3051" t="s">
        <v>3209</v>
      </c>
      <c r="H5" s="3048" t="s">
        <v>3223</v>
      </c>
      <c r="I5" s="3048"/>
      <c r="J5" s="3048" t="s">
        <v>3211</v>
      </c>
      <c r="K5" s="3048" t="s">
        <v>3212</v>
      </c>
      <c r="L5" s="3048" t="s">
        <v>3224</v>
      </c>
      <c r="M5" s="3048" t="s">
        <v>3225</v>
      </c>
      <c r="N5" s="3049">
        <v>106922.18</v>
      </c>
      <c r="O5" s="3049">
        <v>1002860.16</v>
      </c>
      <c r="P5" s="3049">
        <v>217.58</v>
      </c>
      <c r="Q5" s="3049">
        <f t="shared" ref="Q5" si="0">R5+S5</f>
        <v>5100.58</v>
      </c>
      <c r="R5" s="3049">
        <f t="shared" ref="R5:R7" si="1">ROUND(N5/P5,2)</f>
        <v>491.42</v>
      </c>
      <c r="S5" s="3049">
        <f t="shared" ref="S5:S6" si="2">ROUND(O5/P5,2)</f>
        <v>4609.16</v>
      </c>
    </row>
    <row r="6" spans="1:34" s="3060" customFormat="1" ht="60">
      <c r="A6" s="3046">
        <v>4</v>
      </c>
      <c r="B6" s="3046">
        <v>2018</v>
      </c>
      <c r="C6" s="3056">
        <v>8</v>
      </c>
      <c r="D6" s="3056" t="s">
        <v>3226</v>
      </c>
      <c r="E6" s="3057">
        <v>1</v>
      </c>
      <c r="F6" s="3057" t="s">
        <v>3227</v>
      </c>
      <c r="G6" s="3057" t="s">
        <v>3215</v>
      </c>
      <c r="H6" s="3057" t="s">
        <v>3228</v>
      </c>
      <c r="I6" s="3057"/>
      <c r="J6" s="3057" t="s">
        <v>3229</v>
      </c>
      <c r="K6" s="3057" t="s">
        <v>3230</v>
      </c>
      <c r="L6" s="3057" t="s">
        <v>3231</v>
      </c>
      <c r="M6" s="3057" t="s">
        <v>3232</v>
      </c>
      <c r="N6" s="3058">
        <v>55495.91</v>
      </c>
      <c r="O6" s="3058">
        <v>418159.92</v>
      </c>
      <c r="P6" s="3059">
        <v>165.53</v>
      </c>
      <c r="Q6" s="3058">
        <f>R6+S6</f>
        <v>2861.45</v>
      </c>
      <c r="R6" s="3049">
        <f t="shared" si="1"/>
        <v>335.26</v>
      </c>
      <c r="S6" s="3049">
        <f t="shared" si="2"/>
        <v>2526.19</v>
      </c>
      <c r="U6" s="3061"/>
      <c r="V6" s="3061"/>
      <c r="W6" s="3061"/>
      <c r="X6" s="3061"/>
      <c r="Y6" s="3061"/>
      <c r="Z6" s="3061"/>
      <c r="AA6" s="3061"/>
      <c r="AB6" s="3061"/>
      <c r="AC6" s="3061"/>
      <c r="AD6" s="3061"/>
      <c r="AE6" s="3061"/>
      <c r="AF6" s="3061"/>
      <c r="AG6" s="3061"/>
      <c r="AH6" s="3061"/>
    </row>
    <row r="7" spans="1:34" s="3067" customFormat="1" ht="60">
      <c r="A7" s="3045" t="s">
        <v>3238</v>
      </c>
      <c r="B7" s="3046">
        <v>2018</v>
      </c>
      <c r="C7" s="3062">
        <v>5</v>
      </c>
      <c r="D7" s="3062"/>
      <c r="E7" s="3063">
        <v>3</v>
      </c>
      <c r="F7" s="3064" t="s">
        <v>3227</v>
      </c>
      <c r="G7" s="3064" t="s">
        <v>3215</v>
      </c>
      <c r="H7" s="3064" t="s">
        <v>3233</v>
      </c>
      <c r="I7" s="3064"/>
      <c r="J7" s="3064" t="s">
        <v>3229</v>
      </c>
      <c r="K7" s="3064" t="s">
        <v>3230</v>
      </c>
      <c r="L7" s="3064" t="s">
        <v>3234</v>
      </c>
      <c r="M7" s="3065" t="s">
        <v>3235</v>
      </c>
      <c r="N7" s="3066">
        <v>230654.05</v>
      </c>
      <c r="O7" s="3046">
        <v>598903.21</v>
      </c>
      <c r="P7" s="3066">
        <v>193.55</v>
      </c>
      <c r="Q7" s="3058">
        <f t="shared" ref="Q7" si="3">R7+S7</f>
        <v>4286.01</v>
      </c>
      <c r="R7" s="3049">
        <f t="shared" si="1"/>
        <v>1191.7</v>
      </c>
      <c r="S7" s="3049">
        <f t="shared" ref="S7" si="4">ROUND(O7/P7,2)</f>
        <v>3094.31</v>
      </c>
    </row>
    <row r="9" spans="1:34">
      <c r="R9" s="3077">
        <f>ROUND(AVERAGE(S3:S7),0)</f>
        <v>3212</v>
      </c>
    </row>
    <row r="10" spans="1:34">
      <c r="R10">
        <f>AVERAGE(R3:R7)</f>
        <v>522.2059999999999</v>
      </c>
    </row>
    <row r="11" spans="1:34">
      <c r="R11">
        <f>R10/2.5</f>
        <v>208.88239999999996</v>
      </c>
    </row>
  </sheetData>
  <mergeCells count="19">
    <mergeCell ref="S1:S2"/>
    <mergeCell ref="M1:M2"/>
    <mergeCell ref="N1:N2"/>
    <mergeCell ref="O1:O2"/>
    <mergeCell ref="P1:P2"/>
    <mergeCell ref="Q1:Q2"/>
    <mergeCell ref="R1:R2"/>
    <mergeCell ref="L1:L2"/>
    <mergeCell ref="A1:A2"/>
    <mergeCell ref="B1:B2"/>
    <mergeCell ref="C1:C2"/>
    <mergeCell ref="D1:D2"/>
    <mergeCell ref="E1:E2"/>
    <mergeCell ref="F1:F2"/>
    <mergeCell ref="G1:G2"/>
    <mergeCell ref="H1:H2"/>
    <mergeCell ref="I1:I2"/>
    <mergeCell ref="J1:J2"/>
    <mergeCell ref="K1:K2"/>
  </mergeCells>
  <phoneticPr fontId="143" type="noConversion"/>
  <dataValidations count="1">
    <dataValidation type="list" allowBlank="1" showInputMessage="1" showErrorMessage="1" sqref="IA5 RW5 ABS5 ALO5 AVK5 BFG5 BPC5 BYY5 CIU5 CSQ5 DCM5 DMI5 DWE5 EGA5 EPW5 EZS5 FJO5 FTK5 GDG5 GNC5 GWY5 HGU5 HQQ5 IAM5 IKI5 IUE5 JEA5 JNW5 JXS5 KHO5 KRK5 LBG5 LLC5 LUY5 MEU5 MOQ5 MYM5 NII5 NSE5 OCA5 OLW5 OVS5 PFO5 PPK5 PZG5 QJC5 QSY5 RCU5 RMQ5 RWM5 SGI5 SQE5 TAA5 TJW5 TTS5 UDO5 UNK5 UXG5 VHC5 VQY5 WAU5 WKQ5 WUM5 IU3:IU4 SQ3:SQ4 ACM3:ACM4 AMI3:AMI4 AWE3:AWE4 BGA3:BGA4 BPW3:BPW4 BZS3:BZS4 CJO3:CJO4 CTK3:CTK4 DDG3:DDG4 DNC3:DNC4 DWY3:DWY4 EGU3:EGU4 EQQ3:EQQ4 FAM3:FAM4 FKI3:FKI4 FUE3:FUE4 GEA3:GEA4 GNW3:GNW4 GXS3:GXS4 HHO3:HHO4 HRK3:HRK4 IBG3:IBG4 ILC3:ILC4 IUY3:IUY4 JEU3:JEU4 JOQ3:JOQ4 JYM3:JYM4 KII3:KII4 KSE3:KSE4 LCA3:LCA4 LLW3:LLW4 LVS3:LVS4 MFO3:MFO4 MPK3:MPK4 MZG3:MZG4 NJC3:NJC4 NSY3:NSY4 OCU3:OCU4 OMQ3:OMQ4 OWM3:OWM4 PGI3:PGI4 PQE3:PQE4 QAA3:QAA4 QJW3:QJW4 QTS3:QTS4 RDO3:RDO4 RNK3:RNK4 RXG3:RXG4 SHC3:SHC4 SQY3:SQY4 TAU3:TAU4 TKQ3:TKQ4 TUM3:TUM4 UEI3:UEI4 UOE3:UOE4 UYA3:UYA4 VHW3:VHW4 VRS3:VRS4 WBO3:WBO4 WLK3:WLK4 WVG3:WVG4 G3:G7">
      <formula1>"公开出让,协议出让,划拨"</formula1>
    </dataValidation>
  </dataValidation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A2" sqref="A2"/>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143" t="str">
        <f>IF(项目基本情况!B9="房地产市场价值","估价结果一览表","结果表-2")</f>
        <v>估价结果一览表</v>
      </c>
      <c r="B1" s="3143"/>
      <c r="C1" s="3143"/>
      <c r="D1" s="3143"/>
      <c r="E1" s="3143"/>
      <c r="F1" s="3143"/>
      <c r="G1" s="3143"/>
      <c r="H1" s="3143"/>
      <c r="I1" s="3143"/>
    </row>
    <row r="2" spans="1:9" ht="30" customHeight="1" thickTop="1">
      <c r="A2" s="3144" t="s">
        <v>1641</v>
      </c>
      <c r="B2" s="3144" t="s">
        <v>1642</v>
      </c>
      <c r="C2" s="3144" t="s">
        <v>1643</v>
      </c>
      <c r="D2" s="3144" t="str">
        <f>结果表!D116</f>
        <v>出让国有建设用地使用权价值</v>
      </c>
      <c r="E2" s="3144"/>
      <c r="F2" s="3144" t="str">
        <f>结果表!F116</f>
        <v>在建建筑物价值</v>
      </c>
      <c r="G2" s="3144"/>
      <c r="H2" s="3144" t="str">
        <f>IF(项目基本情况!B9="房地产市场价值","房地产市场价值","房地产价值")</f>
        <v>房地产市场价值</v>
      </c>
      <c r="I2" s="3144"/>
    </row>
    <row r="3" spans="1:9" ht="15">
      <c r="A3" s="3138"/>
      <c r="B3" s="3138"/>
      <c r="C3" s="3138"/>
      <c r="D3" s="1042" t="s">
        <v>1638</v>
      </c>
      <c r="E3" s="1042" t="s">
        <v>1644</v>
      </c>
      <c r="F3" s="1042" t="s">
        <v>1638</v>
      </c>
      <c r="G3" s="1042" t="s">
        <v>1639</v>
      </c>
      <c r="H3" s="1042" t="s">
        <v>1638</v>
      </c>
      <c r="I3" s="1042" t="s">
        <v>1639</v>
      </c>
    </row>
    <row r="4" spans="1:9" ht="15">
      <c r="A4" s="1970" t="str">
        <f>项目基本情况!S2</f>
        <v>北京市房地产</v>
      </c>
      <c r="B4" s="1042">
        <f>项目基本情况!C17</f>
        <v>1</v>
      </c>
      <c r="C4" s="1042">
        <f>项目基本情况!C18</f>
        <v>0.4</v>
      </c>
      <c r="D4" s="1042" t="e">
        <f ca="1">结果表!D118</f>
        <v>#REF!</v>
      </c>
      <c r="E4" s="1042" t="e">
        <f ca="1">结果表!E118</f>
        <v>#DIV/0!</v>
      </c>
      <c r="F4" s="1042" t="e">
        <f ca="1">结果表!F118</f>
        <v>#REF!</v>
      </c>
      <c r="G4" s="1042" t="e">
        <f ca="1">结果表!G118</f>
        <v>#REF!</v>
      </c>
      <c r="H4" s="1042">
        <f ca="1">结果表!H118</f>
        <v>3</v>
      </c>
      <c r="I4" s="1042" t="e">
        <f ca="1">结果表!I118</f>
        <v>#DIV/0!</v>
      </c>
    </row>
    <row r="5" spans="1:9" ht="30" customHeight="1">
      <c r="A5" s="3138" t="s">
        <v>1640</v>
      </c>
      <c r="B5" s="3138"/>
      <c r="C5" s="3138"/>
      <c r="D5" s="3139" t="e">
        <f ca="1">结果表!D119</f>
        <v>#REF!</v>
      </c>
      <c r="E5" s="3139"/>
      <c r="F5" s="3139" t="e">
        <f ca="1">结果表!F119</f>
        <v>#REF!</v>
      </c>
      <c r="G5" s="3139"/>
      <c r="H5" s="3139" t="str">
        <f ca="1">结果表!H119</f>
        <v>叁万元整</v>
      </c>
      <c r="I5" s="3139"/>
    </row>
    <row r="6" spans="1:9" ht="15.75">
      <c r="A6" s="3137" t="str">
        <f>结果表!A120</f>
        <v/>
      </c>
      <c r="B6" s="3137"/>
      <c r="C6" s="3137"/>
      <c r="D6" s="3137">
        <f>结果表!D120</f>
        <v>0</v>
      </c>
      <c r="E6" s="3137"/>
      <c r="F6" s="3137"/>
      <c r="G6" s="3137"/>
      <c r="H6" s="3137"/>
      <c r="I6" s="3137"/>
    </row>
    <row r="7" spans="1:9" ht="15">
      <c r="A7" s="3138" t="s">
        <v>1640</v>
      </c>
      <c r="B7" s="3138"/>
      <c r="C7" s="3138"/>
      <c r="D7" s="3140" t="str">
        <f>结果表!D121</f>
        <v>零元整</v>
      </c>
      <c r="E7" s="3141"/>
      <c r="F7" s="3141"/>
      <c r="G7" s="3141"/>
      <c r="H7" s="3141"/>
      <c r="I7" s="3142"/>
    </row>
    <row r="8" spans="1:9" ht="15.75">
      <c r="A8" s="3137" t="str">
        <f>结果表!A122</f>
        <v/>
      </c>
      <c r="B8" s="3137"/>
      <c r="C8" s="3137"/>
      <c r="D8" s="3137">
        <f ca="1">结果表!D122</f>
        <v>3</v>
      </c>
      <c r="E8" s="3137"/>
      <c r="F8" s="3137"/>
      <c r="G8" s="3137"/>
      <c r="H8" s="3137"/>
      <c r="I8" s="3137"/>
    </row>
    <row r="9" spans="1:9" ht="15">
      <c r="A9" s="3138" t="s">
        <v>1640</v>
      </c>
      <c r="B9" s="3138"/>
      <c r="C9" s="3138"/>
      <c r="D9" s="3139" t="str">
        <f ca="1">结果表!D123</f>
        <v>叁万元整</v>
      </c>
      <c r="E9" s="3139"/>
      <c r="F9" s="3139"/>
      <c r="G9" s="3139"/>
      <c r="H9" s="3139"/>
      <c r="I9" s="3139"/>
    </row>
    <row r="10" spans="1:9" ht="15.75">
      <c r="A10" s="3137" t="str">
        <f>结果表!A124</f>
        <v/>
      </c>
      <c r="B10" s="3137"/>
      <c r="C10" s="3137"/>
      <c r="D10" s="3137" t="str">
        <f>结果表!D124</f>
        <v>——</v>
      </c>
      <c r="E10" s="3137"/>
      <c r="F10" s="3137"/>
      <c r="G10" s="3137"/>
      <c r="H10" s="3137"/>
      <c r="I10" s="3137"/>
    </row>
    <row r="11" spans="1:9" ht="15">
      <c r="A11" s="3138" t="s">
        <v>1640</v>
      </c>
      <c r="B11" s="3138"/>
      <c r="C11" s="3138"/>
      <c r="D11" s="3139" t="e">
        <f>结果表!D125</f>
        <v>#VALUE!</v>
      </c>
      <c r="E11" s="3139"/>
      <c r="F11" s="3139"/>
      <c r="G11" s="3139"/>
      <c r="H11" s="3139"/>
      <c r="I11" s="3139"/>
    </row>
    <row r="12" spans="1:9" ht="15.75">
      <c r="A12" s="3137" t="str">
        <f>结果表!A126</f>
        <v/>
      </c>
      <c r="B12" s="3137"/>
      <c r="C12" s="3137"/>
      <c r="D12" s="3137" t="str">
        <f>结果表!D126</f>
        <v>——</v>
      </c>
      <c r="E12" s="3137"/>
      <c r="F12" s="3137"/>
      <c r="G12" s="3137"/>
      <c r="H12" s="3137"/>
      <c r="I12" s="3137"/>
    </row>
    <row r="13" spans="1:9" ht="15.75" thickBot="1">
      <c r="A13" s="3134" t="s">
        <v>1640</v>
      </c>
      <c r="B13" s="3134"/>
      <c r="C13" s="3134"/>
      <c r="D13" s="3135" t="e">
        <f>结果表!D127</f>
        <v>#VALUE!</v>
      </c>
      <c r="E13" s="3135"/>
      <c r="F13" s="3135"/>
      <c r="G13" s="3135"/>
      <c r="H13" s="3135"/>
      <c r="I13" s="3135"/>
    </row>
    <row r="14" spans="1:9" ht="15" thickTop="1">
      <c r="A14" s="3136" t="s">
        <v>1645</v>
      </c>
      <c r="B14" s="3136"/>
      <c r="C14" s="3136"/>
      <c r="D14" s="3136"/>
      <c r="E14" s="3136"/>
      <c r="F14" s="3136"/>
      <c r="G14" s="3136"/>
      <c r="H14" s="3136"/>
      <c r="I14" s="3136"/>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16"/>
  <sheetViews>
    <sheetView workbookViewId="0">
      <selection activeCell="H5" sqref="H5"/>
    </sheetView>
  </sheetViews>
  <sheetFormatPr defaultRowHeight="13.5"/>
  <cols>
    <col min="1" max="1" width="5.25" bestFit="1" customWidth="1"/>
    <col min="2" max="2" width="23.75" customWidth="1"/>
    <col min="3" max="3" width="10.5" bestFit="1" customWidth="1"/>
    <col min="4" max="4" width="9.5" bestFit="1" customWidth="1"/>
    <col min="8" max="8" width="13" bestFit="1" customWidth="1"/>
    <col min="14" max="14" width="10.5" bestFit="1" customWidth="1"/>
    <col min="15" max="15" width="12.75" bestFit="1" customWidth="1"/>
    <col min="16" max="16" width="9.5" bestFit="1" customWidth="1"/>
  </cols>
  <sheetData>
    <row r="1" spans="1:18">
      <c r="A1" s="3492" t="s">
        <v>3287</v>
      </c>
      <c r="B1" s="3492" t="s">
        <v>3288</v>
      </c>
      <c r="C1" s="3492" t="s">
        <v>3289</v>
      </c>
      <c r="D1" s="3096" t="s">
        <v>3290</v>
      </c>
      <c r="E1" s="3097"/>
      <c r="F1" s="3097"/>
      <c r="G1" s="3098"/>
      <c r="H1" s="3492" t="s">
        <v>3309</v>
      </c>
      <c r="I1" s="3491" t="s">
        <v>3294</v>
      </c>
      <c r="J1" s="3491"/>
      <c r="K1" s="3492" t="s">
        <v>3297</v>
      </c>
      <c r="L1" s="3492" t="s">
        <v>3298</v>
      </c>
      <c r="M1" s="3492" t="s">
        <v>3306</v>
      </c>
      <c r="N1" s="3492" t="s">
        <v>3308</v>
      </c>
      <c r="O1" s="3491" t="s">
        <v>3299</v>
      </c>
      <c r="P1" s="3491"/>
    </row>
    <row r="2" spans="1:18">
      <c r="A2" s="3492"/>
      <c r="B2" s="3492"/>
      <c r="C2" s="3492"/>
      <c r="D2" s="3070" t="s">
        <v>3345</v>
      </c>
      <c r="E2" s="3070" t="s">
        <v>3291</v>
      </c>
      <c r="F2" s="3070" t="s">
        <v>3292</v>
      </c>
      <c r="G2" s="3070" t="s">
        <v>3293</v>
      </c>
      <c r="H2" s="3492"/>
      <c r="I2" s="3070" t="s">
        <v>3295</v>
      </c>
      <c r="J2" s="3070" t="s">
        <v>3296</v>
      </c>
      <c r="K2" s="3491"/>
      <c r="L2" s="3491"/>
      <c r="M2" s="3491"/>
      <c r="N2" s="3491"/>
      <c r="O2" s="3071" t="s">
        <v>3300</v>
      </c>
      <c r="P2" s="3071" t="s">
        <v>3301</v>
      </c>
    </row>
    <row r="3" spans="1:18" ht="54">
      <c r="A3" s="3072" t="s">
        <v>3303</v>
      </c>
      <c r="B3" s="3074" t="s">
        <v>3312</v>
      </c>
      <c r="C3" s="3073">
        <v>31048.687999999998</v>
      </c>
      <c r="D3" s="3073">
        <v>54335.4</v>
      </c>
      <c r="E3" s="3073">
        <v>23286.6</v>
      </c>
      <c r="F3" s="3073">
        <v>0</v>
      </c>
      <c r="G3" s="3073">
        <f>D3+E3+F3</f>
        <v>77622</v>
      </c>
      <c r="H3" s="3073">
        <v>36673.82</v>
      </c>
      <c r="I3" s="3073">
        <v>146500</v>
      </c>
      <c r="J3" s="3073">
        <f>ROUND(I3*10000/G3,2)</f>
        <v>18873.52</v>
      </c>
      <c r="K3" s="3074" t="s">
        <v>3313</v>
      </c>
      <c r="L3" s="3074" t="s">
        <v>3311</v>
      </c>
      <c r="M3" s="3074" t="s">
        <v>3307</v>
      </c>
      <c r="N3" s="3076">
        <v>42941</v>
      </c>
      <c r="O3" s="3073">
        <f>I3+3245*E3/10000</f>
        <v>154056.50169999999</v>
      </c>
      <c r="P3" s="3073">
        <f>ROUND(O3*10000/G3,0)</f>
        <v>19847</v>
      </c>
    </row>
    <row r="4" spans="1:18" ht="81">
      <c r="A4" s="3072" t="s">
        <v>3302</v>
      </c>
      <c r="B4" s="3074" t="s">
        <v>3314</v>
      </c>
      <c r="C4" s="3073">
        <v>95947</v>
      </c>
      <c r="D4" s="3073">
        <v>211083</v>
      </c>
      <c r="E4" s="3073">
        <v>0</v>
      </c>
      <c r="F4" s="3073">
        <v>0</v>
      </c>
      <c r="G4" s="3073">
        <f t="shared" ref="G4:G5" si="0">D4+E4+F4</f>
        <v>211083</v>
      </c>
      <c r="H4" s="3073">
        <v>168440.53</v>
      </c>
      <c r="I4" s="3073">
        <v>370000</v>
      </c>
      <c r="J4" s="3073">
        <f t="shared" ref="J4" si="1">ROUND(I4*10000/G4,2)</f>
        <v>17528.650000000001</v>
      </c>
      <c r="K4" s="3074" t="s">
        <v>3316</v>
      </c>
      <c r="L4" s="3074" t="s">
        <v>3311</v>
      </c>
      <c r="M4" s="3074" t="s">
        <v>3315</v>
      </c>
      <c r="N4" s="3076">
        <v>43045</v>
      </c>
      <c r="O4" s="3073">
        <f>I4</f>
        <v>370000</v>
      </c>
      <c r="P4" s="3073">
        <f t="shared" ref="P4" si="2">ROUND(O4*10000/G4,0)</f>
        <v>17529</v>
      </c>
    </row>
    <row r="5" spans="1:18" ht="54">
      <c r="A5" s="3072" t="s">
        <v>3304</v>
      </c>
      <c r="B5" s="3074" t="s">
        <v>3305</v>
      </c>
      <c r="C5" s="3073">
        <v>63029.618999999999</v>
      </c>
      <c r="D5" s="3073">
        <v>100847.2</v>
      </c>
      <c r="E5" s="3073">
        <v>24911.8</v>
      </c>
      <c r="F5" s="3073">
        <v>300</v>
      </c>
      <c r="G5" s="3073">
        <f t="shared" si="0"/>
        <v>126059</v>
      </c>
      <c r="H5" s="3073">
        <v>110919.93</v>
      </c>
      <c r="I5" s="3073">
        <v>252000</v>
      </c>
      <c r="J5" s="3073">
        <f>ROUND(I5*10000/G5,2)</f>
        <v>19990.64</v>
      </c>
      <c r="K5" s="3074" t="s">
        <v>3310</v>
      </c>
      <c r="L5" s="3074" t="s">
        <v>3311</v>
      </c>
      <c r="M5" s="3074" t="s">
        <v>3307</v>
      </c>
      <c r="N5" s="3075">
        <v>42850</v>
      </c>
      <c r="O5" s="3073">
        <f>(I5-H5/G5*F5+4715*E5/10000)</f>
        <v>263481.94223425776</v>
      </c>
      <c r="P5" s="3073">
        <f>ROUND(O5*10000/(G5-F5),0)</f>
        <v>20951</v>
      </c>
      <c r="Q5">
        <f>ROUND(P6/4,0)</f>
        <v>4861</v>
      </c>
      <c r="R5">
        <f>P6*0.12</f>
        <v>2333.08</v>
      </c>
    </row>
    <row r="6" spans="1:18">
      <c r="H6">
        <f>I5-H5</f>
        <v>141080.07</v>
      </c>
      <c r="P6">
        <f>AVERAGE(P3:P5)</f>
        <v>19442.333333333332</v>
      </c>
      <c r="Q6" s="3069">
        <f>Q5-R5</f>
        <v>2527.92</v>
      </c>
    </row>
    <row r="7" spans="1:18">
      <c r="H7">
        <f>H6*10000/(G5-300)</f>
        <v>11218.288154326927</v>
      </c>
    </row>
    <row r="10" spans="1:18" ht="54">
      <c r="A10" s="3083" t="s">
        <v>3326</v>
      </c>
      <c r="B10" s="3074" t="s">
        <v>3317</v>
      </c>
      <c r="C10" s="3073">
        <v>20291.366999999998</v>
      </c>
      <c r="D10" s="3073">
        <f>36524-E10</f>
        <v>35324</v>
      </c>
      <c r="E10" s="3073">
        <v>1200</v>
      </c>
      <c r="F10" s="3073">
        <v>0</v>
      </c>
      <c r="G10" s="3073">
        <f t="shared" ref="G10" si="3">D10+E10+F10</f>
        <v>36524</v>
      </c>
      <c r="H10" s="3084">
        <f>276835300/10000</f>
        <v>27683.53</v>
      </c>
      <c r="I10" s="3073">
        <v>62800</v>
      </c>
      <c r="J10" s="3073">
        <f>ROUND(I10*10000/G10,2)</f>
        <v>17194.169999999998</v>
      </c>
      <c r="K10" s="3074" t="s">
        <v>3318</v>
      </c>
      <c r="L10" s="3074" t="s">
        <v>3319</v>
      </c>
      <c r="M10" s="3074" t="s">
        <v>3320</v>
      </c>
      <c r="N10" s="3075">
        <v>43118</v>
      </c>
      <c r="O10" s="3073">
        <f>I10+E10*2620/10000</f>
        <v>63114.400000000001</v>
      </c>
      <c r="P10" s="3073">
        <f>ROUND(O10*10000/G10,0)</f>
        <v>17280</v>
      </c>
    </row>
    <row r="11" spans="1:18">
      <c r="A11" s="3082"/>
      <c r="B11" s="3074"/>
      <c r="C11" s="3073"/>
      <c r="D11" s="3073"/>
      <c r="E11" s="3073"/>
      <c r="F11" s="3073"/>
      <c r="G11" s="3073"/>
      <c r="H11" s="3073"/>
      <c r="I11" s="3073"/>
      <c r="J11" s="3073"/>
      <c r="K11" s="3074"/>
      <c r="L11" s="3074"/>
      <c r="M11" s="3074"/>
      <c r="N11" s="3075"/>
      <c r="O11" s="3073"/>
      <c r="P11" s="3085">
        <f>AVERAGE(P10,P5,P4,P3)</f>
        <v>18901.75</v>
      </c>
    </row>
    <row r="16" spans="1:18">
      <c r="N16" s="3069">
        <f>'比较法-住宅'!C49-土地案例!R11-J5*0.25+J5*0.75*0.12</f>
        <v>26036.6152</v>
      </c>
    </row>
  </sheetData>
  <mergeCells count="10">
    <mergeCell ref="O1:P1"/>
    <mergeCell ref="N1:N2"/>
    <mergeCell ref="A1:A2"/>
    <mergeCell ref="B1:B2"/>
    <mergeCell ref="C1:C2"/>
    <mergeCell ref="H1:H2"/>
    <mergeCell ref="K1:K2"/>
    <mergeCell ref="L1:L2"/>
    <mergeCell ref="M1:M2"/>
    <mergeCell ref="I1:J1"/>
  </mergeCells>
  <phoneticPr fontId="143" type="noConversion"/>
  <pageMargins left="0.7" right="0.7" top="0.75" bottom="0.75" header="0.3" footer="0.3"/>
  <pageSetup paperSize="9" scale="72" orientation="landscape"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3.5"/>
  <sheetData/>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3:C51"/>
  <sheetViews>
    <sheetView workbookViewId="0">
      <selection activeCell="J30" sqref="J30"/>
    </sheetView>
  </sheetViews>
  <sheetFormatPr defaultRowHeight="13.5"/>
  <cols>
    <col min="1" max="1" width="11" style="3121" customWidth="1"/>
    <col min="2" max="2" width="16" style="3121" customWidth="1"/>
    <col min="3" max="3" width="14.625" style="3121" customWidth="1"/>
  </cols>
  <sheetData>
    <row r="43" spans="1:3">
      <c r="A43" s="3116" t="s">
        <v>3373</v>
      </c>
      <c r="B43" s="3117" t="s">
        <v>3374</v>
      </c>
      <c r="C43" s="3117" t="s">
        <v>3375</v>
      </c>
    </row>
    <row r="44" spans="1:3" hidden="1">
      <c r="A44" s="3116" t="s">
        <v>3373</v>
      </c>
      <c r="B44" s="3118">
        <v>22175</v>
      </c>
      <c r="C44" s="3118">
        <v>7371</v>
      </c>
    </row>
    <row r="45" spans="1:3">
      <c r="A45" s="3116" t="s">
        <v>3376</v>
      </c>
      <c r="B45" s="3119">
        <v>0.75</v>
      </c>
      <c r="C45" s="3120">
        <v>0.25</v>
      </c>
    </row>
    <row r="46" spans="1:3">
      <c r="A46" s="3116">
        <v>28714</v>
      </c>
      <c r="B46" s="3116">
        <f>ROUND(A46*B45,0)</f>
        <v>21536</v>
      </c>
      <c r="C46" s="3115">
        <f>ROUND(A46*C45,0)</f>
        <v>7179</v>
      </c>
    </row>
    <row r="47" spans="1:3">
      <c r="A47" s="3122"/>
      <c r="B47" s="3122"/>
    </row>
    <row r="51" spans="1:3">
      <c r="A51" s="3122"/>
      <c r="B51" s="3122"/>
      <c r="C51" s="3122"/>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151" t="s">
        <v>1662</v>
      </c>
      <c r="B1" s="3151"/>
      <c r="C1" s="3151"/>
      <c r="D1" s="3151"/>
    </row>
    <row r="2" spans="1:4" ht="18">
      <c r="A2" s="3152" t="s">
        <v>1646</v>
      </c>
      <c r="B2" s="3152"/>
      <c r="C2" s="3152"/>
      <c r="D2" s="3152"/>
    </row>
    <row r="3" spans="1:4" ht="18.75">
      <c r="A3" s="1974" t="s">
        <v>1647</v>
      </c>
      <c r="B3" s="1974" t="s">
        <v>1648</v>
      </c>
      <c r="C3" s="1974" t="s">
        <v>1649</v>
      </c>
      <c r="D3" s="1974" t="s">
        <v>1650</v>
      </c>
    </row>
    <row r="4" spans="1:4" ht="56.25" customHeight="1">
      <c r="A4" s="1975" t="str">
        <f>项目基本情况!B4</f>
        <v>叶凌</v>
      </c>
      <c r="B4" s="1976">
        <f ca="1">项目基本情况!C4</f>
        <v>1119970111</v>
      </c>
      <c r="C4" s="1977"/>
      <c r="D4" s="1978" t="s">
        <v>1651</v>
      </c>
    </row>
    <row r="5" spans="1:4" ht="56.25" customHeight="1">
      <c r="A5" s="1975" t="str">
        <f>项目基本情况!D4</f>
        <v>陈颖</v>
      </c>
      <c r="B5" s="1976">
        <f ca="1">项目基本情况!E4</f>
        <v>0</v>
      </c>
      <c r="C5" s="1979"/>
      <c r="D5" s="1978" t="s">
        <v>1651</v>
      </c>
    </row>
    <row r="6" spans="1:4" ht="18">
      <c r="A6" s="3152" t="s">
        <v>1652</v>
      </c>
      <c r="B6" s="3152"/>
      <c r="C6" s="3152"/>
      <c r="D6" s="3152"/>
    </row>
    <row r="7" spans="1:4" ht="18.75">
      <c r="A7" s="1974" t="s">
        <v>1647</v>
      </c>
      <c r="B7" s="1976" t="s">
        <v>1653</v>
      </c>
      <c r="C7" s="1974" t="s">
        <v>1649</v>
      </c>
      <c r="D7" s="1974" t="s">
        <v>1650</v>
      </c>
    </row>
    <row r="8" spans="1:4" ht="56.25" customHeight="1">
      <c r="A8" s="1980" t="s">
        <v>869</v>
      </c>
      <c r="B8" s="1980" t="s">
        <v>1</v>
      </c>
      <c r="C8" s="1977"/>
      <c r="D8" s="1978" t="s">
        <v>1651</v>
      </c>
    </row>
    <row r="9" spans="1:4">
      <c r="A9" s="723"/>
      <c r="B9" s="723"/>
      <c r="C9" s="723"/>
      <c r="D9" s="723"/>
    </row>
    <row r="10" spans="1:4" ht="18.75">
      <c r="A10" s="1981" t="s">
        <v>1654</v>
      </c>
      <c r="B10" s="723"/>
      <c r="C10" s="723"/>
      <c r="D10" s="723"/>
    </row>
    <row r="11" spans="1:4" ht="30" customHeight="1">
      <c r="A11" s="3153" t="s">
        <v>1655</v>
      </c>
      <c r="B11" s="3145"/>
      <c r="C11" s="3145"/>
      <c r="D11" s="3145"/>
    </row>
    <row r="12" spans="1:4" ht="15.75">
      <c r="A12" s="31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50"/>
      <c r="C12" s="3150"/>
      <c r="D12" s="3150"/>
    </row>
    <row r="13" spans="1:4" ht="30" customHeight="1">
      <c r="A13" s="3145" t="str">
        <f>IF(项目基本情况!B8="抵押","3.抵押双方在办理抵押登记手续时，应使用本公司出具的正式《房地产评估报告》，特提醒报告使用者注意。","——")</f>
        <v>——</v>
      </c>
      <c r="B13" s="3150"/>
      <c r="C13" s="3150"/>
      <c r="D13" s="3150"/>
    </row>
    <row r="14" spans="1:4" ht="15.75" customHeight="1">
      <c r="A14" s="3145" t="str">
        <f>IF(项目基本情况!B8="抵押","4.本次评估估价师所知悉的法定优先受偿款情况说明如下：","——")</f>
        <v>——</v>
      </c>
      <c r="B14" s="3150"/>
      <c r="C14" s="3150"/>
      <c r="D14" s="3150"/>
    </row>
    <row r="15" spans="1:4" ht="42" customHeight="1">
      <c r="A15" s="3145" t="str">
        <f>IF(项目基本情况!B8="抵押","（1）"&amp;CONCATENATE(项目基本情况!L20,项目基本情况!L21,项目基本情况!L22),"——")</f>
        <v>——</v>
      </c>
      <c r="B15" s="3145"/>
      <c r="C15" s="3145"/>
      <c r="D15" s="3145"/>
    </row>
    <row r="16" spans="1:4" ht="30" customHeight="1">
      <c r="A16" s="3147" t="s">
        <v>1656</v>
      </c>
      <c r="B16" s="3147"/>
      <c r="C16" s="3147"/>
      <c r="D16" s="3147"/>
    </row>
    <row r="17" spans="1:4" ht="144" customHeight="1">
      <c r="A17" s="3147" t="s">
        <v>1657</v>
      </c>
      <c r="B17" s="3147"/>
      <c r="C17" s="3147"/>
      <c r="D17" s="3147"/>
    </row>
    <row r="18" spans="1:4" ht="15.75" customHeight="1">
      <c r="A18" s="3145" t="str">
        <f>IF(项目基本情况!B8="抵押",结果表!K120,"——")</f>
        <v>——</v>
      </c>
      <c r="B18" s="3145"/>
      <c r="C18" s="3145"/>
      <c r="D18" s="3145"/>
    </row>
    <row r="19" spans="1:4" ht="46.5" customHeight="1">
      <c r="A19" s="31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45"/>
      <c r="C19" s="3145"/>
      <c r="D19" s="3145"/>
    </row>
    <row r="20" spans="1:4" ht="57.75" customHeight="1">
      <c r="A20" s="31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5"/>
      <c r="C20" s="3145"/>
      <c r="D20" s="3145"/>
    </row>
    <row r="21" spans="1:4" ht="57.75" customHeight="1">
      <c r="A21" s="31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8"/>
      <c r="C21" s="3148"/>
      <c r="D21" s="3148"/>
    </row>
    <row r="22" spans="1:4" ht="18.75" customHeight="1">
      <c r="A22" s="3149" t="s">
        <v>1658</v>
      </c>
      <c r="B22" s="3149"/>
      <c r="C22" s="3149"/>
      <c r="D22" s="3149"/>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3146">
        <v>42551</v>
      </c>
      <c r="D31" s="31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3159" t="s">
        <v>1669</v>
      </c>
      <c r="B15" s="3154" t="s">
        <v>136</v>
      </c>
      <c r="C15" s="3155"/>
    </row>
    <row r="16" spans="1:7" ht="13.5">
      <c r="A16" s="3160"/>
      <c r="B16" s="3154" t="s">
        <v>69</v>
      </c>
      <c r="C16" s="3155"/>
    </row>
    <row r="17" spans="1:3" ht="13.5">
      <c r="A17" s="3160"/>
      <c r="B17" s="3157" t="s">
        <v>1670</v>
      </c>
      <c r="C17" s="1997" t="s">
        <v>1669</v>
      </c>
    </row>
    <row r="18" spans="1:3" ht="13.5">
      <c r="A18" s="3160"/>
      <c r="B18" s="3157"/>
      <c r="C18" s="1997" t="s">
        <v>1671</v>
      </c>
    </row>
    <row r="19" spans="1:3" ht="13.5">
      <c r="A19" s="3160"/>
      <c r="B19" s="3157"/>
      <c r="C19" s="1997" t="s">
        <v>1672</v>
      </c>
    </row>
    <row r="20" spans="1:3" ht="13.5">
      <c r="A20" s="3161"/>
      <c r="B20" s="3156" t="s">
        <v>1673</v>
      </c>
      <c r="C20" s="3155"/>
    </row>
    <row r="21" spans="1:3" ht="13.5">
      <c r="A21" s="1998" t="s">
        <v>1674</v>
      </c>
      <c r="B21" s="1999"/>
      <c r="C21" s="2000"/>
    </row>
    <row r="22" spans="1:3" ht="13.5">
      <c r="A22" s="3158" t="s">
        <v>1675</v>
      </c>
      <c r="B22" s="3156" t="s">
        <v>1676</v>
      </c>
      <c r="C22" s="3155"/>
    </row>
    <row r="23" spans="1:3" ht="13.5">
      <c r="A23" s="3158"/>
      <c r="B23" s="3156" t="s">
        <v>1677</v>
      </c>
      <c r="C23" s="3155"/>
    </row>
    <row r="24" spans="1:3" ht="13.5">
      <c r="A24" s="3158"/>
      <c r="B24" s="3156" t="s">
        <v>1678</v>
      </c>
      <c r="C24" s="3155"/>
    </row>
    <row r="25" spans="1:3" ht="13.5">
      <c r="A25" s="3158"/>
      <c r="B25" s="3157" t="s">
        <v>1679</v>
      </c>
      <c r="C25" s="1997" t="s">
        <v>1680</v>
      </c>
    </row>
    <row r="26" spans="1:3" ht="13.5">
      <c r="A26" s="3158"/>
      <c r="B26" s="3157"/>
      <c r="C26" s="1997" t="s">
        <v>1681</v>
      </c>
    </row>
    <row r="27" spans="1:3" ht="13.5">
      <c r="A27" s="3158"/>
      <c r="B27" s="3157"/>
      <c r="C27" s="1997" t="s">
        <v>1682</v>
      </c>
    </row>
    <row r="28" spans="1:3" ht="13.5">
      <c r="A28" s="3158"/>
      <c r="B28" s="3157"/>
      <c r="C28" s="1997" t="s">
        <v>1683</v>
      </c>
    </row>
    <row r="29" spans="1:3" ht="13.5">
      <c r="A29" s="3158"/>
      <c r="B29" s="3157"/>
      <c r="C29" s="1997" t="s">
        <v>1684</v>
      </c>
    </row>
    <row r="30" spans="1:3" ht="13.5">
      <c r="A30" s="3158"/>
      <c r="B30" s="3157"/>
      <c r="C30" s="1997" t="s">
        <v>1685</v>
      </c>
    </row>
    <row r="31" spans="1:3" ht="13.5">
      <c r="A31" s="3158"/>
      <c r="B31" s="3157"/>
      <c r="C31" s="1997" t="s">
        <v>1686</v>
      </c>
    </row>
    <row r="32" spans="1:3" ht="13.5">
      <c r="A32" s="3158"/>
      <c r="B32" s="3157"/>
      <c r="C32" s="1997" t="s">
        <v>1687</v>
      </c>
    </row>
    <row r="33" spans="1:3" ht="13.5">
      <c r="A33" s="3158"/>
      <c r="B33" s="3157"/>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43621</v>
      </c>
      <c r="C2" s="1017" t="s">
        <v>826</v>
      </c>
      <c r="D2" s="1017"/>
    </row>
    <row r="3" spans="1:6" ht="24" customHeight="1">
      <c r="A3" s="1018" t="s">
        <v>827</v>
      </c>
      <c r="B3" s="1019" t="s">
        <v>828</v>
      </c>
      <c r="C3" s="2345" t="s">
        <v>829</v>
      </c>
      <c r="D3" s="2348" t="s">
        <v>830</v>
      </c>
      <c r="E3" s="1020" t="s">
        <v>831</v>
      </c>
      <c r="F3" s="1019" t="s">
        <v>829</v>
      </c>
    </row>
    <row r="4" spans="1:6" ht="24" customHeight="1">
      <c r="A4" s="1699" t="s">
        <v>832</v>
      </c>
      <c r="B4" s="1020">
        <f ca="1">IF(C4&lt;B2,"已过期",1119970066)</f>
        <v>1119970066</v>
      </c>
      <c r="C4" s="2346">
        <v>43849</v>
      </c>
      <c r="D4" s="2349" t="s">
        <v>832</v>
      </c>
      <c r="E4" s="1020">
        <f ca="1">IF(F4&lt;B2,"已过期",96010014)</f>
        <v>96010014</v>
      </c>
      <c r="F4" s="1028">
        <v>47118</v>
      </c>
    </row>
    <row r="5" spans="1:6" ht="24" customHeight="1">
      <c r="A5" s="1699" t="s">
        <v>833</v>
      </c>
      <c r="B5" s="1020">
        <f ca="1">IF(C5&lt;B2,"已过期",1119970074)</f>
        <v>1119970074</v>
      </c>
      <c r="C5" s="2346">
        <v>43849</v>
      </c>
      <c r="D5" s="2349" t="s">
        <v>833</v>
      </c>
      <c r="E5" s="1020">
        <f ca="1">IF(F5&lt;B2,"已过期",2002110027)</f>
        <v>2002110027</v>
      </c>
      <c r="F5" s="1028">
        <v>46752</v>
      </c>
    </row>
    <row r="6" spans="1:6" ht="24" customHeight="1">
      <c r="A6" s="1699" t="s">
        <v>834</v>
      </c>
      <c r="B6" s="1020">
        <f ca="1">IF(C6&lt;B2,"已过期",1119970111)</f>
        <v>1119970111</v>
      </c>
      <c r="C6" s="2346">
        <v>43849</v>
      </c>
      <c r="D6" s="2349" t="s">
        <v>834</v>
      </c>
      <c r="E6" s="1020">
        <f ca="1">IF(F6&lt;B2,"已过期",94010078)</f>
        <v>94010078</v>
      </c>
      <c r="F6" s="1028">
        <v>46387</v>
      </c>
    </row>
    <row r="7" spans="1:6" ht="24" customHeight="1">
      <c r="A7" s="1699" t="s">
        <v>835</v>
      </c>
      <c r="B7" s="1020" t="str">
        <f ca="1">IF(C7&lt;B2,"已过期",1120050019)</f>
        <v>已过期</v>
      </c>
      <c r="C7" s="2346">
        <v>43359</v>
      </c>
      <c r="D7" s="2349" t="s">
        <v>835</v>
      </c>
      <c r="E7" s="1020">
        <f ca="1">IF(F7&lt;B2,"已过期",2002110030)</f>
        <v>2002110030</v>
      </c>
      <c r="F7" s="1028">
        <v>46387</v>
      </c>
    </row>
    <row r="8" spans="1:6" ht="24" customHeight="1">
      <c r="A8" s="1699" t="s">
        <v>836</v>
      </c>
      <c r="B8" s="1020">
        <f ca="1">IF(C8&lt;B2,"已过期",1120000080)</f>
        <v>1120000080</v>
      </c>
      <c r="C8" s="2346">
        <v>43849</v>
      </c>
      <c r="D8" s="2349" t="s">
        <v>836</v>
      </c>
      <c r="E8" s="1020">
        <f ca="1">IF(F8&lt;B2,"已过期",2000110082)</f>
        <v>2000110082</v>
      </c>
      <c r="F8" s="1028">
        <v>46387</v>
      </c>
    </row>
    <row r="9" spans="1:6" ht="24" customHeight="1">
      <c r="A9" s="1699" t="s">
        <v>837</v>
      </c>
      <c r="B9" s="1020">
        <f ca="1">IF(C9&lt;B2,"已过期",1419970001)</f>
        <v>1419970001</v>
      </c>
      <c r="C9" s="2346">
        <v>43867</v>
      </c>
      <c r="D9" s="2349" t="s">
        <v>837</v>
      </c>
      <c r="E9" s="1020">
        <f ca="1">IF(F9&lt;B2,"已过期",2002110125)</f>
        <v>2002110125</v>
      </c>
      <c r="F9" s="1028">
        <v>47118</v>
      </c>
    </row>
    <row r="10" spans="1:6" ht="24" customHeight="1">
      <c r="A10" s="1699" t="s">
        <v>838</v>
      </c>
      <c r="B10" s="1020" t="str">
        <f ca="1">IF(C10&lt;B2,"已过期",1120060040)</f>
        <v>已过期</v>
      </c>
      <c r="C10" s="2346">
        <v>43483</v>
      </c>
      <c r="D10" s="2349" t="s">
        <v>838</v>
      </c>
      <c r="E10" s="1020">
        <f ca="1">IF(F10&lt;B2,"已过期",2004110096)</f>
        <v>2004110096</v>
      </c>
      <c r="F10" s="1028">
        <v>47118</v>
      </c>
    </row>
    <row r="11" spans="1:6" ht="24" customHeight="1">
      <c r="A11" s="1699" t="s">
        <v>839</v>
      </c>
      <c r="B11" s="1020">
        <f ca="1">IF(C11&lt;B2,"已过期",1120100036)</f>
        <v>1120100036</v>
      </c>
      <c r="C11" s="2346">
        <v>43622</v>
      </c>
      <c r="D11" s="2349" t="s">
        <v>839</v>
      </c>
      <c r="E11" s="1020">
        <f ca="1">IF(F11&lt;B2,"已过期",2010110070)</f>
        <v>2010110070</v>
      </c>
      <c r="F11" s="1028">
        <v>47907</v>
      </c>
    </row>
    <row r="12" spans="1:6" ht="24" customHeight="1">
      <c r="A12" s="1699" t="s">
        <v>3045</v>
      </c>
      <c r="B12" s="1020">
        <v>1120110054</v>
      </c>
      <c r="C12" s="2940">
        <v>43937</v>
      </c>
      <c r="D12" s="1699" t="s">
        <v>3045</v>
      </c>
      <c r="E12" s="1020">
        <v>2008110060</v>
      </c>
      <c r="F12" s="1028">
        <v>47177</v>
      </c>
    </row>
    <row r="13" spans="1:6" ht="24" customHeight="1">
      <c r="A13" s="1699" t="s">
        <v>840</v>
      </c>
      <c r="B13" s="1020">
        <f ca="1">IF(C13&lt;B2,"已过期",1120070131)</f>
        <v>1120070131</v>
      </c>
      <c r="C13" s="2346">
        <v>43814</v>
      </c>
      <c r="D13" s="2349" t="s">
        <v>840</v>
      </c>
      <c r="E13" s="1020">
        <v>2014110011</v>
      </c>
      <c r="F13" s="1028">
        <v>49302</v>
      </c>
    </row>
    <row r="14" spans="1:6" ht="24" customHeight="1">
      <c r="A14" s="1699" t="s">
        <v>841</v>
      </c>
      <c r="B14" s="1020">
        <f ca="1">IF(C14&lt;B2,"已过期",1120130020)</f>
        <v>1120130020</v>
      </c>
      <c r="C14" s="2346">
        <v>43622</v>
      </c>
      <c r="D14" s="2349"/>
      <c r="E14" s="1020"/>
      <c r="F14" s="1020"/>
    </row>
    <row r="15" spans="1:6" ht="24" customHeight="1">
      <c r="A15" s="1700" t="s">
        <v>1149</v>
      </c>
      <c r="B15" s="1020">
        <v>1120070085</v>
      </c>
      <c r="C15" s="2346">
        <v>43814</v>
      </c>
      <c r="D15" s="2350" t="s">
        <v>1149</v>
      </c>
      <c r="E15" s="1020">
        <v>2004110128</v>
      </c>
      <c r="F15" s="1021">
        <v>47118</v>
      </c>
    </row>
    <row r="16" spans="1:6" ht="24" customHeight="1">
      <c r="A16" s="1699" t="s">
        <v>842</v>
      </c>
      <c r="B16" s="1020">
        <f ca="1">IF(C16&lt;B2,"已过期",1120140022)</f>
        <v>1120140022</v>
      </c>
      <c r="C16" s="2346">
        <v>44029</v>
      </c>
      <c r="D16" s="2349" t="s">
        <v>842</v>
      </c>
      <c r="E16" s="1020">
        <f ca="1">IF(F16&lt;B2,"已过期",2008110059)</f>
        <v>2008110059</v>
      </c>
      <c r="F16" s="1028">
        <v>47177</v>
      </c>
    </row>
    <row r="17" spans="1:7" ht="24" customHeight="1">
      <c r="A17" s="1699"/>
      <c r="B17" s="1020"/>
      <c r="C17" s="2346"/>
      <c r="D17" s="2349"/>
      <c r="E17" s="1020"/>
      <c r="F17" s="1028"/>
    </row>
    <row r="18" spans="1:7" ht="24" customHeight="1">
      <c r="A18" s="1699"/>
      <c r="B18" s="1020"/>
      <c r="C18" s="2346"/>
      <c r="D18" s="2349"/>
      <c r="E18" s="1020"/>
      <c r="F18" s="1028"/>
    </row>
    <row r="19" spans="1:7" ht="24" customHeight="1">
      <c r="A19" s="1699"/>
      <c r="B19" s="1020"/>
      <c r="C19" s="2346"/>
      <c r="D19" s="2349"/>
      <c r="E19" s="1020"/>
      <c r="F19" s="1020"/>
    </row>
    <row r="20" spans="1:7" ht="24" customHeight="1">
      <c r="A20" s="1699"/>
      <c r="B20" s="1020"/>
      <c r="C20" s="2346"/>
      <c r="D20" s="2349"/>
      <c r="E20" s="1020"/>
      <c r="F20" s="1020"/>
    </row>
    <row r="21" spans="1:7" ht="24" customHeight="1">
      <c r="A21" s="1699"/>
      <c r="B21" s="1020"/>
      <c r="C21" s="2346"/>
      <c r="D21" s="2349" t="s">
        <v>843</v>
      </c>
      <c r="E21" s="1020">
        <f ca="1">IF(F21&lt;B2,"已过期",2011110090)</f>
        <v>2011110090</v>
      </c>
      <c r="F21" s="1028">
        <v>48302</v>
      </c>
    </row>
    <row r="22" spans="1:7" ht="24" customHeight="1">
      <c r="A22" s="1699" t="s">
        <v>844</v>
      </c>
      <c r="B22" s="1020">
        <f ca="1">IF(C22&lt;B2,"已过期",1120020033)</f>
        <v>1120020033</v>
      </c>
      <c r="C22" s="2940">
        <v>44339</v>
      </c>
      <c r="D22" s="2349" t="s">
        <v>844</v>
      </c>
      <c r="E22" s="1020">
        <f ca="1">IF(F22&lt;B2,"已过期",2000110137)</f>
        <v>2000110137</v>
      </c>
      <c r="F22" s="1028">
        <v>46387</v>
      </c>
    </row>
    <row r="23" spans="1:7" ht="24" customHeight="1">
      <c r="A23" s="1699" t="s">
        <v>845</v>
      </c>
      <c r="B23" s="1020">
        <f ca="1">IF(C23&lt;B2,"已过期",1120130048)</f>
        <v>1120130048</v>
      </c>
      <c r="C23" s="2346">
        <v>43686</v>
      </c>
      <c r="D23" s="2349"/>
      <c r="E23" s="1020"/>
      <c r="F23" s="1020"/>
    </row>
    <row r="24" spans="1:7" s="1022" customFormat="1" ht="24" customHeight="1">
      <c r="A24" s="1700" t="s">
        <v>1333</v>
      </c>
      <c r="B24" s="1700" t="s">
        <v>1333</v>
      </c>
      <c r="C24" s="2347" t="s">
        <v>1333</v>
      </c>
      <c r="D24" s="2350" t="s">
        <v>1333</v>
      </c>
      <c r="E24" s="1700" t="s">
        <v>1333</v>
      </c>
      <c r="F24" s="1700" t="s">
        <v>1333</v>
      </c>
    </row>
    <row r="25" spans="1:7" ht="24" customHeight="1">
      <c r="A25" s="3162" t="s">
        <v>846</v>
      </c>
      <c r="B25" s="3162"/>
      <c r="C25" s="3162"/>
      <c r="D25" s="3162"/>
      <c r="E25" s="3162"/>
      <c r="F25" s="3162"/>
      <c r="G25" s="3162"/>
    </row>
    <row r="26" spans="1:7" s="1023" customFormat="1" ht="24" customHeight="1">
      <c r="A26" s="3163" t="s">
        <v>847</v>
      </c>
      <c r="B26" s="3163"/>
      <c r="C26" s="3164"/>
      <c r="D26" s="3165" t="s">
        <v>848</v>
      </c>
      <c r="E26" s="3163"/>
      <c r="F26" s="3163"/>
    </row>
    <row r="27" spans="1:7" s="1025" customFormat="1" ht="24" customHeight="1">
      <c r="A27" s="1024" t="s">
        <v>849</v>
      </c>
      <c r="B27" s="1019" t="s">
        <v>850</v>
      </c>
      <c r="C27" s="2345" t="s">
        <v>851</v>
      </c>
      <c r="D27" s="2353" t="s">
        <v>849</v>
      </c>
      <c r="E27" s="1019" t="s">
        <v>850</v>
      </c>
      <c r="F27" s="1019" t="s">
        <v>851</v>
      </c>
    </row>
    <row r="28" spans="1:7" s="1025" customFormat="1" ht="24" customHeight="1">
      <c r="A28" s="1026" t="s">
        <v>852</v>
      </c>
      <c r="B28" s="1027" t="s">
        <v>853</v>
      </c>
      <c r="C28" s="2351">
        <v>43725</v>
      </c>
      <c r="D28" s="2354" t="s">
        <v>854</v>
      </c>
      <c r="E28" s="1026" t="s">
        <v>855</v>
      </c>
      <c r="F28" s="1056">
        <v>44377</v>
      </c>
    </row>
    <row r="29" spans="1:7" s="1025" customFormat="1" ht="24" customHeight="1">
      <c r="A29" s="1026"/>
      <c r="B29" s="1026"/>
      <c r="C29" s="2352"/>
      <c r="D29" s="2354"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144</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土地比较法-拆迁</vt:lpstr>
      <vt:lpstr>土地比较法-工业</vt:lpstr>
      <vt:lpstr>基准地价修正</vt:lpstr>
      <vt:lpstr>修正</vt:lpstr>
      <vt:lpstr>容积率修正</vt:lpstr>
      <vt:lpstr>基准地价（汇总）</vt:lpstr>
      <vt:lpstr>土地比较法</vt:lpstr>
      <vt:lpstr>地价</vt:lpstr>
      <vt:lpstr>典型户型修正</vt:lpstr>
      <vt:lpstr>成本法（废）</vt:lpstr>
      <vt:lpstr>区片价</vt:lpstr>
      <vt:lpstr>因素修正幅度</vt:lpstr>
      <vt:lpstr>存贷款利率</vt:lpstr>
      <vt:lpstr>区片价（范围）</vt:lpstr>
      <vt:lpstr>面积汇总</vt:lpstr>
      <vt:lpstr>土地案例2</vt:lpstr>
      <vt:lpstr>土地案例</vt:lpstr>
      <vt:lpstr>共有产权房案例位置图</vt:lpstr>
      <vt:lpstr>土地案例剥离</vt:lpstr>
      <vt:lpstr>Sheet2</vt:lpstr>
      <vt:lpstr>Sheet1</vt:lpstr>
      <vt:lpstr>'成本法 (元)'!Print_Area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土地比较法!套工交易情况</vt:lpstr>
      <vt:lpstr>套工交易情况</vt:lpstr>
      <vt:lpstr>套工土地级别</vt:lpstr>
      <vt:lpstr>套工用途</vt:lpstr>
      <vt:lpstr>套工宗地开发程度</vt:lpstr>
      <vt:lpstr>套工宗地形状</vt:lpstr>
      <vt:lpstr>土地比较法!套综道路等级</vt:lpstr>
      <vt:lpstr>套综道路等级</vt:lpstr>
      <vt:lpstr>土地比较法!套综工程地质条件</vt:lpstr>
      <vt:lpstr>套综工程地质条件</vt:lpstr>
      <vt:lpstr>土地比较法!套综交易情况</vt:lpstr>
      <vt:lpstr>套综交易情况</vt:lpstr>
      <vt:lpstr>土地比较法!套综临街宽度及深度</vt:lpstr>
      <vt:lpstr>套综临街宽度及深度</vt:lpstr>
      <vt:lpstr>土地比较法!套综土地级别</vt:lpstr>
      <vt:lpstr>套综土地级别</vt:lpstr>
      <vt:lpstr>土地比较法!套综用途</vt:lpstr>
      <vt:lpstr>套综用途</vt:lpstr>
      <vt:lpstr>土地比较法!套综宗地内开发程度</vt:lpstr>
      <vt:lpstr>套综宗地内开发程度</vt:lpstr>
      <vt:lpstr>土地比较法!套综宗地形状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2018-12-17T09:10:12Z</cp:lastPrinted>
  <dcterms:created xsi:type="dcterms:W3CDTF">2015-07-13T07:17:23Z</dcterms:created>
  <dcterms:modified xsi:type="dcterms:W3CDTF">2019-06-05T09:17:58Z</dcterms:modified>
</cp:coreProperties>
</file>