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位置"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O3" i="68" l="1"/>
  <c r="O4" i="68"/>
  <c r="O5" i="68"/>
  <c r="O6" i="68"/>
  <c r="O7" i="68"/>
  <c r="O8" i="68"/>
  <c r="O9" i="68"/>
  <c r="O10" i="68"/>
  <c r="O11" i="68"/>
  <c r="O12" i="68"/>
  <c r="O13" i="68"/>
  <c r="O14" i="68"/>
  <c r="O2" i="68"/>
  <c r="K14" i="3" l="1"/>
  <c r="C33" i="21" l="1"/>
  <c r="I40" i="39"/>
  <c r="G40" i="39"/>
  <c r="E40" i="39"/>
  <c r="C40" i="39"/>
  <c r="I48" i="39"/>
  <c r="G48" i="39"/>
  <c r="E48" i="39"/>
  <c r="I7" i="39"/>
  <c r="G7" i="39"/>
  <c r="E7" i="39"/>
  <c r="I9" i="39"/>
  <c r="G9" i="39"/>
  <c r="E9" i="39"/>
  <c r="F20" i="6"/>
  <c r="F19" i="6"/>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1" i="55"/>
  <c r="A10" i="55"/>
  <c r="A9" i="55"/>
  <c r="A8" i="55"/>
  <c r="A6" i="54"/>
  <c r="B49" i="63" s="1"/>
  <c r="A8" i="54"/>
  <c r="A7" i="54"/>
  <c r="B51" i="63" s="1"/>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c r="B26" i="63"/>
  <c r="B28" i="63"/>
  <c r="B29" i="63"/>
  <c r="B31" i="63"/>
  <c r="B33" i="63"/>
  <c r="B35" i="63"/>
  <c r="B36" i="63"/>
  <c r="B37" i="63"/>
  <c r="B63" i="63"/>
  <c r="B64" i="63"/>
  <c r="B68" i="63"/>
  <c r="D51" i="10"/>
  <c r="B61" i="63"/>
  <c r="B60" i="63"/>
  <c r="B59" i="63"/>
  <c r="B51" i="10"/>
  <c r="B17" i="63"/>
  <c r="A15" i="51"/>
  <c r="B12" i="63"/>
  <c r="A14" i="51"/>
  <c r="B11" i="63"/>
  <c r="B66"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3"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s="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W40" i="39" s="1"/>
  <c r="J42" i="39"/>
  <c r="AC42" i="39"/>
  <c r="F35" i="44"/>
  <c r="M21" i="44"/>
  <c r="F20" i="44"/>
  <c r="C6" i="43"/>
  <c r="K9" i="43"/>
  <c r="J9" i="43"/>
  <c r="I9" i="43"/>
  <c r="H9" i="43"/>
  <c r="G9" i="43"/>
  <c r="F9" i="43"/>
  <c r="E9" i="43"/>
  <c r="D9" i="43"/>
  <c r="C9" i="43"/>
  <c r="BC13" i="3"/>
  <c r="BB13" i="3"/>
  <c r="BB5" i="3" s="1"/>
  <c r="E5" i="6" s="1"/>
  <c r="D21" i="12" s="1"/>
  <c r="C21" i="12" s="1"/>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F37" i="33"/>
  <c r="AA37" i="33" s="1"/>
  <c r="D111" i="33"/>
  <c r="E111" i="33" s="1"/>
  <c r="F111" i="33" s="1"/>
  <c r="G111" i="33" s="1"/>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J41" i="33" s="1"/>
  <c r="AC41" i="33" s="1"/>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s="1"/>
  <c r="F87" i="33" s="1"/>
  <c r="D85" i="33"/>
  <c r="E85" i="33"/>
  <c r="D81" i="33"/>
  <c r="E81" i="33" s="1"/>
  <c r="F81" i="33" s="1"/>
  <c r="G81" i="33" s="1"/>
  <c r="D79" i="33"/>
  <c r="E79" i="33" s="1"/>
  <c r="F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AB8" i="33" s="1"/>
  <c r="F8" i="33"/>
  <c r="S8" i="33" s="1"/>
  <c r="C7"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c r="F79" i="21" s="1"/>
  <c r="D85" i="21"/>
  <c r="E85" i="21" s="1"/>
  <c r="F85" i="21" s="1"/>
  <c r="D81" i="21"/>
  <c r="E81" i="21" s="1"/>
  <c r="F81" i="21" s="1"/>
  <c r="D77" i="21"/>
  <c r="E77" i="21" s="1"/>
  <c r="F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I5" i="3" s="1"/>
  <c r="BJ13" i="3"/>
  <c r="BK13" i="3"/>
  <c r="BM13" i="3"/>
  <c r="BN13" i="3"/>
  <c r="BO13" i="3"/>
  <c r="BP13" i="3"/>
  <c r="BL13"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W8" i="21" s="1"/>
  <c r="J9" i="21"/>
  <c r="AC9" i="21" s="1"/>
  <c r="H8" i="21"/>
  <c r="AB8" i="21" s="1"/>
  <c r="H9" i="21"/>
  <c r="U9" i="21" s="1"/>
  <c r="H10" i="21"/>
  <c r="AB10" i="21" s="1"/>
  <c r="H39" i="21"/>
  <c r="AB39" i="21" s="1"/>
  <c r="J34" i="21"/>
  <c r="W34" i="21" s="1"/>
  <c r="H36" i="21"/>
  <c r="U36" i="21" s="1"/>
  <c r="F35" i="21"/>
  <c r="AA35" i="21" s="1"/>
  <c r="J33" i="21"/>
  <c r="W33" i="21" s="1"/>
  <c r="H33" i="21"/>
  <c r="U33" i="21" s="1"/>
  <c r="F33" i="21"/>
  <c r="AA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S8" i="21"/>
  <c r="H39" i="37"/>
  <c r="AB39" i="37"/>
  <c r="AB27" i="35"/>
  <c r="S10" i="40"/>
  <c r="W10" i="40"/>
  <c r="S11" i="40"/>
  <c r="U11" i="40"/>
  <c r="S36" i="40"/>
  <c r="U36" i="40"/>
  <c r="S36" i="39"/>
  <c r="C29" i="39"/>
  <c r="C23" i="39"/>
  <c r="U36" i="39"/>
  <c r="S42" i="39"/>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AC27" i="21" s="1"/>
  <c r="F27" i="21"/>
  <c r="AA27" i="21" s="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W25" i="21" s="1"/>
  <c r="E125" i="33"/>
  <c r="F125" i="33"/>
  <c r="G125" i="33" s="1"/>
  <c r="H43" i="33"/>
  <c r="U43" i="33" s="1"/>
  <c r="H17" i="37"/>
  <c r="U17" i="37"/>
  <c r="F23" i="37"/>
  <c r="S23" i="37"/>
  <c r="F79" i="37"/>
  <c r="AB27" i="37"/>
  <c r="F39" i="33"/>
  <c r="AA39" i="33" s="1"/>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c r="F17" i="37"/>
  <c r="AA17" i="37"/>
  <c r="AC33" i="36"/>
  <c r="AC12" i="35"/>
  <c r="W23" i="35"/>
  <c r="AC23" i="37"/>
  <c r="S27" i="37"/>
  <c r="U39" i="37"/>
  <c r="AC8" i="37"/>
  <c r="S25" i="37"/>
  <c r="AC36" i="34"/>
  <c r="AB8" i="34"/>
  <c r="AA13" i="33"/>
  <c r="AC45" i="33"/>
  <c r="F43" i="33"/>
  <c r="AA43" i="33" s="1"/>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A14" i="3"/>
  <c r="AZ14" i="3" s="1"/>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AC5" i="3"/>
  <c r="F40" i="21"/>
  <c r="S40" i="21" s="1"/>
  <c r="H40" i="21"/>
  <c r="AB40" i="21" s="1"/>
  <c r="E119" i="21"/>
  <c r="F119" i="21"/>
  <c r="G119" i="21"/>
  <c r="H119" i="21"/>
  <c r="I119" i="21"/>
  <c r="J119" i="21"/>
  <c r="K119" i="21"/>
  <c r="L119" i="21"/>
  <c r="M119" i="21"/>
  <c r="AA8" i="33"/>
  <c r="AC8" i="33"/>
  <c r="H66" i="33"/>
  <c r="F10" i="33"/>
  <c r="AA10" i="33" s="1"/>
  <c r="F11" i="33"/>
  <c r="S11"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28" i="33"/>
  <c r="S14" i="21"/>
  <c r="AA44" i="34"/>
  <c r="AB29" i="35"/>
  <c r="U29" i="35"/>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s="1"/>
  <c r="G103" i="39" s="1"/>
  <c r="F34" i="39"/>
  <c r="S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7" i="34"/>
  <c r="F15" i="39"/>
  <c r="AA15" i="39"/>
  <c r="H15" i="39"/>
  <c r="U15" i="39"/>
  <c r="J15" i="39"/>
  <c r="AC1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c r="H121" i="33" s="1"/>
  <c r="I121" i="33" s="1"/>
  <c r="J121" i="33" s="1"/>
  <c r="K121" i="33" s="1"/>
  <c r="L121" i="33" s="1"/>
  <c r="M121" i="33" s="1"/>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46" i="34"/>
  <c r="AC30" i="34"/>
  <c r="AA14" i="34"/>
  <c r="W12" i="34"/>
  <c r="U29" i="33"/>
  <c r="AC13" i="33"/>
  <c r="U17" i="34"/>
  <c r="AA11" i="34"/>
  <c r="AA11" i="33"/>
  <c r="AA40" i="21"/>
  <c r="U16" i="40"/>
  <c r="W34" i="40"/>
  <c r="AB34" i="40"/>
  <c r="AB42" i="40"/>
  <c r="U42" i="40"/>
  <c r="AC16" i="40"/>
  <c r="W32" i="40"/>
  <c r="H25" i="40"/>
  <c r="AB25" i="40"/>
  <c r="F94" i="40"/>
  <c r="G94" i="40"/>
  <c r="U47" i="39"/>
  <c r="W15" i="39"/>
  <c r="J37" i="34"/>
  <c r="AC37" i="34"/>
  <c r="S41" i="40"/>
  <c r="AB23" i="40"/>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AC16" i="35"/>
  <c r="AC13" i="40"/>
  <c r="J11" i="34"/>
  <c r="W11" i="34"/>
  <c r="S17" i="34"/>
  <c r="F25" i="40"/>
  <c r="AA25" i="40"/>
  <c r="J11" i="33"/>
  <c r="W11" i="33" s="1"/>
  <c r="H33" i="37"/>
  <c r="AB33" i="37"/>
  <c r="W15" i="34"/>
  <c r="AC15" i="34"/>
  <c r="U20" i="35"/>
  <c r="AB20" i="35"/>
  <c r="W23" i="40"/>
  <c r="D73" i="9"/>
  <c r="N73" i="9" s="1"/>
  <c r="B11" i="1"/>
  <c r="E11" i="1"/>
  <c r="K11" i="1"/>
  <c r="M11" i="1" s="1"/>
  <c r="B9" i="1"/>
  <c r="E9" i="1"/>
  <c r="K9" i="1"/>
  <c r="M9" i="1" s="1"/>
  <c r="C20" i="43"/>
  <c r="F6" i="1"/>
  <c r="AP6" i="1" s="1"/>
  <c r="G11" i="1"/>
  <c r="M22" i="44"/>
  <c r="D86"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AC12" i="33"/>
  <c r="S29" i="33"/>
  <c r="W31" i="33"/>
  <c r="U46" i="33"/>
  <c r="W39" i="33"/>
  <c r="W26" i="33"/>
  <c r="F85" i="33"/>
  <c r="G85" i="33"/>
  <c r="J23" i="33"/>
  <c r="W23" i="33" s="1"/>
  <c r="F23" i="33"/>
  <c r="AA23" i="33" s="1"/>
  <c r="H23" i="33"/>
  <c r="U23" i="33" s="1"/>
  <c r="AC11" i="33"/>
  <c r="S14" i="33"/>
  <c r="AC21" i="33"/>
  <c r="W21" i="33"/>
  <c r="W14" i="33"/>
  <c r="AB21" i="33"/>
  <c r="U21" i="33"/>
  <c r="AA21" i="33"/>
  <c r="S21" i="33"/>
  <c r="AA44" i="33"/>
  <c r="S44" i="21"/>
  <c r="W43" i="21"/>
  <c r="W28" i="21"/>
  <c r="AC46" i="21"/>
  <c r="AC26" i="2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M20" i="15"/>
  <c r="D96" i="9"/>
  <c r="A18" i="64"/>
  <c r="B74" i="63"/>
  <c r="C53" i="10"/>
  <c r="A25" i="64" s="1"/>
  <c r="A18" i="51"/>
  <c r="B14" i="63"/>
  <c r="BA16" i="3"/>
  <c r="BA17" i="3"/>
  <c r="AZ17" i="3"/>
  <c r="K1" i="43"/>
  <c r="BK5" i="3"/>
  <c r="BP5" i="3"/>
  <c r="BN5" i="3"/>
  <c r="BL18" i="3"/>
  <c r="AZ18" i="3"/>
  <c r="BC5" i="3"/>
  <c r="BD5" i="3"/>
  <c r="BR5" i="3"/>
  <c r="G28" i="6" s="1"/>
  <c r="BS5" i="3"/>
  <c r="BQ5" i="3"/>
  <c r="BL16" i="3"/>
  <c r="AZ16" i="3" s="1"/>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c r="K5" i="54"/>
  <c r="B38" i="63"/>
  <c r="T41" i="4"/>
  <c r="A17" i="64"/>
  <c r="B46" i="50"/>
  <c r="B4" i="63" s="1"/>
  <c r="C52" i="37"/>
  <c r="D52" i="37" s="1"/>
  <c r="O19"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12" i="33"/>
  <c r="AB45" i="21"/>
  <c r="AA25" i="21"/>
  <c r="AA29" i="21"/>
  <c r="W31" i="21"/>
  <c r="W29" i="21"/>
  <c r="G96" i="40"/>
  <c r="J27" i="40"/>
  <c r="W37" i="40"/>
  <c r="S17" i="40"/>
  <c r="W30" i="40"/>
  <c r="S34" i="40"/>
  <c r="U17" i="40"/>
  <c r="U38" i="40"/>
  <c r="S40" i="40"/>
  <c r="S42" i="40"/>
  <c r="J31" i="39"/>
  <c r="AC31" i="39" s="1"/>
  <c r="S45" i="39"/>
  <c r="AB43" i="39"/>
  <c r="AB33" i="39"/>
  <c r="AC46" i="39"/>
  <c r="W42" i="39"/>
  <c r="W36" i="39"/>
  <c r="AC37" i="39"/>
  <c r="U14" i="39"/>
  <c r="W16" i="39"/>
  <c r="S15" i="39"/>
  <c r="W45" i="39"/>
  <c r="AA44" i="39"/>
  <c r="AA46" i="39"/>
  <c r="W10"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A9" i="51"/>
  <c r="B9" i="63" s="1"/>
  <c r="A3" i="55"/>
  <c r="B56" i="63"/>
  <c r="E4" i="4"/>
  <c r="B21" i="55" s="1"/>
  <c r="B72" i="63" s="1"/>
  <c r="C4" i="4"/>
  <c r="G66" i="36"/>
  <c r="J18" i="36"/>
  <c r="AE8" i="1"/>
  <c r="W18" i="36"/>
  <c r="AC18" i="36"/>
  <c r="AG6" i="1"/>
  <c r="L20" i="6"/>
  <c r="B20" i="55"/>
  <c r="B70" i="63"/>
  <c r="S8" i="1"/>
  <c r="S9" i="1"/>
  <c r="R9" i="1"/>
  <c r="R8" i="1"/>
  <c r="C45" i="9"/>
  <c r="O40" i="9" s="1"/>
  <c r="R7" i="54" s="1"/>
  <c r="B52" i="63" s="1"/>
  <c r="K31" i="9"/>
  <c r="K32" i="9" s="1"/>
  <c r="N76" i="9"/>
  <c r="C46" i="9"/>
  <c r="K33" i="9" s="1"/>
  <c r="M26" i="15"/>
  <c r="N5" i="65"/>
  <c r="M6" i="15"/>
  <c r="E10" i="67"/>
  <c r="F14" i="67"/>
  <c r="F6" i="15"/>
  <c r="B14" i="67"/>
  <c r="F37" i="15"/>
  <c r="F16" i="15"/>
  <c r="F42" i="15"/>
  <c r="B8" i="67"/>
  <c r="B9" i="67"/>
  <c r="F8" i="15"/>
  <c r="F9" i="15"/>
  <c r="E8" i="67"/>
  <c r="F26" i="15"/>
  <c r="F8" i="67"/>
  <c r="N4" i="65"/>
  <c r="L47" i="15"/>
  <c r="N3" i="65"/>
  <c r="E11" i="67"/>
  <c r="E14" i="67"/>
  <c r="F13" i="15"/>
  <c r="M24" i="15"/>
  <c r="F13" i="67"/>
  <c r="M28" i="15"/>
  <c r="F11" i="67"/>
  <c r="E9" i="67"/>
  <c r="F36" i="15"/>
  <c r="L48" i="15"/>
  <c r="F10" i="67"/>
  <c r="F12" i="67"/>
  <c r="N7" i="65"/>
  <c r="M22" i="15"/>
  <c r="B12" i="67"/>
  <c r="J15" i="15"/>
  <c r="F40" i="15"/>
  <c r="N6" i="65"/>
  <c r="M23" i="15"/>
  <c r="J36" i="15"/>
  <c r="M27" i="15"/>
  <c r="F9" i="67"/>
  <c r="E13" i="67"/>
  <c r="B11" i="67"/>
  <c r="F38" i="15"/>
  <c r="B13" i="67"/>
  <c r="M8" i="15"/>
  <c r="M9" i="15"/>
  <c r="B10" i="67"/>
  <c r="E12" i="67"/>
  <c r="G14" i="3" l="1"/>
  <c r="BL15" i="3"/>
  <c r="AZ15" i="3" s="1"/>
  <c r="A25" i="51"/>
  <c r="B18" i="63" s="1"/>
  <c r="C58" i="21"/>
  <c r="I7" i="21"/>
  <c r="J7" i="21" s="1"/>
  <c r="AC7" i="21" s="1"/>
  <c r="E7" i="21"/>
  <c r="G7" i="21"/>
  <c r="C58" i="33"/>
  <c r="G7" i="33"/>
  <c r="I7" i="33"/>
  <c r="E7" i="33"/>
  <c r="U43" i="21"/>
  <c r="AA43" i="21"/>
  <c r="H113" i="21"/>
  <c r="F37" i="21"/>
  <c r="J37" i="21"/>
  <c r="H37" i="21"/>
  <c r="H42" i="21"/>
  <c r="U42" i="21" s="1"/>
  <c r="J42" i="21"/>
  <c r="W42" i="21" s="1"/>
  <c r="F42" i="21"/>
  <c r="AA42" i="21" s="1"/>
  <c r="G123" i="21"/>
  <c r="H123" i="21" s="1"/>
  <c r="I123" i="21" s="1"/>
  <c r="J123" i="21" s="1"/>
  <c r="K123" i="21" s="1"/>
  <c r="L123" i="21" s="1"/>
  <c r="M123" i="21" s="1"/>
  <c r="H11" i="21"/>
  <c r="G69" i="21"/>
  <c r="H69" i="21" s="1"/>
  <c r="I69" i="21" s="1"/>
  <c r="J69" i="21" s="1"/>
  <c r="K69" i="21" s="1"/>
  <c r="L69" i="21" s="1"/>
  <c r="M69" i="21" s="1"/>
  <c r="F11" i="21"/>
  <c r="J11" i="21"/>
  <c r="U40" i="21"/>
  <c r="AC40" i="21"/>
  <c r="F36" i="33"/>
  <c r="J36" i="33"/>
  <c r="W36" i="33" s="1"/>
  <c r="H111" i="33"/>
  <c r="I111" i="33" s="1"/>
  <c r="J111" i="33" s="1"/>
  <c r="K111" i="33" s="1"/>
  <c r="L111" i="33" s="1"/>
  <c r="M111" i="33" s="1"/>
  <c r="H36" i="33"/>
  <c r="AB36" i="33" s="1"/>
  <c r="H25" i="33"/>
  <c r="AB25" i="33" s="1"/>
  <c r="F25" i="33"/>
  <c r="AA25" i="33" s="1"/>
  <c r="J25" i="33"/>
  <c r="W25" i="33" s="1"/>
  <c r="G87" i="33"/>
  <c r="H87" i="33" s="1"/>
  <c r="I87" i="33" s="1"/>
  <c r="J87" i="33" s="1"/>
  <c r="K87" i="33" s="1"/>
  <c r="L87" i="33" s="1"/>
  <c r="M87" i="33" s="1"/>
  <c r="H27" i="33"/>
  <c r="U27" i="33" s="1"/>
  <c r="F27" i="33"/>
  <c r="S27" i="33" s="1"/>
  <c r="G91" i="33"/>
  <c r="H91" i="33" s="1"/>
  <c r="I91" i="33" s="1"/>
  <c r="J91" i="33" s="1"/>
  <c r="K91" i="33" s="1"/>
  <c r="L91" i="33" s="1"/>
  <c r="M91" i="33" s="1"/>
  <c r="J27" i="33"/>
  <c r="H32" i="33"/>
  <c r="AB32" i="33" s="1"/>
  <c r="J32" i="33"/>
  <c r="AC32" i="33" s="1"/>
  <c r="F101" i="33"/>
  <c r="G101" i="33" s="1"/>
  <c r="H101" i="33" s="1"/>
  <c r="I101" i="33" s="1"/>
  <c r="J101" i="33" s="1"/>
  <c r="K101" i="33" s="1"/>
  <c r="L101" i="33" s="1"/>
  <c r="M101" i="33" s="1"/>
  <c r="F32" i="33"/>
  <c r="AA32" i="33" s="1"/>
  <c r="AC36" i="33"/>
  <c r="U36" i="33"/>
  <c r="U38" i="33"/>
  <c r="U39" i="33"/>
  <c r="S39" i="33"/>
  <c r="S42" i="33"/>
  <c r="W43" i="33"/>
  <c r="AB43" i="33"/>
  <c r="S43" i="33"/>
  <c r="AB42" i="33"/>
  <c r="AA41" i="33"/>
  <c r="AB41" i="33"/>
  <c r="W41" i="33"/>
  <c r="AB11" i="33"/>
  <c r="S25" i="33"/>
  <c r="U25" i="33"/>
  <c r="AA27" i="33"/>
  <c r="AB27" i="33"/>
  <c r="U32" i="33"/>
  <c r="AB34" i="33"/>
  <c r="W34" i="33"/>
  <c r="AA34" i="33"/>
  <c r="U35" i="33"/>
  <c r="AC35" i="33"/>
  <c r="S35" i="33"/>
  <c r="U37" i="33"/>
  <c r="S37" i="33"/>
  <c r="AC37" i="33"/>
  <c r="AA38" i="33"/>
  <c r="AB26" i="33"/>
  <c r="S26" i="33"/>
  <c r="AC23" i="33"/>
  <c r="S23" i="33"/>
  <c r="AB23" i="33"/>
  <c r="F19" i="33"/>
  <c r="H19" i="33"/>
  <c r="AB19" i="33" s="1"/>
  <c r="J19" i="33"/>
  <c r="W19" i="33" s="1"/>
  <c r="F17" i="33"/>
  <c r="AA17" i="33" s="1"/>
  <c r="J17" i="33"/>
  <c r="W17" i="33" s="1"/>
  <c r="G79" i="33"/>
  <c r="H17" i="33"/>
  <c r="AB17" i="33" s="1"/>
  <c r="H15" i="33"/>
  <c r="U15" i="33" s="1"/>
  <c r="F15" i="33"/>
  <c r="J15" i="33"/>
  <c r="W15" i="33" s="1"/>
  <c r="AC19" i="33"/>
  <c r="U19" i="33"/>
  <c r="U17" i="33"/>
  <c r="S17" i="33"/>
  <c r="AC17" i="33"/>
  <c r="AB15" i="33"/>
  <c r="W10" i="33"/>
  <c r="S10" i="33"/>
  <c r="AB10" i="33"/>
  <c r="W9" i="33"/>
  <c r="S9" i="33"/>
  <c r="S21" i="21"/>
  <c r="F29" i="39"/>
  <c r="AA29" i="39" s="1"/>
  <c r="J29" i="39"/>
  <c r="AC29" i="39" s="1"/>
  <c r="H29" i="39"/>
  <c r="U29" i="39" s="1"/>
  <c r="H23" i="39"/>
  <c r="AB23" i="39" s="1"/>
  <c r="J23" i="39"/>
  <c r="AC23" i="39" s="1"/>
  <c r="F23" i="39"/>
  <c r="AA23" i="39" s="1"/>
  <c r="BO5" i="3"/>
  <c r="F29" i="6" s="1"/>
  <c r="I4" i="6"/>
  <c r="G3" i="46" s="1"/>
  <c r="AB33" i="21"/>
  <c r="AC33" i="21"/>
  <c r="K7" i="1"/>
  <c r="C9" i="12"/>
  <c r="D3" i="21"/>
  <c r="K6" i="1"/>
  <c r="M6" i="1" s="1"/>
  <c r="O6" i="1" s="1"/>
  <c r="P6" i="1" s="1"/>
  <c r="C15" i="12" s="1"/>
  <c r="F83" i="39"/>
  <c r="J13" i="39" s="1"/>
  <c r="C18" i="9"/>
  <c r="D18" i="9" s="1"/>
  <c r="M44" i="9" s="1"/>
  <c r="A30" i="64"/>
  <c r="A30" i="51"/>
  <c r="B22" i="63" s="1"/>
  <c r="AB34" i="21"/>
  <c r="S34" i="21"/>
  <c r="AC34" i="21"/>
  <c r="AB25" i="21"/>
  <c r="AC25" i="21"/>
  <c r="S32" i="21"/>
  <c r="AB32" i="21"/>
  <c r="W32" i="21"/>
  <c r="H23" i="21"/>
  <c r="U23" i="21" s="1"/>
  <c r="G85" i="21"/>
  <c r="J23" i="21"/>
  <c r="W23" i="21" s="1"/>
  <c r="F23" i="21"/>
  <c r="S23" i="21" s="1"/>
  <c r="AA23" i="21"/>
  <c r="AC23" i="21"/>
  <c r="H19" i="21"/>
  <c r="AB19" i="21" s="1"/>
  <c r="G81" i="21"/>
  <c r="J19" i="21"/>
  <c r="W19" i="21" s="1"/>
  <c r="F19" i="21"/>
  <c r="AA19" i="21" s="1"/>
  <c r="U19" i="21"/>
  <c r="J17" i="21"/>
  <c r="AC17" i="21" s="1"/>
  <c r="G79" i="21"/>
  <c r="H17" i="21"/>
  <c r="U17" i="21" s="1"/>
  <c r="F17" i="21"/>
  <c r="S17" i="21" s="1"/>
  <c r="H15" i="21"/>
  <c r="AB15" i="21" s="1"/>
  <c r="G77" i="21"/>
  <c r="J15" i="21"/>
  <c r="W15" i="21" s="1"/>
  <c r="F15" i="21"/>
  <c r="S15" i="21" s="1"/>
  <c r="AB17" i="21"/>
  <c r="W17" i="21"/>
  <c r="W10" i="21"/>
  <c r="U10" i="21"/>
  <c r="S10" i="21"/>
  <c r="W9" i="21"/>
  <c r="AB9" i="21"/>
  <c r="AC8" i="21"/>
  <c r="AA9" i="21"/>
  <c r="S27" i="21"/>
  <c r="W27" i="21"/>
  <c r="U27" i="21"/>
  <c r="W35" i="21"/>
  <c r="U35" i="21"/>
  <c r="S35" i="21"/>
  <c r="AC36" i="21"/>
  <c r="AA36" i="21"/>
  <c r="AB36" i="21"/>
  <c r="AA38" i="21"/>
  <c r="U38" i="21"/>
  <c r="AC38" i="21"/>
  <c r="U39" i="21"/>
  <c r="W39" i="21"/>
  <c r="S39" i="21"/>
  <c r="AC42" i="21"/>
  <c r="AB42" i="21"/>
  <c r="S42" i="21"/>
  <c r="F122" i="39"/>
  <c r="G122" i="39" s="1"/>
  <c r="H122" i="39" s="1"/>
  <c r="I122" i="39" s="1"/>
  <c r="J122" i="39" s="1"/>
  <c r="K122" i="39" s="1"/>
  <c r="L122" i="39" s="1"/>
  <c r="M122" i="39" s="1"/>
  <c r="H41" i="39"/>
  <c r="U41" i="39" s="1"/>
  <c r="F101" i="39"/>
  <c r="G101" i="39" s="1"/>
  <c r="F27" i="39"/>
  <c r="AA27" i="39" s="1"/>
  <c r="H27" i="39"/>
  <c r="AB27" i="39" s="1"/>
  <c r="J27" i="39"/>
  <c r="W27" i="39" s="1"/>
  <c r="F25" i="39"/>
  <c r="AA25" i="39" s="1"/>
  <c r="F99" i="39"/>
  <c r="G99" i="39" s="1"/>
  <c r="H25" i="39"/>
  <c r="U25" i="39" s="1"/>
  <c r="J25" i="39"/>
  <c r="AC25" i="39" s="1"/>
  <c r="F3" i="35"/>
  <c r="B7" i="1"/>
  <c r="E7" i="1" s="1"/>
  <c r="G1" i="44"/>
  <c r="K1" i="12"/>
  <c r="M18" i="15"/>
  <c r="F30" i="44"/>
  <c r="F70" i="9"/>
  <c r="F66" i="9"/>
  <c r="P72" i="9" s="1"/>
  <c r="F28" i="15"/>
  <c r="C28" i="15" s="1"/>
  <c r="F31" i="43"/>
  <c r="F29" i="12"/>
  <c r="F27" i="43"/>
  <c r="M20" i="44"/>
  <c r="F32" i="15"/>
  <c r="F59" i="15" s="1"/>
  <c r="F72" i="9"/>
  <c r="S40" i="39"/>
  <c r="W29" i="39"/>
  <c r="S31" i="39"/>
  <c r="W31" i="39"/>
  <c r="G91" i="39"/>
  <c r="F17" i="39" s="1"/>
  <c r="S17" i="39" s="1"/>
  <c r="G93" i="39"/>
  <c r="F19" i="39" s="1"/>
  <c r="S19" i="39" s="1"/>
  <c r="H19" i="39"/>
  <c r="U19" i="39" s="1"/>
  <c r="J19" i="39"/>
  <c r="W19" i="39" s="1"/>
  <c r="W11" i="39"/>
  <c r="W34" i="39"/>
  <c r="AA34" i="39"/>
  <c r="U34" i="39"/>
  <c r="AC40" i="39"/>
  <c r="U27" i="39"/>
  <c r="AB25" i="39"/>
  <c r="W23" i="39"/>
  <c r="S27" i="39"/>
  <c r="S29" i="39"/>
  <c r="D22" i="15"/>
  <c r="BL5" i="3"/>
  <c r="AZ13" i="3"/>
  <c r="AZ5" i="3" s="1"/>
  <c r="E3" i="6" s="1"/>
  <c r="D16" i="43" s="1"/>
  <c r="C16" i="43" s="1"/>
  <c r="BA5" i="3"/>
  <c r="H5" i="3"/>
  <c r="E8" i="6"/>
  <c r="F27" i="6" s="1"/>
  <c r="G13" i="3"/>
  <c r="D12" i="11"/>
  <c r="C12" i="11" s="1"/>
  <c r="I14" i="66"/>
  <c r="B8" i="66" s="1"/>
  <c r="H14" i="66"/>
  <c r="B7" i="66" s="1"/>
  <c r="O41" i="9"/>
  <c r="R8" i="54" s="1"/>
  <c r="B54" i="63" s="1"/>
  <c r="D58" i="33"/>
  <c r="E58" i="33" s="1"/>
  <c r="F58" i="33" s="1"/>
  <c r="G58" i="33" s="1"/>
  <c r="H58" i="33" s="1"/>
  <c r="I58" i="33" s="1"/>
  <c r="J58" i="33" s="1"/>
  <c r="K58" i="33" s="1"/>
  <c r="L58" i="33" s="1"/>
  <c r="M58" i="33" s="1"/>
  <c r="N58" i="33" s="1"/>
  <c r="O58" i="33" s="1"/>
  <c r="C67" i="40"/>
  <c r="D65" i="40"/>
  <c r="D58" i="21"/>
  <c r="E58" i="21" s="1"/>
  <c r="F58" i="21" s="1"/>
  <c r="G58" i="21" s="1"/>
  <c r="H58" i="21" s="1"/>
  <c r="I58" i="21" s="1"/>
  <c r="J58" i="21" s="1"/>
  <c r="K58" i="21" s="1"/>
  <c r="L58" i="21" s="1"/>
  <c r="M58" i="21" s="1"/>
  <c r="N58" i="21" s="1"/>
  <c r="O58" i="21" s="1"/>
  <c r="D70" i="39"/>
  <c r="C72" i="39"/>
  <c r="G9" i="1"/>
  <c r="G12" i="1"/>
  <c r="L16" i="4"/>
  <c r="K17" i="4" s="1"/>
  <c r="A22" i="51" s="1"/>
  <c r="B16" i="63" s="1"/>
  <c r="E14" i="52"/>
  <c r="G30" i="6"/>
  <c r="G31" i="6" s="1"/>
  <c r="C30" i="44"/>
  <c r="C25" i="12"/>
  <c r="C27" i="43"/>
  <c r="C31" i="43"/>
  <c r="H1" i="65"/>
  <c r="H51" i="46"/>
  <c r="X7" i="46"/>
  <c r="E17" i="46"/>
  <c r="N17" i="46"/>
  <c r="O17" i="46"/>
  <c r="M17" i="46"/>
  <c r="L17" i="46"/>
  <c r="H22" i="46"/>
  <c r="Y11" i="46"/>
  <c r="Y13" i="46" s="1"/>
  <c r="H101" i="46"/>
  <c r="H102" i="46" s="1"/>
  <c r="G22" i="46"/>
  <c r="J22" i="46"/>
  <c r="F101" i="46"/>
  <c r="F106" i="46" s="1"/>
  <c r="D101" i="46"/>
  <c r="D106" i="46" s="1"/>
  <c r="E28" i="6"/>
  <c r="O11" i="1"/>
  <c r="P11" i="1" s="1"/>
  <c r="O13" i="1"/>
  <c r="P13" i="1" s="1"/>
  <c r="O9" i="1"/>
  <c r="P9" i="1" s="1"/>
  <c r="E14" i="6"/>
  <c r="E15" i="6"/>
  <c r="E13" i="6"/>
  <c r="E12" i="6"/>
  <c r="E10" i="6"/>
  <c r="E11" i="6"/>
  <c r="O12" i="1"/>
  <c r="P12" i="1" s="1"/>
  <c r="AP7" i="1"/>
  <c r="AP16" i="1" s="1"/>
  <c r="F22" i="11" s="1"/>
  <c r="G13" i="1"/>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F63" i="15"/>
  <c r="F67" i="15"/>
  <c r="C4" i="65"/>
  <c r="B39" i="1" s="1"/>
  <c r="Q72" i="15"/>
  <c r="F64" i="15"/>
  <c r="C27" i="15"/>
  <c r="F65" i="15"/>
  <c r="F50" i="15"/>
  <c r="L59" i="15"/>
  <c r="L58"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F28" i="44"/>
  <c r="F11" i="44"/>
  <c r="M25" i="44"/>
  <c r="M31" i="44"/>
  <c r="J17" i="44"/>
  <c r="M11" i="44"/>
  <c r="F15" i="44"/>
  <c r="L48" i="44"/>
  <c r="F43" i="44"/>
  <c r="J5" i="65"/>
  <c r="I7" i="65"/>
  <c r="M29" i="44"/>
  <c r="C19" i="44"/>
  <c r="F9" i="44"/>
  <c r="M23" i="44"/>
  <c r="M24" i="44"/>
  <c r="M30" i="44"/>
  <c r="I5" i="65"/>
  <c r="I6" i="65"/>
  <c r="M10" i="44"/>
  <c r="F43" i="15"/>
  <c r="F39" i="44"/>
  <c r="M8" i="44"/>
  <c r="F37" i="44"/>
  <c r="M29" i="15"/>
  <c r="M28" i="44"/>
  <c r="F40" i="44"/>
  <c r="F7" i="15"/>
  <c r="F38" i="44"/>
  <c r="J3" i="65"/>
  <c r="F8" i="44"/>
  <c r="F18" i="44"/>
  <c r="I4" i="65"/>
  <c r="L49" i="44"/>
  <c r="J6" i="65"/>
  <c r="F45" i="44"/>
  <c r="F10" i="44"/>
  <c r="J4" i="65"/>
  <c r="I3" i="65"/>
  <c r="J7" i="65"/>
  <c r="M26" i="44"/>
  <c r="J17" i="39" l="1"/>
  <c r="W17" i="39" s="1"/>
  <c r="H17" i="39"/>
  <c r="U17" i="39" s="1"/>
  <c r="W7" i="21"/>
  <c r="F7" i="21"/>
  <c r="H7" i="21"/>
  <c r="J7" i="33"/>
  <c r="C15" i="43"/>
  <c r="AB29" i="39"/>
  <c r="W25" i="39"/>
  <c r="U37" i="21"/>
  <c r="AB37" i="21"/>
  <c r="S37" i="21"/>
  <c r="AA37" i="21"/>
  <c r="W37" i="21"/>
  <c r="AC37" i="21"/>
  <c r="W11" i="21"/>
  <c r="AC11" i="21"/>
  <c r="V48" i="21" s="1"/>
  <c r="I48" i="21" s="1"/>
  <c r="I52" i="21" s="1"/>
  <c r="J52" i="21" s="1"/>
  <c r="S11" i="21"/>
  <c r="AA11" i="21"/>
  <c r="U11" i="21"/>
  <c r="AB11" i="21"/>
  <c r="S36" i="33"/>
  <c r="AA36" i="33"/>
  <c r="AC25" i="33"/>
  <c r="AC27" i="33"/>
  <c r="W27" i="33"/>
  <c r="S32" i="33"/>
  <c r="W32" i="33"/>
  <c r="S19" i="33"/>
  <c r="AA19" i="33"/>
  <c r="AC15" i="33"/>
  <c r="AA15" i="33"/>
  <c r="S15" i="33"/>
  <c r="S19" i="21"/>
  <c r="AA15" i="21"/>
  <c r="S23" i="39"/>
  <c r="U23" i="39"/>
  <c r="AC19" i="39"/>
  <c r="E29" i="6"/>
  <c r="K15" i="1" s="1"/>
  <c r="F30" i="6"/>
  <c r="F31" i="6"/>
  <c r="AA19" i="39"/>
  <c r="AB41" i="39"/>
  <c r="F41" i="39"/>
  <c r="AA41" i="39" s="1"/>
  <c r="J41" i="39"/>
  <c r="AC41" i="39" s="1"/>
  <c r="F70" i="15"/>
  <c r="M7" i="15"/>
  <c r="J6" i="15" s="1"/>
  <c r="C6" i="15"/>
  <c r="F49" i="15"/>
  <c r="C48" i="15" s="1"/>
  <c r="M7" i="1"/>
  <c r="H16" i="1"/>
  <c r="Q16" i="1"/>
  <c r="F33" i="12" s="1"/>
  <c r="C34" i="12" s="1"/>
  <c r="D33" i="12" s="1"/>
  <c r="AB17" i="39"/>
  <c r="AA17" i="39"/>
  <c r="AC17" i="39"/>
  <c r="M43" i="9"/>
  <c r="AC13" i="39"/>
  <c r="W13" i="39"/>
  <c r="G83" i="39"/>
  <c r="H83" i="39" s="1"/>
  <c r="I83" i="39" s="1"/>
  <c r="J83" i="39" s="1"/>
  <c r="K83" i="39" s="1"/>
  <c r="L83" i="39" s="1"/>
  <c r="M83" i="39" s="1"/>
  <c r="F13" i="39"/>
  <c r="H13" i="39"/>
  <c r="AB23" i="21"/>
  <c r="AC19" i="21"/>
  <c r="AA17" i="21"/>
  <c r="AC15" i="21"/>
  <c r="U15" i="21"/>
  <c r="S41" i="39"/>
  <c r="AC27" i="39"/>
  <c r="S25" i="39"/>
  <c r="C29" i="44"/>
  <c r="M9" i="44"/>
  <c r="J8" i="44" s="1"/>
  <c r="L59" i="44"/>
  <c r="Q75" i="44" s="1"/>
  <c r="L60" i="44"/>
  <c r="Q63" i="44" s="1"/>
  <c r="J58" i="44"/>
  <c r="J56" i="44" s="1"/>
  <c r="J59" i="44" s="1"/>
  <c r="Q52" i="44" s="1"/>
  <c r="I55" i="44"/>
  <c r="J60" i="44"/>
  <c r="L57" i="44"/>
  <c r="J54" i="44"/>
  <c r="Q54" i="44" s="1"/>
  <c r="J61" i="44"/>
  <c r="Q50" i="44" s="1"/>
  <c r="C36" i="44"/>
  <c r="C8" i="44"/>
  <c r="Q73" i="44"/>
  <c r="J22" i="44"/>
  <c r="AB19" i="39"/>
  <c r="M109" i="46"/>
  <c r="F103" i="46"/>
  <c r="L38" i="9"/>
  <c r="B14" i="66" s="1"/>
  <c r="B1" i="66" s="1"/>
  <c r="C7" i="66" s="1"/>
  <c r="E27" i="6"/>
  <c r="K20" i="6" s="1"/>
  <c r="C21" i="4"/>
  <c r="O5" i="54" s="1"/>
  <c r="B45" i="63" s="1"/>
  <c r="D16" i="12"/>
  <c r="H103" i="46"/>
  <c r="F104" i="46"/>
  <c r="F107" i="46"/>
  <c r="D10" i="11"/>
  <c r="D46" i="9"/>
  <c r="D45" i="9"/>
  <c r="E6" i="6"/>
  <c r="E53" i="40"/>
  <c r="E58" i="39"/>
  <c r="G5" i="3"/>
  <c r="B3" i="3" s="1"/>
  <c r="F105" i="46"/>
  <c r="M103" i="46"/>
  <c r="AH13" i="46"/>
  <c r="I106" i="46"/>
  <c r="F102" i="46"/>
  <c r="F109" i="46"/>
  <c r="K34" i="9"/>
  <c r="E65" i="40"/>
  <c r="D67" i="40"/>
  <c r="AB7" i="21"/>
  <c r="T48" i="21" s="1"/>
  <c r="G48" i="21" s="1"/>
  <c r="U7" i="21"/>
  <c r="AC7" i="33"/>
  <c r="V48" i="33" s="1"/>
  <c r="I48" i="33" s="1"/>
  <c r="I52" i="33" s="1"/>
  <c r="J52" i="33" s="1"/>
  <c r="W7" i="33"/>
  <c r="AA7" i="21"/>
  <c r="R48" i="21" s="1"/>
  <c r="S7" i="21"/>
  <c r="G16" i="1"/>
  <c r="J12" i="40" s="1"/>
  <c r="E70" i="39"/>
  <c r="D72" i="39"/>
  <c r="B5" i="59"/>
  <c r="D6" i="59"/>
  <c r="M20" i="46" s="1"/>
  <c r="C19" i="46" s="1"/>
  <c r="C5" i="59"/>
  <c r="D5" i="59" s="1"/>
  <c r="D107" i="46"/>
  <c r="M106" i="46"/>
  <c r="M104" i="46"/>
  <c r="J1" i="65"/>
  <c r="I1" i="65"/>
  <c r="E20" i="46"/>
  <c r="P28" i="46" s="1"/>
  <c r="M102" i="46"/>
  <c r="H107" i="46"/>
  <c r="M105" i="46"/>
  <c r="C5" i="46"/>
  <c r="H105" i="46"/>
  <c r="H109" i="46"/>
  <c r="D103" i="46"/>
  <c r="D102" i="46"/>
  <c r="H104" i="46"/>
  <c r="H106" i="46"/>
  <c r="F24" i="43"/>
  <c r="C26" i="43" s="1"/>
  <c r="D24" i="43" s="1"/>
  <c r="D22" i="46"/>
  <c r="D5" i="46"/>
  <c r="D105" i="46"/>
  <c r="D109" i="46"/>
  <c r="D104" i="46"/>
  <c r="AJ13" i="46"/>
  <c r="I109" i="46"/>
  <c r="E16" i="6"/>
  <c r="E60" i="40"/>
  <c r="E65" i="39"/>
  <c r="E61" i="40"/>
  <c r="E66" i="39"/>
  <c r="E63" i="39"/>
  <c r="E58" i="40"/>
  <c r="E64" i="39"/>
  <c r="E59" i="40"/>
  <c r="E67" i="39"/>
  <c r="E62" i="40"/>
  <c r="K14" i="1"/>
  <c r="K26" i="6"/>
  <c r="M26" i="6" s="1"/>
  <c r="I26" i="6" s="1"/>
  <c r="S26" i="6" s="1"/>
  <c r="E30" i="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F13" i="44"/>
  <c r="C12" i="44" s="1"/>
  <c r="M11" i="15"/>
  <c r="J10" i="15" s="1"/>
  <c r="F11" i="15"/>
  <c r="M13" i="44"/>
  <c r="J12" i="44" s="1"/>
  <c r="F1" i="15"/>
  <c r="Q53" i="15"/>
  <c r="Q75" i="15"/>
  <c r="Q62" i="15"/>
  <c r="F46" i="44"/>
  <c r="C16" i="15"/>
  <c r="AE7" i="1"/>
  <c r="E2" i="65"/>
  <c r="C18" i="44"/>
  <c r="E3" i="65"/>
  <c r="W41" i="39" l="1"/>
  <c r="L19" i="6"/>
  <c r="L27" i="6" s="1"/>
  <c r="F18" i="11"/>
  <c r="C18" i="11" s="1"/>
  <c r="J5" i="15"/>
  <c r="J26" i="15" s="1"/>
  <c r="K25" i="6"/>
  <c r="M25" i="6" s="1"/>
  <c r="I25" i="6" s="1"/>
  <c r="S25" i="6" s="1"/>
  <c r="K23" i="6"/>
  <c r="M23" i="6" s="1"/>
  <c r="I23" i="6" s="1"/>
  <c r="S23" i="6" s="1"/>
  <c r="K24" i="6"/>
  <c r="M24" i="6" s="1"/>
  <c r="I24" i="6" s="1"/>
  <c r="S24" i="6" s="1"/>
  <c r="O7" i="1"/>
  <c r="P7" i="1" s="1"/>
  <c r="M20" i="6"/>
  <c r="I20" i="6" s="1"/>
  <c r="S20" i="6" s="1"/>
  <c r="S7" i="1"/>
  <c r="K19" i="6"/>
  <c r="S6" i="1" s="1"/>
  <c r="AA13" i="39"/>
  <c r="S13" i="39"/>
  <c r="AB13" i="39"/>
  <c r="U13" i="39"/>
  <c r="Q76" i="44"/>
  <c r="Q62" i="44"/>
  <c r="F1" i="44"/>
  <c r="C7" i="44"/>
  <c r="C34" i="44" s="1"/>
  <c r="J7" i="44"/>
  <c r="J28" i="44" s="1"/>
  <c r="J31" i="44" s="1"/>
  <c r="C8" i="66"/>
  <c r="E31" i="6"/>
  <c r="K21" i="6"/>
  <c r="M21" i="6" s="1"/>
  <c r="I21" i="6" s="1"/>
  <c r="S21" i="6" s="1"/>
  <c r="K22" i="6"/>
  <c r="M22" i="6" s="1"/>
  <c r="I22" i="6" s="1"/>
  <c r="S22" i="6" s="1"/>
  <c r="H12" i="40"/>
  <c r="AB12" i="40" s="1"/>
  <c r="D19" i="12"/>
  <c r="C19" i="12" s="1"/>
  <c r="C16" i="12"/>
  <c r="D22" i="12"/>
  <c r="C22" i="12" s="1"/>
  <c r="C20" i="12" s="1"/>
  <c r="D13" i="11"/>
  <c r="C13" i="11" s="1"/>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283" i="3"/>
  <c r="E535" i="3"/>
  <c r="E443" i="3"/>
  <c r="E265" i="3"/>
  <c r="E194" i="3"/>
  <c r="AM6" i="3"/>
  <c r="E78" i="3"/>
  <c r="E337" i="3"/>
  <c r="E23" i="3"/>
  <c r="E156" i="3"/>
  <c r="E49" i="3"/>
  <c r="E193" i="3"/>
  <c r="E414" i="3"/>
  <c r="E94" i="3"/>
  <c r="E534" i="3"/>
  <c r="E149" i="3"/>
  <c r="E253" i="3"/>
  <c r="R6" i="3"/>
  <c r="E549" i="3"/>
  <c r="E54" i="3"/>
  <c r="AH6" i="3"/>
  <c r="I3" i="6"/>
  <c r="E213" i="3"/>
  <c r="E84" i="3"/>
  <c r="E292" i="3"/>
  <c r="E397" i="3"/>
  <c r="E431" i="3"/>
  <c r="E60" i="3"/>
  <c r="E47" i="3"/>
  <c r="E38" i="3"/>
  <c r="E178" i="3"/>
  <c r="E184" i="3"/>
  <c r="E313" i="3"/>
  <c r="E48" i="3"/>
  <c r="E473" i="3"/>
  <c r="E405" i="3"/>
  <c r="E455" i="3"/>
  <c r="E232" i="3"/>
  <c r="E190" i="3"/>
  <c r="E79" i="3"/>
  <c r="E507" i="3"/>
  <c r="E233" i="3"/>
  <c r="E272" i="3"/>
  <c r="L6" i="3"/>
  <c r="E402" i="3"/>
  <c r="E25" i="3"/>
  <c r="E116" i="3"/>
  <c r="E255" i="3"/>
  <c r="E479" i="3"/>
  <c r="E465" i="3"/>
  <c r="E145" i="3"/>
  <c r="E276" i="3"/>
  <c r="E243" i="3"/>
  <c r="E347" i="3"/>
  <c r="E526" i="3"/>
  <c r="E448" i="3"/>
  <c r="E58" i="3"/>
  <c r="E540" i="3"/>
  <c r="E121" i="3"/>
  <c r="E285" i="3"/>
  <c r="AI6" i="3"/>
  <c r="E123" i="3"/>
  <c r="E433" i="3"/>
  <c r="E234" i="3"/>
  <c r="E76" i="3"/>
  <c r="E300" i="3"/>
  <c r="E176" i="3"/>
  <c r="E271" i="3"/>
  <c r="E530"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297" i="3"/>
  <c r="E471" i="3"/>
  <c r="E408" i="3"/>
  <c r="E238" i="3"/>
  <c r="E104" i="3"/>
  <c r="E296" i="3"/>
  <c r="E492" i="3"/>
  <c r="E187" i="3"/>
  <c r="E294" i="3"/>
  <c r="E89" i="3"/>
  <c r="E199" i="3"/>
  <c r="E64" i="3"/>
  <c r="E170" i="3"/>
  <c r="E435" i="3"/>
  <c r="E343" i="3"/>
  <c r="E32" i="3"/>
  <c r="E218" i="3"/>
  <c r="E410" i="3"/>
  <c r="E447" i="3"/>
  <c r="E110" i="3"/>
  <c r="E109" i="3"/>
  <c r="Q6" i="3"/>
  <c r="E174" i="3"/>
  <c r="E148" i="3"/>
  <c r="E500" i="3"/>
  <c r="E98" i="3"/>
  <c r="E412" i="3"/>
  <c r="AE6" i="3"/>
  <c r="E398" i="3"/>
  <c r="E293" i="3"/>
  <c r="E113" i="3"/>
  <c r="E37" i="3"/>
  <c r="E111" i="3"/>
  <c r="E257" i="3"/>
  <c r="E39" i="3"/>
  <c r="O6" i="3"/>
  <c r="E67" i="3"/>
  <c r="E288" i="3"/>
  <c r="E207" i="3"/>
  <c r="E486" i="3"/>
  <c r="E88" i="3"/>
  <c r="E196" i="3"/>
  <c r="E264" i="3"/>
  <c r="E220" i="3"/>
  <c r="E308" i="3"/>
  <c r="V6" i="3"/>
  <c r="E453" i="3"/>
  <c r="E96" i="3"/>
  <c r="AG6" i="3"/>
  <c r="E162" i="3"/>
  <c r="E242" i="3"/>
  <c r="E419" i="3"/>
  <c r="E229" i="3"/>
  <c r="E87" i="3"/>
  <c r="E386" i="3"/>
  <c r="E191" i="3"/>
  <c r="E29" i="3"/>
  <c r="E188" i="3"/>
  <c r="E355"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427" i="3"/>
  <c r="E158" i="3"/>
  <c r="E472" i="3"/>
  <c r="E249" i="3"/>
  <c r="E125" i="3"/>
  <c r="E452" i="3"/>
  <c r="E463" i="3"/>
  <c r="AP6" i="3"/>
  <c r="E462" i="3"/>
  <c r="E75" i="3"/>
  <c r="E151" i="3"/>
  <c r="E482" i="3"/>
  <c r="E438" i="3"/>
  <c r="W6" i="3"/>
  <c r="E189" i="3"/>
  <c r="E401" i="3"/>
  <c r="E467" i="3"/>
  <c r="E204" i="3"/>
  <c r="E393" i="3"/>
  <c r="E543" i="3"/>
  <c r="E259" i="3"/>
  <c r="E517" i="3"/>
  <c r="E105" i="3"/>
  <c r="E160" i="3"/>
  <c r="E235" i="3"/>
  <c r="E302" i="3"/>
  <c r="E458" i="3"/>
  <c r="E555" i="3"/>
  <c r="E306" i="3"/>
  <c r="E538" i="3"/>
  <c r="E403" i="3"/>
  <c r="E217" i="3"/>
  <c r="E177" i="3"/>
  <c r="E307" i="3"/>
  <c r="E90" i="3"/>
  <c r="E210" i="3"/>
  <c r="E106" i="3"/>
  <c r="E169" i="3"/>
  <c r="E226" i="3"/>
  <c r="E163" i="3"/>
  <c r="E351" i="3"/>
  <c r="AL6" i="3"/>
  <c r="E384" i="3"/>
  <c r="E566" i="3"/>
  <c r="E510" i="3"/>
  <c r="E487" i="3"/>
  <c r="E273" i="3"/>
  <c r="E406" i="3"/>
  <c r="S6" i="3"/>
  <c r="E112" i="3"/>
  <c r="E137" i="3"/>
  <c r="E377" i="3"/>
  <c r="E175" i="3"/>
  <c r="E484" i="3"/>
  <c r="E20" i="3"/>
  <c r="E503" i="3"/>
  <c r="E183" i="3"/>
  <c r="E561" i="3"/>
  <c r="E41" i="3"/>
  <c r="E92" i="3"/>
  <c r="E44" i="3"/>
  <c r="E376" i="3"/>
  <c r="E225" i="3"/>
  <c r="E201" i="3"/>
  <c r="E140" i="3"/>
  <c r="E490" i="3"/>
  <c r="E547" i="3"/>
  <c r="E468" i="3"/>
  <c r="E63" i="3"/>
  <c r="E119" i="3"/>
  <c r="E27" i="3"/>
  <c r="E422" i="3"/>
  <c r="E289" i="3"/>
  <c r="E560" i="3"/>
  <c r="E303" i="3"/>
  <c r="E203" i="3"/>
  <c r="E429" i="3"/>
  <c r="E258" i="3"/>
  <c r="E417" i="3"/>
  <c r="E154" i="3"/>
  <c r="E370" i="3"/>
  <c r="E400" i="3"/>
  <c r="E74" i="3"/>
  <c r="E134" i="3"/>
  <c r="E61" i="3"/>
  <c r="E66" i="3"/>
  <c r="E128" i="3"/>
  <c r="E379" i="3"/>
  <c r="E508" i="3"/>
  <c r="E334" i="3"/>
  <c r="E325" i="3"/>
  <c r="E396" i="3"/>
  <c r="E216" i="3"/>
  <c r="E392" i="3"/>
  <c r="E373" i="3"/>
  <c r="E360" i="3"/>
  <c r="T6" i="3"/>
  <c r="E144" i="3"/>
  <c r="E219" i="3"/>
  <c r="E506" i="3"/>
  <c r="E571" i="3"/>
  <c r="E512" i="3"/>
  <c r="E167" i="3"/>
  <c r="E572" i="3"/>
  <c r="E567" i="3"/>
  <c r="E494" i="3"/>
  <c r="E227" i="3"/>
  <c r="E26" i="3"/>
  <c r="E254" i="3"/>
  <c r="E71" i="3"/>
  <c r="E17" i="3"/>
  <c r="E316" i="3"/>
  <c r="E382" i="3"/>
  <c r="E509" i="3"/>
  <c r="E380" i="3"/>
  <c r="E481" i="3"/>
  <c r="E369" i="3"/>
  <c r="E287" i="3"/>
  <c r="E558" i="3"/>
  <c r="E436" i="3"/>
  <c r="E432" i="3"/>
  <c r="E153" i="3"/>
  <c r="E14" i="3"/>
  <c r="E378" i="3"/>
  <c r="E342" i="3"/>
  <c r="E368" i="3"/>
  <c r="E553" i="3"/>
  <c r="AB6" i="3"/>
  <c r="E244" i="3"/>
  <c r="E268" i="3"/>
  <c r="E358" i="3"/>
  <c r="E356" i="3"/>
  <c r="E274" i="3"/>
  <c r="E33" i="3"/>
  <c r="E129" i="3"/>
  <c r="E469" i="3"/>
  <c r="E425" i="3"/>
  <c r="E102" i="3"/>
  <c r="E372" i="3"/>
  <c r="E279" i="3"/>
  <c r="E477" i="3"/>
  <c r="E224" i="3"/>
  <c r="E529" i="3"/>
  <c r="E502" i="3"/>
  <c r="E286" i="3"/>
  <c r="E45" i="3"/>
  <c r="E284" i="3"/>
  <c r="E181" i="3"/>
  <c r="E338" i="3"/>
  <c r="E518" i="3"/>
  <c r="E371" i="3"/>
  <c r="E516" i="3"/>
  <c r="E542" i="3"/>
  <c r="E322" i="3"/>
  <c r="E240" i="3"/>
  <c r="E318" i="3"/>
  <c r="E564" i="3"/>
  <c r="E395" i="3"/>
  <c r="E381" i="3"/>
  <c r="E278" i="3"/>
  <c r="E202" i="3"/>
  <c r="E387" i="3"/>
  <c r="E537" i="3"/>
  <c r="E460" i="3"/>
  <c r="P6" i="3"/>
  <c r="E536" i="3"/>
  <c r="E426" i="3"/>
  <c r="E70" i="3"/>
  <c r="E545" i="3"/>
  <c r="J6" i="3"/>
  <c r="E53" i="3"/>
  <c r="N6" i="3"/>
  <c r="E363" i="3"/>
  <c r="E420" i="3"/>
  <c r="E275" i="3"/>
  <c r="E166" i="3"/>
  <c r="E107" i="3"/>
  <c r="E214" i="3"/>
  <c r="E449" i="3"/>
  <c r="E480" i="3"/>
  <c r="E416" i="3"/>
  <c r="AQ6" i="3"/>
  <c r="E505" i="3"/>
  <c r="E133" i="3"/>
  <c r="E120" i="3"/>
  <c r="E256" i="3"/>
  <c r="E499" i="3"/>
  <c r="E173" i="3"/>
  <c r="E260" i="3"/>
  <c r="E339" i="3"/>
  <c r="E118" i="3"/>
  <c r="E364" i="3"/>
  <c r="E497" i="3"/>
  <c r="E310" i="3"/>
  <c r="E504" i="3"/>
  <c r="E563" i="3"/>
  <c r="E511" i="3"/>
  <c r="E301" i="3"/>
  <c r="E565" i="3"/>
  <c r="E418" i="3"/>
  <c r="E390" i="3"/>
  <c r="E295" i="3"/>
  <c r="E21" i="3"/>
  <c r="E423" i="3"/>
  <c r="E142" i="3"/>
  <c r="E442" i="3"/>
  <c r="E185" i="3"/>
  <c r="E97" i="3"/>
  <c r="E533" i="3"/>
  <c r="E261" i="3"/>
  <c r="E172" i="3"/>
  <c r="E43" i="3"/>
  <c r="E309" i="3"/>
  <c r="E197" i="3"/>
  <c r="E239" i="3"/>
  <c r="E24" i="3"/>
  <c r="E554" i="3"/>
  <c r="E489" i="3"/>
  <c r="E320" i="3"/>
  <c r="E42" i="3"/>
  <c r="E269" i="3"/>
  <c r="E562" i="3"/>
  <c r="E522" i="3"/>
  <c r="E515" i="3"/>
  <c r="E329" i="3"/>
  <c r="E488" i="3"/>
  <c r="E341" i="3"/>
  <c r="E18" i="3"/>
  <c r="E326" i="3"/>
  <c r="E413" i="3"/>
  <c r="M6" i="3"/>
  <c r="E241" i="3"/>
  <c r="E69" i="3"/>
  <c r="E446" i="3"/>
  <c r="E152" i="3"/>
  <c r="E437" i="3"/>
  <c r="E46" i="3"/>
  <c r="E221" i="3"/>
  <c r="E457" i="3"/>
  <c r="E31" i="3"/>
  <c r="X6" i="3"/>
  <c r="AA6" i="3"/>
  <c r="AD6" i="3"/>
  <c r="E299" i="3"/>
  <c r="E327" i="3"/>
  <c r="E103" i="3"/>
  <c r="E200" i="3"/>
  <c r="E62" i="3"/>
  <c r="E389" i="3"/>
  <c r="E230" i="3"/>
  <c r="E143" i="3"/>
  <c r="E475" i="3"/>
  <c r="E421" i="3"/>
  <c r="E206" i="3"/>
  <c r="E333" i="3"/>
  <c r="E115" i="3"/>
  <c r="E195" i="3"/>
  <c r="E321" i="3"/>
  <c r="E266" i="3"/>
  <c r="I6" i="3"/>
  <c r="Z6" i="3"/>
  <c r="E454" i="3"/>
  <c r="AK6" i="3"/>
  <c r="E476" i="3"/>
  <c r="E192" i="3"/>
  <c r="E114" i="3"/>
  <c r="E348" i="3"/>
  <c r="E93" i="3"/>
  <c r="E55" i="3"/>
  <c r="E570" i="3"/>
  <c r="E409" i="3"/>
  <c r="E124" i="3"/>
  <c r="E388" i="3"/>
  <c r="E146" i="3"/>
  <c r="E434" i="3"/>
  <c r="E57" i="3"/>
  <c r="AY6" i="3"/>
  <c r="E86" i="3"/>
  <c r="E68" i="3"/>
  <c r="E135" i="3"/>
  <c r="E147" i="3"/>
  <c r="E22" i="3"/>
  <c r="E439" i="3"/>
  <c r="E459" i="3"/>
  <c r="E117" i="3"/>
  <c r="E231" i="3"/>
  <c r="E528" i="3"/>
  <c r="E470" i="3"/>
  <c r="E349" i="3"/>
  <c r="E186" i="3"/>
  <c r="E311" i="3"/>
  <c r="E263" i="3"/>
  <c r="E424" i="3"/>
  <c r="E82" i="3"/>
  <c r="E164" i="3"/>
  <c r="E99" i="3"/>
  <c r="E262" i="3"/>
  <c r="E101" i="3"/>
  <c r="AO6" i="3"/>
  <c r="E132" i="3"/>
  <c r="E91" i="3"/>
  <c r="E359" i="3"/>
  <c r="E391" i="3"/>
  <c r="E127" i="3"/>
  <c r="E215" i="3"/>
  <c r="E548" i="3"/>
  <c r="E520" i="3"/>
  <c r="E394" i="3"/>
  <c r="E282" i="3"/>
  <c r="E375" i="3"/>
  <c r="E83" i="3"/>
  <c r="E222" i="3"/>
  <c r="E430" i="3"/>
  <c r="E77" i="3"/>
  <c r="E552" i="3"/>
  <c r="E13" i="3"/>
  <c r="O28" i="46"/>
  <c r="G20" i="46" s="1"/>
  <c r="F12" i="39"/>
  <c r="S12" i="39" s="1"/>
  <c r="J12" i="39"/>
  <c r="W12" i="39" s="1"/>
  <c r="H12" i="39"/>
  <c r="U12" i="39" s="1"/>
  <c r="E67" i="40"/>
  <c r="F65" i="40"/>
  <c r="F12" i="40"/>
  <c r="AA12" i="40" s="1"/>
  <c r="F70" i="39"/>
  <c r="E72" i="39"/>
  <c r="E48" i="21"/>
  <c r="R49" i="21"/>
  <c r="G53" i="21"/>
  <c r="H53" i="21" s="1"/>
  <c r="G52" i="21"/>
  <c r="H52" i="21" s="1"/>
  <c r="M28" i="46"/>
  <c r="N28" i="46"/>
  <c r="B40" i="1"/>
  <c r="F24" i="15" s="1"/>
  <c r="C24" i="15" s="1"/>
  <c r="F17" i="11"/>
  <c r="C17" i="11" s="1"/>
  <c r="C19" i="11" s="1"/>
  <c r="C20" i="11" s="1"/>
  <c r="C21" i="11" s="1"/>
  <c r="C22" i="11" s="1"/>
  <c r="C23" i="11" s="1"/>
  <c r="B2" i="11" s="1"/>
  <c r="E41" i="46"/>
  <c r="C41" i="46" s="1"/>
  <c r="C39" i="46" s="1"/>
  <c r="G39" i="46" s="1"/>
  <c r="I39" i="46" s="1"/>
  <c r="C20" i="46"/>
  <c r="C36" i="46" s="1"/>
  <c r="S5" i="46"/>
  <c r="S2" i="46"/>
  <c r="S3" i="46"/>
  <c r="S7" i="46"/>
  <c r="S6" i="46"/>
  <c r="S4" i="46"/>
  <c r="K16" i="1"/>
  <c r="M14" i="1"/>
  <c r="M19" i="6"/>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C52" i="15"/>
  <c r="C47" i="15" s="1"/>
  <c r="C10" i="15"/>
  <c r="C5" i="15" s="1"/>
  <c r="F41" i="15"/>
  <c r="C17" i="15"/>
  <c r="J24" i="15" l="1"/>
  <c r="J18" i="15"/>
  <c r="F68" i="15"/>
  <c r="J29" i="15"/>
  <c r="S16" i="1"/>
  <c r="T11" i="1" s="1"/>
  <c r="K27" i="6"/>
  <c r="J20" i="44"/>
  <c r="J26" i="44"/>
  <c r="C40" i="44"/>
  <c r="U12" i="40"/>
  <c r="AC12" i="39"/>
  <c r="AB12" i="39"/>
  <c r="AA12" i="3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49" i="3"/>
  <c r="AY69" i="3"/>
  <c r="AY88" i="3"/>
  <c r="AY26" i="3"/>
  <c r="AY129" i="3"/>
  <c r="AY529" i="3"/>
  <c r="AY104" i="3"/>
  <c r="AY53" i="3"/>
  <c r="AY74" i="3"/>
  <c r="AY98" i="3"/>
  <c r="AY106" i="3"/>
  <c r="AY217" i="3"/>
  <c r="AY291" i="3"/>
  <c r="AY383" i="3"/>
  <c r="AY427" i="3"/>
  <c r="AY422" i="3"/>
  <c r="AY170" i="3"/>
  <c r="AY214" i="3"/>
  <c r="AY476" i="3"/>
  <c r="AY116" i="3"/>
  <c r="AY258" i="3"/>
  <c r="AY315" i="3"/>
  <c r="AY256" i="3"/>
  <c r="AY81"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61" i="3"/>
  <c r="AY146" i="3"/>
  <c r="AY324" i="3"/>
  <c r="AY39" i="3"/>
  <c r="AY366" i="3"/>
  <c r="AY548" i="3"/>
  <c r="AY168" i="3"/>
  <c r="AY464" i="3"/>
  <c r="AY295" i="3"/>
  <c r="AY37" i="3"/>
  <c r="AY95" i="3"/>
  <c r="AY45" i="3"/>
  <c r="AY384" i="3"/>
  <c r="AY202" i="3"/>
  <c r="AY398" i="3"/>
  <c r="AY348" i="3"/>
  <c r="AY24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D3" i="6"/>
  <c r="B5" i="11" s="1"/>
  <c r="AY277" i="3"/>
  <c r="AY169" i="3"/>
  <c r="AY30" i="3"/>
  <c r="AY16" i="3"/>
  <c r="AY253" i="3"/>
  <c r="AY525" i="3"/>
  <c r="AY386" i="3"/>
  <c r="AY445" i="3"/>
  <c r="AY224" i="3"/>
  <c r="AY430" i="3"/>
  <c r="AY207" i="3"/>
  <c r="AY259" i="3"/>
  <c r="AY365" i="3"/>
  <c r="AY29" i="3"/>
  <c r="AY319" i="3"/>
  <c r="AY388" i="3"/>
  <c r="AY415" i="3"/>
  <c r="AY208" i="3"/>
  <c r="AY447" i="3"/>
  <c r="AY483" i="3"/>
  <c r="AY60" i="3"/>
  <c r="AY322" i="3"/>
  <c r="BO6" i="3"/>
  <c r="AY210" i="3"/>
  <c r="BI6" i="3"/>
  <c r="AY263" i="3"/>
  <c r="AY19" i="3"/>
  <c r="AY347" i="3"/>
  <c r="AY533" i="3"/>
  <c r="AY462" i="3"/>
  <c r="AY536" i="3"/>
  <c r="AY523" i="3"/>
  <c r="AY41" i="3"/>
  <c r="AY504" i="3"/>
  <c r="AY175" i="3"/>
  <c r="AY467" i="3"/>
  <c r="AY139" i="3"/>
  <c r="AY70" i="3"/>
  <c r="BK6" i="3"/>
  <c r="AY435"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203" i="3"/>
  <c r="AY83" i="3"/>
  <c r="AY425" i="3"/>
  <c r="AY286" i="3"/>
  <c r="AY72" i="3"/>
  <c r="AY194" i="3"/>
  <c r="AY278" i="3"/>
  <c r="AY35" i="3"/>
  <c r="AY92" i="3"/>
  <c r="AY187" i="3"/>
  <c r="AY335" i="3"/>
  <c r="AY369" i="3"/>
  <c r="AY320" i="3"/>
  <c r="AY154" i="3"/>
  <c r="AY409" i="3"/>
  <c r="AY138" i="3"/>
  <c r="AY166" i="3"/>
  <c r="AY323" i="3"/>
  <c r="AY518" i="3"/>
  <c r="AY503" i="3"/>
  <c r="AY299" i="3"/>
  <c r="AY185" i="3"/>
  <c r="AY108" i="3"/>
  <c r="AY40" i="3"/>
  <c r="AY189" i="3"/>
  <c r="AY468" i="3"/>
  <c r="AY469" i="3"/>
  <c r="AY231" i="3"/>
  <c r="AY470" i="3"/>
  <c r="AY102" i="3"/>
  <c r="AY94" i="3"/>
  <c r="AY517" i="3"/>
  <c r="AY82" i="3"/>
  <c r="AY128" i="3"/>
  <c r="AY182" i="3"/>
  <c r="AY264" i="3"/>
  <c r="AY479" i="3"/>
  <c r="AY364" i="3"/>
  <c r="AY238" i="3"/>
  <c r="AY11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521" i="3"/>
  <c r="BE6" i="3"/>
  <c r="AY508" i="3"/>
  <c r="H6" i="3"/>
  <c r="AC6" i="3"/>
  <c r="C48" i="21"/>
  <c r="C49" i="21"/>
  <c r="B3" i="21" s="1"/>
  <c r="E53" i="21"/>
  <c r="F53" i="21" s="1"/>
  <c r="E52" i="21"/>
  <c r="I53" i="21"/>
  <c r="J53" i="21" s="1"/>
  <c r="F67" i="40"/>
  <c r="G65" i="40"/>
  <c r="S12" i="40"/>
  <c r="F7" i="36"/>
  <c r="AA7" i="36" s="1"/>
  <c r="R36" i="36" s="1"/>
  <c r="F72" i="39"/>
  <c r="G70" i="39"/>
  <c r="C33" i="46"/>
  <c r="G33" i="46" s="1"/>
  <c r="I33" i="46" s="1"/>
  <c r="T4" i="46"/>
  <c r="V4" i="46" s="1"/>
  <c r="T2" i="46"/>
  <c r="V2" i="46" s="1"/>
  <c r="C37" i="46"/>
  <c r="G37" i="46" s="1"/>
  <c r="I37" i="46" s="1"/>
  <c r="T7" i="46"/>
  <c r="V7" i="46" s="1"/>
  <c r="C34" i="46"/>
  <c r="E34" i="46" s="1"/>
  <c r="F21" i="43"/>
  <c r="C23" i="43" s="1"/>
  <c r="D21" i="43"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2" i="1"/>
  <c r="O14" i="1"/>
  <c r="O16" i="1" s="1"/>
  <c r="T7" i="1"/>
  <c r="T6" i="1"/>
  <c r="H48" i="35"/>
  <c r="E52" i="33"/>
  <c r="F52" i="33" s="1"/>
  <c r="E53" i="33"/>
  <c r="F53" i="33" s="1"/>
  <c r="I53" i="33"/>
  <c r="J53" i="33" s="1"/>
  <c r="W7" i="34"/>
  <c r="AC7" i="34"/>
  <c r="V49" i="34" s="1"/>
  <c r="I49" i="34" s="1"/>
  <c r="S7" i="34"/>
  <c r="AA7" i="34"/>
  <c r="R49" i="34" s="1"/>
  <c r="H7" i="36"/>
  <c r="C49" i="33"/>
  <c r="C48" i="33"/>
  <c r="AB7" i="34"/>
  <c r="T49" i="34" s="1"/>
  <c r="G49" i="34" s="1"/>
  <c r="U7" i="34"/>
  <c r="H52" i="37"/>
  <c r="J7" i="36"/>
  <c r="G36" i="46"/>
  <c r="I36" i="46" s="1"/>
  <c r="E36" i="46"/>
  <c r="C32" i="15"/>
  <c r="C38" i="15"/>
  <c r="B3" i="11"/>
  <c r="C59" i="15"/>
  <c r="C65" i="15"/>
  <c r="Q49" i="44"/>
  <c r="Q55" i="44" s="1"/>
  <c r="Q67" i="44"/>
  <c r="Q58" i="44"/>
  <c r="L52" i="44"/>
  <c r="AE6" i="1"/>
  <c r="C14" i="15"/>
  <c r="G38" i="46" l="1"/>
  <c r="I38" i="46" s="1"/>
  <c r="S7" i="36"/>
  <c r="B3" i="33"/>
  <c r="B2" i="33" s="1"/>
  <c r="M4" i="12"/>
  <c r="O7" i="12" s="1"/>
  <c r="D8" i="12" s="1"/>
  <c r="T8" i="1"/>
  <c r="T10" i="1"/>
  <c r="B4" i="11"/>
  <c r="B2" i="21"/>
  <c r="C8" i="12"/>
  <c r="C10" i="12" s="1"/>
  <c r="Q69" i="44"/>
  <c r="L58" i="44"/>
  <c r="L61" i="44" s="1"/>
  <c r="L47" i="44" s="1"/>
  <c r="F52" i="21"/>
  <c r="E37" i="46"/>
  <c r="E6" i="3"/>
  <c r="T16" i="1"/>
  <c r="C22" i="4"/>
  <c r="D10" i="6"/>
  <c r="D6" i="6"/>
  <c r="D20" i="6"/>
  <c r="F45" i="9"/>
  <c r="D26" i="6"/>
  <c r="H20" i="6"/>
  <c r="D29" i="6"/>
  <c r="F46" i="9"/>
  <c r="E63" i="40"/>
  <c r="D25" i="6"/>
  <c r="H24" i="6"/>
  <c r="D28" i="6"/>
  <c r="E45" i="9"/>
  <c r="D19" i="6"/>
  <c r="D13" i="6"/>
  <c r="D23" i="6"/>
  <c r="D8" i="6"/>
  <c r="E68" i="39"/>
  <c r="D22" i="6"/>
  <c r="H25" i="6"/>
  <c r="H22" i="6"/>
  <c r="E46" i="9"/>
  <c r="D21" i="6"/>
  <c r="H21" i="6"/>
  <c r="D14" i="6"/>
  <c r="H23" i="6"/>
  <c r="K38" i="9"/>
  <c r="C14" i="66" s="1"/>
  <c r="B2" i="66" s="1"/>
  <c r="D11" i="6"/>
  <c r="D9" i="6"/>
  <c r="D15" i="6"/>
  <c r="D24" i="6"/>
  <c r="R24" i="6" s="1"/>
  <c r="D12" i="6"/>
  <c r="D5" i="6"/>
  <c r="H26" i="6"/>
  <c r="P14" i="1"/>
  <c r="P16" i="1" s="1"/>
  <c r="C13" i="12" s="1"/>
  <c r="C17" i="12" s="1"/>
  <c r="H70" i="39"/>
  <c r="G72" i="39"/>
  <c r="H65" i="40"/>
  <c r="G67" i="40"/>
  <c r="E33" i="46"/>
  <c r="G34" i="46"/>
  <c r="I34" i="46" s="1"/>
  <c r="E29" i="46"/>
  <c r="C30" i="46"/>
  <c r="E30" i="46" s="1"/>
  <c r="E35" i="46"/>
  <c r="G35" i="46"/>
  <c r="I35" i="46" s="1"/>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F7" i="67"/>
  <c r="C16" i="44"/>
  <c r="C17" i="44" l="1"/>
  <c r="C20" i="44"/>
  <c r="D30" i="6"/>
  <c r="Q59" i="44"/>
  <c r="Q64" i="44" s="1"/>
  <c r="Q68" i="44"/>
  <c r="Q77" i="44" s="1"/>
  <c r="D27" i="6"/>
  <c r="D16" i="6"/>
  <c r="C14" i="12"/>
  <c r="C18" i="12" s="1"/>
  <c r="C23" i="12" s="1"/>
  <c r="R25" i="6"/>
  <c r="R21" i="6"/>
  <c r="R22" i="6"/>
  <c r="R26" i="6"/>
  <c r="R20" i="6"/>
  <c r="R7" i="1" s="1"/>
  <c r="D8" i="66"/>
  <c r="D7" i="66"/>
  <c r="A6" i="64"/>
  <c r="A20" i="51"/>
  <c r="B15" i="63" s="1"/>
  <c r="A6" i="51"/>
  <c r="B7" i="63" s="1"/>
  <c r="A20" i="64"/>
  <c r="N5" i="54"/>
  <c r="B43" i="63" s="1"/>
  <c r="R23" i="6"/>
  <c r="H72" i="39"/>
  <c r="I70" i="39"/>
  <c r="I65" i="40"/>
  <c r="H67" i="40"/>
  <c r="C26" i="46"/>
  <c r="C27" i="46"/>
  <c r="E4" i="67"/>
  <c r="C19" i="15"/>
  <c r="C20" i="15" s="1"/>
  <c r="C26" i="15" s="1"/>
  <c r="C14" i="43"/>
  <c r="C17" i="43"/>
  <c r="H27" i="6"/>
  <c r="R19" i="6"/>
  <c r="R6" i="1" s="1"/>
  <c r="R16" i="1" s="1"/>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F35" i="15"/>
  <c r="M21" i="15"/>
  <c r="D31" i="6" l="1"/>
  <c r="I6" i="6" s="1"/>
  <c r="C21" i="44"/>
  <c r="C22" i="44" s="1"/>
  <c r="C25" i="44" s="1"/>
  <c r="J20" i="15"/>
  <c r="F62" i="15"/>
  <c r="C61" i="15" s="1"/>
  <c r="C34" i="15"/>
  <c r="R27" i="6"/>
  <c r="I5" i="6"/>
  <c r="J70" i="39"/>
  <c r="I72" i="39"/>
  <c r="I67" i="40"/>
  <c r="J65" i="40"/>
  <c r="E3" i="67"/>
  <c r="B2" i="46"/>
  <c r="D4" i="46" s="1"/>
  <c r="C18" i="43"/>
  <c r="C19" i="43" s="1"/>
  <c r="C25" i="43" s="1"/>
  <c r="C24" i="43" s="1"/>
  <c r="C23" i="15"/>
  <c r="C29" i="15" s="1"/>
  <c r="C36" i="15" s="1"/>
  <c r="K48" i="35"/>
  <c r="L48" i="35" s="1"/>
  <c r="M48" i="35" s="1"/>
  <c r="N48" i="35" s="1"/>
  <c r="O48" i="35" s="1"/>
  <c r="K52" i="37"/>
  <c r="B7" i="67"/>
  <c r="J7" i="35" l="1"/>
  <c r="AC7" i="35" s="1"/>
  <c r="V38" i="35" s="1"/>
  <c r="I38" i="35" s="1"/>
  <c r="C28" i="44"/>
  <c r="C31" i="44" s="1"/>
  <c r="Q51" i="44" s="1"/>
  <c r="J67" i="40"/>
  <c r="K65" i="40"/>
  <c r="J72" i="39"/>
  <c r="K70" i="39"/>
  <c r="B3" i="46"/>
  <c r="B4" i="46"/>
  <c r="B2" i="67"/>
  <c r="B4" i="67" s="1"/>
  <c r="J59" i="15"/>
  <c r="J60" i="15" s="1"/>
  <c r="Q49" i="15" s="1"/>
  <c r="C13" i="15"/>
  <c r="J35" i="15" s="1"/>
  <c r="C33" i="15"/>
  <c r="C31" i="15" s="1"/>
  <c r="C56" i="15"/>
  <c r="C60" i="15" s="1"/>
  <c r="C58" i="15" s="1"/>
  <c r="Q50" i="15"/>
  <c r="J19" i="15"/>
  <c r="J17" i="15" s="1"/>
  <c r="J14" i="15"/>
  <c r="J13" i="15" s="1"/>
  <c r="J23" i="15" s="1"/>
  <c r="C22" i="43"/>
  <c r="C21" i="43" s="1"/>
  <c r="C28" i="43" s="1"/>
  <c r="C30" i="43" s="1"/>
  <c r="C32" i="43" s="1"/>
  <c r="B2" i="43" s="1"/>
  <c r="L52" i="37"/>
  <c r="F7" i="35"/>
  <c r="H7" i="35"/>
  <c r="W7" i="35" l="1"/>
  <c r="C38" i="44"/>
  <c r="J16" i="44"/>
  <c r="J24" i="44" s="1"/>
  <c r="J21" i="44"/>
  <c r="J19" i="44" s="1"/>
  <c r="C15" i="44"/>
  <c r="Q72" i="44" s="1"/>
  <c r="C35" i="44"/>
  <c r="C33" i="44" s="1"/>
  <c r="K72" i="39"/>
  <c r="L70" i="39"/>
  <c r="K67" i="40"/>
  <c r="L65" i="40"/>
  <c r="J22" i="15"/>
  <c r="J16" i="15" s="1"/>
  <c r="J25" i="15" s="1"/>
  <c r="B3" i="67"/>
  <c r="C55" i="15"/>
  <c r="C64" i="15" s="1"/>
  <c r="C63" i="15"/>
  <c r="C37" i="15"/>
  <c r="C30" i="15" s="1"/>
  <c r="C39" i="15" s="1"/>
  <c r="C40" i="15" s="1"/>
  <c r="Q71" i="15"/>
  <c r="B4" i="43"/>
  <c r="B5" i="43"/>
  <c r="B3" i="43"/>
  <c r="AB7" i="35"/>
  <c r="T38" i="35" s="1"/>
  <c r="G38" i="35" s="1"/>
  <c r="U7" i="35"/>
  <c r="AA7" i="35"/>
  <c r="R38" i="35" s="1"/>
  <c r="S7" i="35"/>
  <c r="M52" i="37"/>
  <c r="I42" i="35"/>
  <c r="J42" i="35" s="1"/>
  <c r="J15" i="44" l="1"/>
  <c r="J25" i="44" s="1"/>
  <c r="J18" i="44" s="1"/>
  <c r="J27" i="44" s="1"/>
  <c r="C39" i="44"/>
  <c r="C32" i="44" s="1"/>
  <c r="C42" i="44" s="1"/>
  <c r="Q71" i="44" s="1"/>
  <c r="Q70" i="44" s="1"/>
  <c r="C43" i="44"/>
  <c r="L67" i="40"/>
  <c r="M65" i="40"/>
  <c r="M70" i="39"/>
  <c r="L72" i="39"/>
  <c r="C57" i="15"/>
  <c r="C66" i="15" s="1"/>
  <c r="C67" i="15" s="1"/>
  <c r="C70" i="15" s="1"/>
  <c r="J39" i="15"/>
  <c r="J40" i="15" s="1"/>
  <c r="Q70" i="15"/>
  <c r="Q69" i="15" s="1"/>
  <c r="L57" i="15"/>
  <c r="L60" i="15" s="1"/>
  <c r="Q58" i="15" s="1"/>
  <c r="C43" i="15"/>
  <c r="Q48" i="15"/>
  <c r="Q54" i="15" s="1"/>
  <c r="Q57" i="15"/>
  <c r="Q66" i="15"/>
  <c r="J42" i="15"/>
  <c r="J43" i="15" s="1"/>
  <c r="N52" i="37"/>
  <c r="O52" i="37" s="1"/>
  <c r="R39" i="35"/>
  <c r="E38" i="35"/>
  <c r="G42" i="35"/>
  <c r="H42" i="35" s="1"/>
  <c r="G43" i="35"/>
  <c r="H43" i="35" s="1"/>
  <c r="L51" i="15"/>
  <c r="Q68" i="15" l="1"/>
  <c r="F7" i="37"/>
  <c r="AA7" i="37" s="1"/>
  <c r="R42" i="37" s="1"/>
  <c r="C44" i="44"/>
  <c r="C45" i="44" s="1"/>
  <c r="B2" i="44" s="1"/>
  <c r="B5" i="44" s="1"/>
  <c r="N70" i="39"/>
  <c r="N72" i="39" s="1"/>
  <c r="M72" i="39"/>
  <c r="N65" i="40"/>
  <c r="N67" i="40" s="1"/>
  <c r="H9" i="40" s="1"/>
  <c r="M67" i="40"/>
  <c r="F9" i="40"/>
  <c r="J9" i="40"/>
  <c r="C46" i="15"/>
  <c r="Q63" i="15"/>
  <c r="Q67" i="15"/>
  <c r="Q76" i="15" s="1"/>
  <c r="L46" i="15"/>
  <c r="B2" i="15" s="1"/>
  <c r="B3" i="15" s="1"/>
  <c r="S7" i="37"/>
  <c r="E43" i="35"/>
  <c r="F43" i="35" s="1"/>
  <c r="E42" i="35"/>
  <c r="F42" i="35" s="1"/>
  <c r="I43" i="35"/>
  <c r="J43" i="35" s="1"/>
  <c r="C39" i="35"/>
  <c r="B3" i="35" s="1"/>
  <c r="B2" i="35" s="1"/>
  <c r="C38" i="35"/>
  <c r="H7" i="37"/>
  <c r="J7" i="37"/>
  <c r="F9" i="39" l="1"/>
  <c r="AA9" i="39" s="1"/>
  <c r="R49" i="39" s="1"/>
  <c r="B3" i="44"/>
  <c r="B4" i="44"/>
  <c r="D10" i="12"/>
  <c r="C6" i="12" s="1"/>
  <c r="AB9" i="40"/>
  <c r="T44" i="40" s="1"/>
  <c r="G44" i="40" s="1"/>
  <c r="U9" i="40"/>
  <c r="S9" i="40"/>
  <c r="AA9" i="40"/>
  <c r="R44" i="40" s="1"/>
  <c r="J9" i="39"/>
  <c r="W9" i="40"/>
  <c r="AC9" i="40"/>
  <c r="V44" i="40" s="1"/>
  <c r="I44" i="40" s="1"/>
  <c r="I48" i="40" s="1"/>
  <c r="J48" i="40" s="1"/>
  <c r="H9" i="39"/>
  <c r="W7" i="37"/>
  <c r="AC7" i="37"/>
  <c r="V42" i="37" s="1"/>
  <c r="I42" i="37" s="1"/>
  <c r="AB7" i="37"/>
  <c r="T42" i="37" s="1"/>
  <c r="G42" i="37" s="1"/>
  <c r="U7" i="37"/>
  <c r="E42" i="37"/>
  <c r="R43" i="37"/>
  <c r="S9" i="39" l="1"/>
  <c r="C29" i="12"/>
  <c r="C24" i="12"/>
  <c r="C35" i="12" s="1"/>
  <c r="C33" i="12" s="1"/>
  <c r="E44" i="40"/>
  <c r="R45" i="40"/>
  <c r="AB9" i="39"/>
  <c r="T49" i="39" s="1"/>
  <c r="G49" i="39" s="1"/>
  <c r="U9" i="39"/>
  <c r="AC9" i="39"/>
  <c r="V49" i="39" s="1"/>
  <c r="I49" i="39" s="1"/>
  <c r="W9" i="39"/>
  <c r="E49" i="39"/>
  <c r="G49" i="40"/>
  <c r="H49" i="40" s="1"/>
  <c r="G48" i="40"/>
  <c r="H48" i="40" s="1"/>
  <c r="C43" i="37"/>
  <c r="B3" i="37" s="1"/>
  <c r="B2" i="37" s="1"/>
  <c r="C42" i="37"/>
  <c r="I46" i="37"/>
  <c r="J46" i="37" s="1"/>
  <c r="I47" i="37"/>
  <c r="J47" i="37" s="1"/>
  <c r="E47" i="37"/>
  <c r="F47" i="37" s="1"/>
  <c r="E46" i="37"/>
  <c r="F46" i="37" s="1"/>
  <c r="G46" i="37"/>
  <c r="H46" i="37" s="1"/>
  <c r="G47" i="37"/>
  <c r="H47" i="37" s="1"/>
  <c r="C28" i="12" l="1"/>
  <c r="C26" i="12" s="1"/>
  <c r="C31" i="12" s="1"/>
  <c r="C30" i="12" s="1"/>
  <c r="C36" i="12" s="1"/>
  <c r="B2" i="12" s="1"/>
  <c r="B5" i="12" s="1"/>
  <c r="R50" i="39"/>
  <c r="C50" i="39" s="1"/>
  <c r="E53" i="39"/>
  <c r="F53" i="39" s="1"/>
  <c r="E54" i="39"/>
  <c r="F54" i="39" s="1"/>
  <c r="C45" i="40"/>
  <c r="C44" i="40"/>
  <c r="G54" i="39"/>
  <c r="H54" i="39" s="1"/>
  <c r="G53" i="39"/>
  <c r="H53" i="39" s="1"/>
  <c r="I53" i="39"/>
  <c r="J53" i="39" s="1"/>
  <c r="I54" i="39"/>
  <c r="J54" i="39" s="1"/>
  <c r="I49" i="40"/>
  <c r="J49" i="40" s="1"/>
  <c r="E48" i="40"/>
  <c r="F48" i="40" s="1"/>
  <c r="E49" i="40"/>
  <c r="F49" i="40" s="1"/>
  <c r="D19" i="9"/>
  <c r="B4" i="12" l="1"/>
  <c r="B3" i="12"/>
  <c r="L44" i="9"/>
  <c r="C49" i="39"/>
  <c r="B59" i="39"/>
  <c r="F59" i="39" s="1"/>
  <c r="B65" i="39"/>
  <c r="F65" i="39" s="1"/>
  <c r="B63" i="39"/>
  <c r="F63" i="39" s="1"/>
  <c r="B64" i="39"/>
  <c r="F64" i="39" s="1"/>
  <c r="B66" i="39"/>
  <c r="F66" i="39" s="1"/>
  <c r="B61" i="39"/>
  <c r="F61" i="39" s="1"/>
  <c r="B67" i="39"/>
  <c r="F67" i="39" s="1"/>
  <c r="B60" i="39"/>
  <c r="F60" i="39" s="1"/>
  <c r="B62" i="39"/>
  <c r="F62" i="39" s="1"/>
  <c r="B58" i="39"/>
  <c r="F58" i="39" s="1"/>
  <c r="B58" i="40"/>
  <c r="F58" i="40" s="1"/>
  <c r="B54" i="40"/>
  <c r="F54" i="40" s="1"/>
  <c r="B62" i="40"/>
  <c r="F62" i="40" s="1"/>
  <c r="B57" i="40"/>
  <c r="F57" i="40" s="1"/>
  <c r="B56" i="40"/>
  <c r="F56" i="40" s="1"/>
  <c r="B59" i="40"/>
  <c r="F59" i="40" s="1"/>
  <c r="B53" i="40"/>
  <c r="F53" i="40" s="1"/>
  <c r="F63" i="40"/>
  <c r="B2" i="40" s="1"/>
  <c r="B61" i="40"/>
  <c r="F61" i="40" s="1"/>
  <c r="B55" i="40"/>
  <c r="F55" i="40" s="1"/>
  <c r="B60" i="40"/>
  <c r="F60" i="40" s="1"/>
  <c r="D21" i="9"/>
  <c r="D20" i="9"/>
  <c r="F68" i="39" l="1"/>
  <c r="B2" i="39" s="1"/>
  <c r="B5" i="39" s="1"/>
  <c r="B5" i="40"/>
  <c r="B4" i="40"/>
  <c r="B3" i="40"/>
  <c r="C19" i="9"/>
  <c r="B3" i="39" l="1"/>
  <c r="B4" i="39"/>
  <c r="G19" i="9"/>
  <c r="C32" i="9" s="1"/>
  <c r="L43" i="9"/>
  <c r="D22" i="9"/>
  <c r="C20" i="9"/>
  <c r="C21" i="9"/>
  <c r="N43" i="9" l="1"/>
  <c r="G20" i="9"/>
  <c r="G22" i="9"/>
  <c r="G21" i="9"/>
  <c r="C34" i="9"/>
  <c r="O38" i="9"/>
  <c r="C35" i="9"/>
  <c r="F42" i="9" s="1"/>
  <c r="C33" i="9"/>
  <c r="C42" i="9"/>
  <c r="O43" i="9"/>
  <c r="D42" i="9" l="1"/>
  <c r="Q5" i="54" s="1"/>
  <c r="B47" i="63" s="1"/>
  <c r="N38" i="9"/>
  <c r="K28" i="9" s="1"/>
  <c r="K25" i="9"/>
  <c r="K26" i="9"/>
  <c r="D63" i="9"/>
  <c r="C44" i="9"/>
  <c r="R5" i="54"/>
  <c r="B48" i="63" s="1"/>
  <c r="N68" i="9"/>
  <c r="D14" i="66"/>
  <c r="E42" i="9"/>
  <c r="P5" i="54" s="1"/>
  <c r="B46" i="63" s="1"/>
  <c r="M38" i="9"/>
  <c r="K27" i="9" s="1"/>
  <c r="D44" i="9" l="1"/>
  <c r="G14" i="66"/>
  <c r="B6" i="66" s="1"/>
  <c r="O39" i="9"/>
  <c r="N69" i="9"/>
  <c r="E44" i="9"/>
  <c r="F44" i="9"/>
  <c r="B5" i="66"/>
  <c r="E14" i="66"/>
  <c r="F14" i="66"/>
  <c r="C96" i="9"/>
  <c r="C91" i="9" s="1"/>
  <c r="C103" i="9"/>
  <c r="D77" i="9"/>
  <c r="N75" i="9" s="1"/>
  <c r="C90" i="9"/>
  <c r="C111" i="9"/>
  <c r="C104" i="9" s="1"/>
  <c r="C82" i="9"/>
  <c r="C81" i="9" s="1"/>
  <c r="C85" i="9" s="1"/>
  <c r="C86" i="9" s="1"/>
  <c r="D72" i="9" s="1"/>
  <c r="D70" i="9"/>
  <c r="D71" i="9"/>
  <c r="D66" i="9" s="1"/>
  <c r="N72" i="9" s="1"/>
  <c r="M88" i="9" l="1"/>
  <c r="N88" i="9" s="1"/>
  <c r="M85" i="9"/>
  <c r="N85" i="9" s="1"/>
  <c r="M87" i="9"/>
  <c r="N87" i="9" s="1"/>
  <c r="M83" i="9"/>
  <c r="N83" i="9" s="1"/>
  <c r="M84" i="9"/>
  <c r="N84" i="9" s="1"/>
  <c r="M86" i="9"/>
  <c r="N86" i="9" s="1"/>
  <c r="C113" i="9"/>
  <c r="D5" i="66"/>
  <c r="C5" i="66"/>
  <c r="K29" i="9"/>
  <c r="K30" i="9" s="1"/>
  <c r="R6" i="54"/>
  <c r="B50" i="63" s="1"/>
  <c r="D6" i="66"/>
  <c r="C6" i="66"/>
  <c r="C97" i="9"/>
  <c r="N89" i="9" l="1"/>
  <c r="O89" i="9" s="1"/>
  <c r="C114" i="9"/>
  <c r="E114" i="9" s="1"/>
  <c r="E115" i="9" s="1"/>
  <c r="C98" i="9"/>
  <c r="E98" i="9" s="1"/>
  <c r="E99" i="9" s="1"/>
  <c r="C115" i="9" l="1"/>
  <c r="D76" i="9" s="1"/>
  <c r="D74" i="9" s="1"/>
  <c r="N74" i="9" s="1"/>
  <c r="O77" i="9" s="1"/>
  <c r="C99" i="9"/>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<sst xmlns="http://schemas.openxmlformats.org/spreadsheetml/2006/main" count="7209" uniqueCount="3176">
  <si>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</si>
  <si>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</si>
  <si>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</si>
  <si>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</si>
  <si>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</si>
  <si>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</si>
  <si>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</si>
  <si>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</si>
  <si>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</si>
  <si>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</si>
  <si>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</si>
  <si>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</si>
  <si>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</si>
  <si>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</si>
  <si>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</si>
  <si>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</si>
  <si>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</si>
  <si>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</si>
  <si>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</si>
  <si>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</si>
  <si>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</si>
  <si>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</si>
  <si>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</si>
  <si>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</si>
  <si>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</si>
  <si>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</si>
  <si>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</si>
  <si>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</si>
  <si>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</si>
  <si>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</si>
  <si>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</si>
  <si>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</si>
  <si>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</si>
  <si>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</si>
  <si>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</si>
  <si>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</si>
  <si>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</si>
  <si>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</si>
  <si>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</si>
  <si>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</si>
  <si>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</si>
  <si>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</si>
  <si>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</si>
  <si>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</si>
  <si>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</si>
  <si>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</si>
  <si>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</si>
  <si>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</si>
  <si>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</si>
  <si>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</si>
  <si>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</si>
  <si>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</si>
  <si>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</si>
  <si>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</si>
  <si>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</si>
  <si>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</si>
  <si>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</si>
  <si>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</si>
  <si>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</si>
  <si>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</si>
  <si>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</si>
  <si>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</si>
  <si>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</si>
  <si>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</si>
  <si>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</si>
  <si>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</si>
  <si>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</si>
  <si>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</si>
  <si>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</si>
  <si>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</si>
  <si>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</si>
  <si>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</si>
  <si>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</si>
  <si>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</si>
  <si>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</si>
  <si>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</si>
  <si>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</si>
  <si>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</si>
  <si>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</si>
  <si>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</si>
  <si>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</si>
  <si>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</si>
  <si>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</si>
  <si>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</si>
  <si>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</si>
  <si>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</si>
  <si>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</si>
  <si>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</si>
  <si>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</si>
  <si>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</si>
  <si>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</si>
  <si>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</si>
  <si>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</si>
  <si>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</si>
  <si>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</si>
  <si>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</si>
  <si>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</si>
  <si>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</si>
  <si>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</si>
  <si>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</si>
  <si>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</si>
  <si>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</si>
  <si>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</si>
  <si>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</si>
  <si>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</si>
  <si>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</si>
  <si>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</si>
  <si>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</si>
  <si>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</si>
  <si>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</si>
  <si>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</si>
  <si>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</si>
  <si>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</si>
  <si>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</si>
  <si>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</si>
  <si>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</si>
  <si>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</si>
  <si>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</si>
  <si>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</si>
  <si>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</si>
  <si>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</si>
  <si>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</si>
  <si>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</si>
  <si>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</si>
  <si>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</si>
  <si>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</si>
  <si>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</si>
  <si>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</si>
  <si>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</si>
  <si>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</si>
  <si>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</si>
  <si>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</si>
  <si>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</si>
  <si>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</si>
  <si>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</si>
  <si>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</si>
  <si>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</si>
  <si>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</si>
  <si>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</si>
  <si>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</si>
  <si>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</si>
  <si>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</si>
  <si>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</si>
  <si>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</si>
  <si>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</si>
  <si>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</si>
  <si>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</si>
  <si>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</si>
  <si>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</si>
  <si>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</si>
  <si>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</si>
  <si>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</si>
  <si>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</si>
  <si>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</si>
  <si>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</si>
  <si>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</si>
  <si>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</si>
  <si>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</si>
  <si>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</si>
  <si>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</si>
  <si>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</si>
  <si>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</si>
  <si>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</si>
  <si>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</si>
  <si>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</si>
  <si>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</si>
  <si>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</si>
  <si>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</si>
  <si>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</si>
  <si>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</si>
  <si>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</si>
  <si>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</si>
  <si>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</si>
  <si>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</si>
  <si>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</si>
  <si>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</si>
  <si>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</si>
  <si>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</si>
  <si>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</si>
  <si>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</si>
  <si>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</si>
  <si>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</si>
  <si>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</si>
  <si>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</si>
  <si>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</si>
  <si>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</si>
  <si>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</si>
  <si>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</si>
  <si>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</si>
  <si>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</si>
  <si>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</si>
  <si>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</si>
  <si>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</si>
  <si>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</si>
  <si>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</si>
  <si>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</si>
  <si>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</si>
  <si>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</si>
  <si>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</si>
  <si>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</si>
  <si>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</si>
  <si>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</si>
  <si>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</si>
  <si>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</si>
  <si>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</si>
  <si>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</si>
  <si>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</si>
  <si>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</si>
  <si>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</si>
  <si>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</si>
  <si>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</si>
  <si>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</si>
  <si>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</si>
  <si>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</si>
  <si>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</si>
  <si>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</si>
  <si>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</si>
  <si>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</si>
  <si>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</si>
  <si>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</si>
  <si>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</si>
  <si>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</si>
  <si>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</si>
  <si>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</si>
  <si>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</si>
  <si>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</si>
  <si>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</si>
  <si>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</si>
  <si>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</si>
  <si>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</si>
  <si>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</si>
  <si>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</si>
  <si>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</si>
  <si>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</si>
  <si>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</si>
  <si>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</si>
  <si>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</si>
  <si>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</si>
  <si>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</si>
  <si>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</si>
  <si>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</si>
  <si>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</si>
  <si>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</si>
  <si>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</si>
  <si>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</si>
  <si>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</si>
  <si>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</si>
  <si>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</si>
  <si>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</si>
  <si>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</si>
  <si>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</si>
  <si>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</si>
  <si>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</si>
  <si>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</si>
  <si>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</si>
  <si>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</si>
  <si>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</si>
  <si>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</si>
  <si>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</si>
  <si>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</si>
  <si>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</si>
  <si>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</si>
  <si>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</si>
  <si>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</si>
  <si>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</si>
  <si>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</si>
  <si>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</si>
  <si>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</si>
  <si>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</si>
  <si>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</si>
  <si>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</si>
  <si>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</si>
  <si>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</si>
  <si>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</si>
  <si>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</si>
  <si>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</si>
  <si>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</si>
  <si>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</si>
  <si>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</si>
  <si>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</si>
  <si>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</si>
  <si>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</si>
  <si>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</si>
  <si>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</si>
  <si>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</si>
  <si>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</si>
  <si>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</si>
  <si>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</si>
  <si>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</si>
  <si>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</si>
  <si>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</si>
  <si>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</si>
  <si>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</si>
  <si>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</si>
  <si>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</si>
  <si>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</si>
  <si>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</si>
  <si>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</si>
  <si>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</si>
  <si>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</si>
  <si>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</si>
  <si>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</si>
  <si>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</si>
  <si>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</si>
  <si>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</si>
  <si>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</si>
  <si>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</si>
  <si>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</si>
  <si>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</si>
  <si>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</si>
  <si>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</si>
  <si>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</si>
  <si>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</si>
  <si>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</si>
  <si>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</si>
  <si>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</si>
  <si>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</si>
  <si>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</si>
  <si>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</si>
  <si>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</si>
  <si>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</si>
  <si>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</si>
  <si>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</si>
  <si>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</si>
  <si>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</si>
  <si>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</si>
  <si>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</si>
  <si>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</si>
  <si>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</si>
  <si>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</si>
  <si>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</si>
  <si>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</si>
  <si>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</si>
  <si>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</si>
  <si>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</si>
  <si>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</si>
  <si>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</si>
  <si>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</si>
  <si>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</si>
  <si>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</si>
  <si>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</si>
  <si>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</si>
  <si>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</si>
  <si>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</si>
  <si>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</si>
  <si>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</si>
  <si>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</si>
  <si>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</si>
  <si>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</si>
  <si>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</si>
  <si>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</si>
  <si>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</si>
  <si>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</si>
  <si>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</si>
  <si>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</si>
  <si>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</si>
  <si>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</si>
  <si>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</si>
  <si>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</si>
  <si>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</si>
  <si>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</si>
  <si>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</si>
  <si>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</si>
  <si>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</si>
  <si>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</si>
  <si>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</si>
  <si>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</si>
  <si>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</si>
  <si>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</si>
  <si>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</si>
  <si>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</si>
  <si>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</si>
  <si>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</si>
  <si>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</si>
  <si>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</si>
  <si>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</si>
  <si>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</si>
  <si>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</si>
  <si>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</si>
  <si>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</si>
  <si>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</si>
  <si>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</si>
  <si>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</si>
  <si>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</si>
  <si>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</si>
  <si>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</si>
  <si>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</si>
  <si>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</si>
  <si>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</si>
  <si>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</si>
  <si>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</si>
  <si>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</si>
  <si>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</si>
  <si>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</si>
  <si>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</si>
  <si>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</si>
  <si>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</si>
  <si>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</si>
  <si>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</si>
  <si>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</si>
  <si>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</si>
  <si>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</si>
  <si>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</si>
  <si>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</si>
  <si>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</si>
  <si>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</si>
  <si>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</si>
  <si>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</si>
  <si>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</si>
  <si>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</si>
  <si>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</si>
  <si>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</si>
  <si>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</si>
  <si>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</si>
  <si>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</si>
  <si>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</si>
  <si>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</si>
  <si>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</si>
  <si>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</si>
  <si>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</si>
  <si>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</si>
  <si>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</si>
  <si>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</si>
  <si>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</si>
  <si>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</si>
  <si>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</si>
  <si>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</si>
  <si>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</si>
  <si>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</si>
  <si>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</si>
  <si>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</si>
  <si>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</si>
  <si>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</si>
  <si>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</si>
  <si>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</si>
  <si>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</si>
  <si>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</si>
  <si>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</si>
  <si>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</si>
  <si>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</si>
  <si>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</si>
  <si>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</si>
  <si>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</si>
  <si>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</si>
  <si>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</si>
  <si>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</si>
  <si>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</si>
  <si>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</si>
  <si>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</si>
  <si>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</si>
  <si>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</si>
  <si>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</si>
  <si>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</si>
  <si>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</si>
  <si>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</si>
  <si>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</si>
  <si>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</si>
  <si>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</si>
  <si>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</si>
  <si>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</si>
  <si>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</si>
  <si>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</si>
  <si>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</si>
  <si>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</si>
  <si>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</si>
  <si>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</si>
  <si>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</si>
  <si>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</si>
  <si>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</si>
  <si>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</si>
  <si>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</si>
  <si>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</si>
  <si>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</si>
  <si>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</si>
  <si>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</si>
  <si>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</si>
  <si>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</si>
  <si>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</si>
  <si>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</si>
  <si>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</si>
  <si>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</si>
  <si>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</si>
  <si>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</si>
  <si>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</si>
  <si>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</si>
  <si>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</si>
  <si>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</si>
  <si>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</si>
  <si>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</si>
  <si>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</si>
  <si>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</si>
  <si>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</si>
  <si>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</si>
  <si>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</si>
  <si>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</si>
  <si>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</si>
  <si>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</si>
  <si>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</si>
  <si>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</si>
  <si>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</si>
  <si>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</si>
  <si>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</si>
  <si>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</si>
  <si>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</si>
  <si>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</si>
  <si>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</si>
  <si>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</si>
  <si>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</si>
  <si>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</si>
  <si>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</si>
  <si>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</si>
  <si>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</si>
  <si>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</si>
  <si>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</si>
  <si>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</si>
  <si>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</si>
  <si>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</si>
  <si>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</si>
  <si>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</si>
  <si>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</si>
  <si>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</si>
  <si>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</si>
  <si>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</si>
  <si>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</si>
  <si>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</si>
  <si>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</si>
  <si>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</si>
  <si>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</si>
  <si>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</si>
  <si>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</si>
  <si>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</si>
  <si>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</si>
  <si>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</si>
  <si>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</si>
  <si>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</si>
  <si>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</si>
  <si>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</si>
  <si>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</si>
  <si>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</si>
  <si>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</si>
  <si>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</si>
  <si>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</si>
  <si>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</si>
  <si>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</si>
  <si>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</si>
  <si>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</si>
  <si>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</si>
  <si>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</si>
  <si>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</si>
  <si>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</si>
  <si>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</si>
  <si>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</si>
  <si>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</si>
  <si>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</si>
  <si>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</si>
  <si>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</si>
  <si>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</si>
  <si>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</si>
  <si>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</si>
  <si>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</si>
  <si>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</si>
  <si>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</si>
  <si>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</si>
  <si>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</si>
  <si>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</si>
  <si>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</si>
  <si>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</si>
  <si>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</si>
  <si>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</si>
  <si>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</si>
  <si>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</si>
  <si>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</si>
  <si>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</si>
  <si>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</si>
  <si>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</si>
  <si>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</si>
  <si>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</si>
  <si>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</si>
  <si>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</si>
  <si>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</si>
  <si>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</si>
  <si>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</si>
  <si>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</si>
  <si>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</si>
  <si>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</si>
  <si>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</si>
  <si>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</si>
  <si>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</si>
  <si>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</si>
  <si>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</si>
  <si>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</si>
  <si>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</si>
  <si>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</si>
  <si>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</si>
  <si>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</si>
  <si>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</si>
  <si>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</si>
  <si>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</si>
  <si>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</si>
  <si>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</si>
  <si>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</si>
  <si>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</si>
  <si>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</si>
  <si>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</si>
  <si>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</si>
  <si>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</si>
  <si>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</si>
  <si>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</si>
  <si>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</si>
  <si>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</si>
  <si>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</si>
  <si>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</si>
  <si>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</si>
  <si>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</si>
  <si>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</si>
  <si>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</si>
  <si>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</si>
  <si>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</si>
  <si>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</si>
  <si>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</si>
  <si>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</si>
  <si>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</si>
  <si>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</si>
  <si>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</si>
  <si>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</si>
  <si>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</si>
  <si>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</si>
  <si>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</si>
  <si>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</si>
  <si>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</si>
  <si>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</si>
  <si>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</si>
  <si>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</si>
  <si>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</si>
  <si>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</si>
  <si>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</si>
  <si>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</si>
  <si>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</si>
  <si>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</si>
  <si>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</si>
  <si>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</si>
  <si>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</si>
  <si>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</si>
  <si>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</si>
  <si>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</si>
  <si>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</si>
  <si>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</si>
  <si>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</si>
  <si>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</si>
  <si>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</si>
  <si>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</si>
  <si>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</si>
  <si>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</si>
  <si>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</si>
  <si>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</si>
  <si>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</si>
  <si>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</si>
  <si>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</si>
  <si>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</si>
  <si>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</si>
  <si>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</si>
  <si>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</si>
  <si>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</si>
  <si>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</si>
  <si>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</si>
  <si>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</si>
  <si>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</si>
  <si>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</si>
  <si>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</si>
  <si>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</si>
  <si>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</si>
  <si>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</si>
  <si>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</si>
  <si>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</si>
  <si>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</si>
  <si>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</si>
  <si>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</si>
  <si>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</si>
  <si>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</si>
  <si>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</si>
  <si>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</si>
  <si>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</si>
  <si>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</si>
  <si>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</si>
  <si>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</si>
  <si>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</si>
  <si>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</si>
  <si>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</si>
  <si>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</si>
  <si>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</si>
  <si>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</si>
  <si>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</si>
  <si>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</si>
  <si>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</si>
  <si>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</si>
  <si>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</si>
  <si>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</si>
  <si>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</si>
  <si>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</si>
  <si>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</si>
  <si>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</si>
  <si>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</si>
  <si>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</si>
  <si>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</si>
  <si>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</si>
  <si>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</si>
  <si>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</si>
  <si>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</si>
  <si>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</si>
  <si>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</si>
  <si>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</si>
  <si>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</si>
  <si>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</si>
  <si>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</si>
  <si>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</si>
  <si>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</si>
  <si>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</si>
  <si>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</si>
  <si>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</si>
  <si>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</si>
  <si>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</si>
  <si>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</si>
  <si>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</si>
  <si>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</si>
  <si>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</si>
  <si>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</si>
  <si>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</si>
  <si>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</si>
  <si>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</si>
  <si>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</si>
  <si>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</si>
  <si>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</si>
  <si>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</si>
  <si>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</si>
  <si>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</si>
  <si>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</si>
  <si>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</si>
  <si>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</si>
  <si>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</si>
  <si>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</si>
  <si>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</si>
  <si>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</si>
  <si>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</si>
  <si>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</si>
  <si>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</si>
  <si>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</si>
  <si>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</si>
  <si>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</si>
  <si>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</si>
  <si>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</si>
  <si>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</si>
  <si>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</si>
  <si>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</si>
  <si>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</si>
  <si>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</si>
  <si>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</si>
  <si>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</si>
  <si>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</si>
  <si>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</si>
  <si>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</si>
  <si>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</si>
  <si>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</si>
  <si>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</si>
  <si>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</si>
  <si>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</si>
  <si>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</si>
  <si>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</si>
  <si>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</si>
  <si>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</si>
  <si>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</si>
  <si>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</si>
  <si>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</si>
  <si>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</si>
  <si>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</si>
  <si>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</si>
  <si>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</si>
  <si>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</si>
  <si>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</si>
  <si>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</si>
  <si>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</si>
  <si>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</si>
  <si>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</si>
  <si>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</si>
  <si>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</si>
  <si>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</si>
  <si>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</si>
  <si>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</si>
  <si>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</si>
  <si>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</si>
  <si>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</si>
  <si>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</si>
  <si>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</si>
  <si>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</si>
  <si>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</si>
  <si>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</si>
  <si>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</si>
  <si>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</si>
  <si>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</si>
  <si>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</si>
  <si>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</si>
  <si>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</si>
  <si>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</si>
  <si>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</si>
  <si>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</si>
  <si>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</si>
  <si>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</si>
  <si>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</si>
  <si>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</si>
  <si>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</si>
  <si>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</si>
  <si>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</si>
  <si>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</si>
  <si>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</si>
  <si>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</si>
  <si>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</si>
  <si>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</si>
  <si>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</si>
  <si>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</si>
  <si>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</si>
  <si>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</si>
  <si>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</si>
  <si>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</si>
  <si>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</si>
  <si>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</si>
  <si>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</si>
  <si>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</si>
  <si>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</si>
  <si>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</si>
  <si>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</si>
  <si>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</si>
  <si>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</si>
  <si>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</si>
  <si>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</si>
  <si>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</si>
  <si>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</si>
  <si>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</si>
  <si>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</si>
  <si>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</si>
  <si>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</si>
  <si>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</si>
  <si>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</si>
  <si>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</si>
  <si>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</si>
  <si>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</si>
  <si>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</si>
  <si>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</si>
  <si>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</si>
  <si>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</si>
  <si>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</si>
  <si>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</si>
  <si>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</si>
  <si>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</si>
  <si>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</si>
  <si>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</si>
  <si>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</si>
  <si>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</si>
  <si>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</si>
  <si>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</si>
  <si>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</si>
  <si>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</si>
  <si>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</si>
  <si>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</si>
  <si>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</si>
  <si>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</si>
  <si>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</si>
  <si>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</si>
  <si>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</si>
  <si>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</si>
  <si>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</si>
  <si>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</si>
  <si>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</si>
  <si>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</si>
  <si>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</si>
  <si>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</si>
  <si>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</si>
  <si>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</si>
  <si>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</si>
  <si>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</si>
  <si>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</si>
  <si>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</si>
  <si>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</si>
  <si>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</si>
  <si>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</si>
  <si>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</si>
  <si>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</si>
  <si>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</si>
  <si>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</si>
  <si>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</si>
  <si>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</si>
  <si>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</si>
  <si>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</si>
  <si>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</si>
  <si>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</si>
  <si>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</si>
  <si>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</si>
  <si>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</si>
  <si>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</si>
  <si>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</si>
  <si>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</si>
  <si>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</si>
  <si>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</si>
  <si>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</si>
  <si>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</si>
  <si>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</si>
  <si>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</si>
  <si>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</si>
  <si>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</si>
  <si>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</si>
  <si>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</si>
  <si>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</si>
  <si>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</si>
  <si>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</si>
  <si>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</si>
  <si>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</si>
  <si>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</si>
  <si>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</si>
  <si>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</si>
  <si>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</si>
  <si>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</si>
  <si>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</si>
  <si>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</si>
  <si>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</si>
  <si>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</si>
  <si>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</si>
  <si>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</si>
  <si>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</si>
  <si>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</si>
  <si>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</si>
  <si>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</si>
  <si>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</si>
  <si>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</si>
  <si>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</si>
  <si>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</si>
  <si>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</si>
  <si>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</si>
  <si>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</si>
  <si>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</si>
  <si>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</si>
  <si>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</si>
  <si>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</si>
  <si>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</si>
  <si>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</si>
  <si>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</si>
  <si>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</si>
  <si>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</si>
  <si>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</si>
  <si>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</si>
  <si>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</si>
  <si>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</si>
  <si>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</si>
  <si>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</si>
  <si>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</si>
  <si>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</si>
  <si>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</si>
  <si>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</si>
  <si>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</si>
  <si>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</si>
  <si>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</si>
  <si>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</si>
  <si>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</si>
  <si>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</si>
  <si>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</si>
  <si>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</si>
  <si>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</si>
  <si>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</si>
  <si>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</si>
  <si>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</si>
  <si>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</si>
  <si>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</si>
  <si>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</si>
  <si>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</si>
  <si>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</si>
  <si>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</si>
  <si>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</si>
  <si>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</si>
  <si>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</si>
  <si>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</si>
  <si>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</si>
  <si>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</si>
  <si>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</si>
  <si>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</si>
  <si>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</si>
  <si>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</si>
  <si>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</si>
  <si>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</si>
  <si>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</si>
  <si>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</si>
  <si>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</si>
  <si>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</si>
  <si>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</si>
  <si>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</si>
  <si>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</si>
  <si>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</si>
  <si>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</si>
  <si>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</si>
  <si>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</si>
  <si>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</si>
  <si>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</si>
  <si>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</si>
  <si>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</si>
  <si>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</si>
  <si>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</si>
  <si>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</si>
  <si>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</si>
  <si>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</si>
  <si>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</si>
  <si>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</si>
  <si>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</si>
  <si>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</si>
  <si>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</si>
  <si>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</si>
  <si>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</si>
  <si>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</si>
  <si>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</si>
  <si>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</si>
  <si>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</si>
  <si>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</si>
  <si>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</si>
  <si>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</si>
  <si>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</si>
  <si>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</si>
  <si>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</si>
  <si>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</si>
  <si>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</si>
  <si>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</si>
  <si>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</si>
  <si>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</si>
  <si>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</si>
  <si>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</si>
  <si>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</si>
  <si>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</si>
  <si>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</si>
  <si>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</si>
  <si>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</si>
  <si>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</si>
  <si>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</si>
  <si>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</si>
  <si>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</si>
  <si>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</si>
  <si>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</si>
  <si>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</si>
  <si>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</si>
  <si>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</si>
  <si>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</si>
  <si>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</si>
  <si>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</si>
  <si>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</si>
  <si>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</si>
  <si>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</si>
  <si>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</si>
  <si>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</si>
  <si>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</si>
  <si>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</si>
  <si>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</si>
  <si>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</si>
  <si>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</si>
  <si>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</si>
  <si>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</si>
  <si>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</si>
  <si>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</si>
  <si>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</si>
  <si>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</si>
  <si>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</si>
  <si>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</si>
  <si>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</si>
  <si>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</si>
  <si>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</si>
  <si>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</si>
  <si>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</si>
  <si>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</si>
  <si>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</si>
  <si>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</si>
  <si>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</si>
  <si>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</si>
  <si>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</si>
  <si>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</si>
  <si>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</si>
  <si>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</si>
  <si>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</si>
  <si>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</si>
  <si>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</si>
  <si>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</si>
  <si>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</si>
  <si>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</si>
  <si>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</si>
  <si>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</si>
  <si>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</si>
  <si>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</si>
  <si>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</si>
  <si>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</si>
  <si>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</si>
  <si>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</si>
  <si>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</si>
  <si>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</si>
  <si>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</si>
  <si>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</si>
  <si>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</si>
  <si>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</si>
  <si>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</si>
  <si>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</si>
  <si>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</si>
  <si>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</si>
  <si>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</si>
  <si>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</si>
  <si>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</si>
  <si>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</si>
  <si>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</si>
  <si>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</si>
  <si>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</si>
  <si>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</si>
  <si>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</si>
  <si>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</si>
  <si>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</si>
  <si>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</si>
  <si>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</si>
  <si>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</si>
  <si>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</si>
  <si>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</si>
  <si>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</si>
  <si>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</si>
  <si>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</si>
  <si>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</si>
  <si>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</si>
  <si>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</si>
  <si>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</si>
  <si>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</si>
  <si>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</si>
  <si>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</si>
  <si>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</si>
  <si>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</si>
  <si>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</si>
  <si>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</si>
  <si>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</si>
  <si>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</si>
  <si>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</si>
  <si>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</si>
  <si>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</si>
  <si>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</si>
  <si>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</si>
  <si>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</si>
  <si>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</si>
  <si>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</si>
  <si>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</si>
  <si>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</si>
  <si>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</si>
  <si>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</si>
  <si>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</si>
  <si>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</si>
  <si>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</si>
  <si>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</si>
  <si>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</si>
  <si>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</si>
  <si>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</si>
  <si>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</si>
  <si>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</si>
  <si>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</si>
  <si>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</si>
  <si>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</si>
  <si>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</si>
  <si>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</si>
  <si>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</si>
  <si>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</si>
  <si>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</si>
  <si>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</si>
  <si>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</si>
  <si>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</si>
  <si>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</si>
  <si>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</si>
  <si>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</si>
  <si>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</si>
  <si>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</si>
  <si>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</si>
  <si>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</si>
  <si>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</si>
  <si>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</si>
  <si>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</si>
  <si>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</si>
  <si>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</si>
  <si>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</si>
  <si>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</si>
  <si>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</si>
  <si>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</si>
  <si>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</si>
  <si>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</si>
  <si>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</si>
  <si>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</si>
  <si>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</si>
  <si>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</si>
  <si>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</si>
  <si>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</si>
  <si>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</si>
  <si>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</si>
  <si>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</si>
  <si>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</si>
  <si>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</si>
  <si>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</si>
  <si>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</si>
  <si>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</si>
  <si>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</si>
  <si>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</si>
  <si>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</si>
  <si>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</si>
  <si>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</si>
  <si>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</si>
  <si>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</si>
  <si>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</si>
  <si>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</si>
  <si>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</si>
  <si>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</si>
  <si>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</si>
  <si>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</si>
  <si>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</si>
  <si>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</si>
  <si>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</si>
  <si>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</si>
  <si>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</si>
  <si>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</si>
  <si>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</si>
  <si>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</si>
  <si>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</si>
  <si>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</si>
  <si>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</si>
  <si>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</si>
  <si>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</si>
  <si>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</si>
  <si>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</si>
  <si>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</si>
  <si>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</si>
  <si>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</si>
  <si>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</si>
  <si>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</si>
  <si>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</si>
  <si>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</si>
  <si>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</si>
  <si>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</si>
  <si>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</si>
  <si>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</si>
  <si>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</si>
  <si>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</si>
  <si>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</si>
  <si>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</si>
  <si>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</si>
  <si>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</si>
  <si>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</si>
  <si>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</si>
  <si>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</si>
  <si>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</si>
  <si>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</si>
  <si>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</si>
  <si>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</si>
  <si>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</si>
  <si>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</si>
  <si>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</si>
  <si>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</si>
  <si>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</si>
  <si>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</si>
  <si>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</si>
  <si>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</si>
  <si>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</si>
  <si>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</si>
  <si>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</si>
  <si>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</si>
  <si>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</si>
  <si>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</si>
  <si>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</si>
  <si>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</si>
  <si>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</si>
  <si>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</si>
  <si>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</si>
  <si>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</si>
  <si>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</si>
  <si>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</si>
  <si>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</si>
  <si>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</si>
  <si>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</si>
  <si>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</si>
  <si>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</si>
  <si>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</si>
  <si>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</si>
  <si>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</si>
  <si>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</si>
  <si>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</si>
  <si>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</si>
  <si>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</si>
  <si>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</si>
  <si>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</si>
  <si>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</si>
  <si>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</si>
  <si>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</si>
  <si>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</si>
  <si>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</si>
  <si>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</si>
  <si>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</si>
  <si>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</si>
  <si>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</si>
  <si>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</si>
  <si>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</si>
  <si>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</si>
  <si>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</si>
  <si>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</si>
  <si>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</si>
  <si>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</si>
  <si>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</si>
  <si>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</si>
  <si>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</si>
  <si>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</si>
  <si>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</si>
  <si>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</si>
  <si>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</si>
  <si>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</si>
  <si>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</si>
  <si>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</si>
  <si>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</si>
  <si>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</si>
  <si>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</si>
  <si>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</si>
  <si>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</si>
  <si>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</si>
  <si>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</si>
  <si>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</si>
  <si>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</si>
  <si>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</si>
  <si>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</si>
  <si>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</si>
  <si>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</si>
  <si>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</si>
  <si>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</si>
  <si>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</si>
  <si>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</si>
  <si>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</si>
  <si>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</si>
  <si>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</si>
  <si>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</si>
  <si>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</si>
  <si>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</si>
  <si>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</si>
  <si>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</si>
  <si>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</si>
  <si>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</si>
  <si>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</si>
  <si>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</si>
  <si>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</si>
  <si>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</si>
  <si>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</si>
  <si>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</si>
  <si>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</si>
  <si>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</si>
  <si>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</si>
  <si>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</si>
  <si>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</si>
  <si>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</si>
  <si>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</si>
  <si>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</si>
  <si>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</si>
  <si>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</si>
  <si>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</si>
  <si>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</si>
  <si>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</si>
  <si>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</si>
  <si>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</si>
  <si>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</si>
  <si>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</si>
  <si>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</si>
  <si>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</si>
  <si>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</si>
  <si>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</si>
  <si>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</si>
  <si>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</si>
  <si>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</si>
  <si>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</si>
  <si>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</si>
  <si>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</si>
  <si>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</si>
  <si>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</si>
  <si>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</si>
  <si>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</si>
  <si>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</si>
  <si>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</si>
  <si>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</si>
  <si>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</si>
  <si>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</si>
  <si>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</si>
  <si>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</si>
  <si>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</si>
  <si>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</si>
  <si>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</si>
  <si>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</si>
  <si>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</si>
  <si>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</si>
  <si>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</si>
  <si>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</si>
  <si>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</si>
  <si>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</si>
  <si>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</si>
  <si>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</si>
  <si>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</si>
  <si>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</si>
  <si>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</si>
  <si>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</si>
  <si>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</si>
  <si>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</si>
  <si>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</si>
  <si>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</si>
  <si>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</si>
  <si>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</si>
  <si>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</si>
  <si>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</si>
  <si>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</si>
  <si>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</si>
  <si>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</si>
  <si>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</si>
  <si>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</si>
  <si>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</si>
  <si>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</si>
  <si>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</si>
  <si>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</si>
  <si>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</si>
  <si>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</si>
  <si>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</si>
  <si>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</si>
  <si>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</si>
  <si>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</si>
  <si>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</si>
  <si>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</si>
  <si>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</si>
  <si>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</si>
  <si>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</si>
  <si>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</si>
  <si>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</si>
  <si>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</si>
  <si>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</si>
  <si>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</si>
  <si>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</si>
  <si>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</si>
  <si>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</si>
  <si>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</si>
  <si>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</si>
  <si>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</si>
  <si>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</si>
  <si>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</si>
  <si>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</si>
  <si>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</si>
  <si>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</si>
  <si>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</si>
  <si>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</si>
  <si>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</si>
  <si>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</si>
  <si>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</si>
  <si>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</si>
  <si>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</si>
  <si>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</si>
  <si>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</si>
  <si>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</si>
  <si>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</si>
  <si>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</si>
  <si>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</si>
  <si>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</si>
  <si>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</si>
  <si>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</si>
  <si>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</si>
  <si>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</si>
  <si>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</si>
  <si>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</si>
  <si>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</si>
  <si>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</si>
  <si>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</si>
  <si>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</si>
  <si>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</si>
  <si>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</si>
  <si>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</si>
  <si>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</si>
  <si>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</si>
  <si>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</si>
  <si>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</si>
  <si>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</si>
  <si>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</si>
  <si>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</si>
  <si>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</si>
  <si>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</si>
  <si>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</si>
  <si>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</si>
  <si>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</si>
  <si>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</si>
  <si>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</si>
  <si>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</si>
  <si>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</si>
  <si>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</si>
  <si>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</si>
  <si>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</si>
  <si>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</si>
  <si>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</si>
  <si>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</si>
  <si>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</si>
  <si>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</si>
  <si>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</si>
  <si>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</si>
  <si>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</si>
  <si>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</si>
  <si>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</si>
  <si>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</si>
  <si>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</si>
  <si>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</si>
  <si>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</si>
  <si>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</si>
  <si>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</si>
  <si>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</si>
  <si>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</si>
  <si>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</si>
  <si>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</si>
  <si>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</si>
  <si>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</si>
  <si>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</si>
  <si>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</si>
  <si>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</si>
  <si>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</si>
  <si>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</si>
  <si>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</si>
  <si>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</si>
  <si>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</si>
  <si>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</si>
  <si>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</si>
  <si>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</si>
  <si>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</si>
  <si>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</si>
  <si>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</si>
  <si>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</si>
  <si>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</si>
  <si>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</si>
  <si>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</si>
  <si>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</si>
  <si>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</si>
  <si>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</si>
  <si>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</si>
  <si>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</si>
  <si>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</si>
  <si>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</si>
  <si>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</si>
  <si>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</si>
  <si>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</si>
  <si>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</si>
  <si>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</si>
  <si>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</si>
  <si>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</si>
  <si>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</si>
  <si>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</si>
  <si>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</si>
  <si>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</si>
  <si>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</si>
  <si>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</si>
  <si>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</si>
  <si>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</si>
  <si>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</si>
  <si>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</si>
  <si>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</si>
  <si>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</si>
  <si>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</si>
  <si>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</si>
  <si>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</si>
  <si>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</si>
  <si>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</si>
  <si>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</si>
  <si>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</si>
  <si>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</si>
  <si>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</si>
  <si>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</si>
  <si>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</si>
  <si>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</si>
  <si>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</si>
  <si>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</si>
  <si>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</si>
  <si>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</si>
  <si>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</si>
  <si>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</si>
  <si>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</si>
  <si>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</si>
  <si>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</si>
  <si>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</si>
  <si>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</si>
  <si>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</si>
  <si>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</si>
  <si>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</si>
  <si>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</si>
  <si>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</si>
  <si>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</si>
  <si>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</si>
  <si>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</si>
  <si>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</si>
  <si>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</si>
  <si>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</si>
  <si>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</si>
  <si>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</si>
  <si>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</si>
  <si>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</si>
  <si>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</si>
  <si>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</si>
  <si>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</si>
  <si>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</si>
  <si>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</si>
  <si>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</si>
  <si>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</si>
  <si>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</si>
  <si>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</si>
  <si>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</si>
  <si>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</si>
  <si>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</si>
  <si>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</si>
  <si>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</si>
  <si>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</si>
  <si>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</si>
  <si>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</si>
  <si>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</si>
  <si>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</si>
  <si>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</si>
  <si>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</si>
  <si>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</si>
  <si>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</si>
  <si>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</si>
  <si>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</si>
  <si>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</si>
  <si>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</si>
  <si>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</si>
  <si>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</si>
  <si>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</si>
  <si>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</si>
  <si>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</si>
  <si>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</si>
  <si>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</si>
  <si>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</si>
  <si>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</si>
  <si>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</si>
  <si>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</si>
  <si>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</si>
  <si>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</si>
  <si>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</si>
  <si>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</si>
  <si>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</si>
  <si>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</si>
  <si>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</si>
  <si>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</si>
  <si>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</si>
  <si>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</si>
  <si>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</si>
  <si>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</si>
  <si>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</si>
  <si>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</si>
  <si>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</si>
  <si>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</si>
  <si>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</si>
  <si>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</si>
  <si>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</si>
  <si>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</si>
  <si>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</si>
  <si>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</si>
  <si>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</si>
  <si>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</si>
  <si>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</si>
  <si>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</si>
  <si>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</si>
  <si>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</si>
  <si>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</si>
  <si>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</si>
  <si>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</si>
  <si>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</si>
  <si>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</si>
  <si>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</si>
  <si>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</si>
  <si>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</si>
  <si>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</si>
  <si>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</si>
  <si>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</si>
  <si>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</si>
  <si>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</si>
  <si>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</si>
  <si>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</si>
  <si>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</si>
  <si>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</si>
  <si>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</si>
  <si>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</si>
  <si>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</si>
  <si>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</si>
  <si>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</si>
  <si>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</si>
  <si>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</si>
  <si>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</si>
  <si>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</si>
  <si>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</si>
  <si>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</si>
  <si>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</si>
  <si>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</si>
  <si>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</si>
  <si>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</si>
  <si>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</si>
  <si>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</si>
  <si>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</si>
  <si>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</si>
  <si>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</si>
  <si>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</si>
  <si>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</si>
  <si>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</si>
  <si>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</si>
  <si>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</si>
  <si>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</si>
  <si>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</si>
  <si>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</si>
  <si>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</si>
  <si>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</si>
  <si>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</si>
  <si>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</si>
  <si>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</si>
  <si>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</si>
  <si>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</si>
  <si>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</si>
  <si>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</si>
  <si>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</si>
  <si>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</si>
  <si>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</si>
  <si>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</si>
  <si>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</si>
  <si>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</si>
  <si>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</si>
  <si>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</si>
  <si>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</si>
  <si>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</si>
  <si>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</si>
  <si>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</si>
  <si>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</si>
  <si>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</si>
  <si>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</si>
  <si>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</si>
  <si>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</si>
  <si>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</si>
  <si>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</si>
  <si>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</si>
  <si>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</si>
  <si>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</si>
  <si>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</si>
  <si>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</si>
  <si>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</si>
  <si>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</si>
  <si>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</si>
  <si>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</si>
  <si>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</si>
  <si>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</si>
  <si>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</si>
  <si>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</si>
  <si>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</si>
  <si>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</si>
  <si>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</si>
  <si>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</si>
  <si>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</si>
  <si>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</si>
  <si>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</si>
  <si>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</si>
  <si>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</si>
  <si>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</si>
  <si>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</si>
  <si>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</si>
  <si>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</si>
  <si>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</si>
  <si>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</si>
  <si>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</si>
  <si>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</si>
  <si>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</si>
  <si>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</si>
  <si>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</si>
  <si>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</si>
  <si>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</si>
  <si>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</si>
  <si>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</si>
  <si>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</si>
  <si>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</si>
  <si>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</si>
  <si>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</si>
  <si>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</si>
  <si>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</si>
  <si>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</si>
  <si>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</si>
  <si>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</si>
  <si>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</si>
  <si>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</si>
  <si>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</si>
  <si>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</si>
  <si>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</si>
  <si>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</si>
  <si>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</si>
  <si>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</si>
  <si>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</si>
  <si>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</si>
  <si>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</si>
  <si>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</si>
  <si>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</si>
  <si>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</si>
  <si>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</si>
  <si>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</si>
  <si>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</si>
  <si>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</si>
  <si>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</si>
  <si>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</si>
  <si>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</si>
  <si>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</si>
  <si>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</si>
  <si>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</si>
  <si>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</si>
  <si>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</si>
  <si>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</si>
  <si>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</si>
  <si>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</si>
  <si>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</si>
  <si>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</si>
  <si>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</si>
  <si>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</si>
  <si>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</si>
  <si>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</si>
  <si>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</si>
  <si>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</si>
  <si>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</si>
  <si>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</si>
  <si>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</si>
  <si>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</si>
  <si>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</si>
  <si>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</si>
  <si>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</si>
  <si>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</si>
  <si>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</si>
  <si>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</si>
  <si>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</si>
  <si>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</si>
  <si>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</si>
  <si>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</si>
  <si>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</si>
  <si>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</si>
  <si>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</si>
  <si>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</si>
  <si>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</si>
  <si>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</si>
  <si>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</si>
  <si>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</si>
  <si>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</si>
  <si>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</si>
  <si>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</si>
  <si>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</si>
  <si>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</si>
  <si>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</si>
  <si>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</si>
  <si>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</si>
  <si>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</si>
  <si>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</si>
  <si>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</si>
  <si>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</si>
  <si>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</si>
  <si>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</si>
  <si>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</si>
  <si>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</si>
  <si>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</si>
  <si>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</si>
  <si>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</si>
  <si>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</si>
  <si>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</si>
  <si>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</si>
  <si>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</si>
  <si>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</si>
  <si>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</si>
  <si>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</si>
  <si>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</si>
  <si>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</si>
  <si>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</si>
  <si>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</si>
  <si>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</si>
  <si>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</si>
  <si>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</si>
  <si>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</si>
  <si>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</si>
  <si>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</si>
  <si>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</si>
  <si>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</si>
  <si>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</si>
  <si>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</si>
  <si>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</si>
  <si>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</si>
  <si>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</si>
  <si>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</si>
  <si>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</si>
  <si>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</si>
  <si>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</si>
  <si>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</si>
  <si>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</si>
  <si>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</si>
  <si>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</si>
  <si>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</si>
  <si>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</si>
  <si>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</si>
  <si>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</si>
  <si>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</si>
  <si>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</si>
  <si>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</si>
  <si>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</si>
  <si>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</si>
  <si>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</si>
  <si>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</si>
  <si>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</si>
  <si>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</si>
  <si>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</si>
  <si>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</si>
  <si>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</si>
  <si>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</si>
  <si>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</si>
  <si>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</si>
  <si>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</si>
  <si>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</si>
  <si>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</si>
  <si>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</si>
  <si>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</si>
  <si>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</si>
  <si>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</si>
  <si>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</si>
  <si>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</si>
  <si>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</si>
  <si>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</si>
  <si>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</si>
  <si>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</si>
  <si>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</si>
  <si>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</si>
  <si>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</si>
  <si>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</si>
  <si>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</si>
  <si>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</si>
  <si>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</si>
  <si>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</si>
  <si>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</si>
  <si>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</si>
  <si>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</si>
  <si>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</si>
  <si>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</si>
  <si>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</si>
  <si>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</si>
  <si>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</si>
  <si>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</si>
  <si>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</si>
  <si>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</si>
  <si>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</si>
  <si>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</si>
  <si>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</si>
  <si>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</si>
  <si>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</si>
  <si>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</si>
  <si>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</si>
  <si>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</si>
  <si>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</si>
  <si>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</si>
  <si>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</si>
  <si>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</si>
  <si>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</si>
  <si>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</si>
  <si>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</si>
  <si>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</si>
  <si>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</si>
  <si>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</si>
  <si>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</si>
  <si>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</si>
  <si>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</si>
  <si>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</si>
  <si>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</si>
  <si>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</si>
  <si>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</si>
  <si>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</si>
  <si>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</si>
  <si>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</si>
  <si>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</si>
  <si>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</si>
  <si>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</si>
  <si>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</si>
  <si>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</si>
  <si>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</si>
  <si>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</si>
  <si>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</si>
  <si>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</si>
  <si>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</si>
  <si>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</si>
  <si>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</si>
  <si>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</si>
  <si>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</si>
  <si>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</si>
  <si>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</si>
  <si>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</si>
  <si>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</si>
  <si>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</si>
  <si>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</si>
  <si>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</si>
  <si>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</si>
  <si>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</si>
  <si>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</si>
  <si>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</si>
  <si>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</si>
  <si>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</si>
  <si>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</si>
  <si>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</si>
  <si>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</si>
  <si>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</si>
  <si>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</si>
  <si>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</si>
  <si>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</si>
  <si>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</si>
  <si>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</si>
  <si>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</si>
  <si>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</si>
  <si>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</si>
  <si>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</si>
  <si>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</si>
  <si>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</si>
  <si>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</si>
  <si>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</si>
  <si>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</si>
  <si>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</si>
  <si>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</si>
  <si>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</si>
  <si>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</si>
  <si>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</si>
  <si>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</si>
  <si>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</si>
  <si>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</si>
  <si>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</si>
  <si>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</si>
  <si>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</si>
  <si>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</si>
  <si>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</si>
  <si>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</si>
  <si>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</si>
  <si>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</si>
  <si>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</si>
  <si>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</si>
  <si>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</si>
  <si>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</si>
  <si>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</si>
  <si>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</si>
  <si>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</si>
  <si>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</si>
  <si>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</si>
  <si>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</si>
  <si>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</si>
  <si>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</si>
  <si>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</si>
  <si>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</si>
  <si>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</si>
  <si>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</si>
  <si>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</si>
  <si>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</si>
  <si>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</si>
  <si>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</si>
  <si>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</si>
  <si>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</si>
  <si>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</si>
  <si>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</si>
  <si>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</si>
  <si>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</si>
  <si>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</si>
  <si>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</si>
  <si>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</si>
  <si>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</si>
  <si>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</si>
  <si>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</si>
  <si>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</si>
  <si>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</si>
  <si>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</si>
  <si>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</si>
  <si>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</si>
  <si>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</si>
  <si>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</si>
  <si>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</si>
  <si>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</si>
  <si>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</si>
  <si>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</si>
  <si>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</si>
  <si>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</si>
  <si>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</si>
  <si>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</si>
  <si>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</si>
  <si>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</si>
  <si>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</si>
  <si>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</si>
  <si>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</si>
  <si>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</si>
  <si>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</si>
  <si>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</si>
  <si>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</si>
  <si>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</si>
  <si>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</si>
  <si>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</si>
  <si>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</si>
  <si>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</si>
  <si>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</si>
  <si>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</si>
  <si>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</si>
  <si>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</si>
  <si>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</si>
  <si>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</si>
  <si>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</si>
  <si>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</si>
  <si>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</si>
  <si>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</si>
  <si>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</si>
  <si>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</si>
  <si>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</si>
  <si>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</si>
  <si>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</si>
  <si>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</si>
  <si>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</si>
  <si>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</si>
  <si>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</si>
  <si>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</si>
  <si>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</si>
  <si>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</si>
  <si>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</si>
  <si>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</si>
  <si>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</si>
  <si>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</si>
  <si>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</si>
  <si>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</si>
  <si>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</si>
  <si>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</si>
  <si>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</si>
  <si>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</si>
  <si>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</si>
  <si>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</si>
  <si>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</si>
  <si>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</si>
  <si>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</si>
  <si>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</si>
  <si>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</si>
  <si>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</si>
  <si>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</si>
  <si>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</si>
  <si>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</si>
  <si>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</si>
  <si>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</si>
  <si>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</si>
  <si>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</si>
  <si>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</si>
  <si>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</si>
  <si>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</si>
  <si>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</si>
  <si>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</si>
  <si>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</si>
  <si>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</si>
  <si>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</si>
  <si>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</si>
  <si>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</si>
  <si>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</si>
  <si>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</si>
  <si>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</si>
  <si>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</si>
  <si>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</si>
  <si>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</si>
  <si>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</si>
  <si>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</si>
  <si>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</si>
  <si>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</si>
  <si>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</si>
  <si>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</si>
  <si>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</si>
  <si>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</si>
  <si>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</si>
  <si>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</si>
  <si>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</si>
  <si>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</si>
  <si>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</si>
  <si>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</si>
  <si>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</si>
  <si>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</si>
  <si>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</si>
  <si>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</si>
  <si>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</si>
  <si>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</si>
  <si>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</si>
  <si>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</si>
  <si>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</si>
  <si>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</si>
  <si>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</si>
  <si>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</si>
  <si>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</si>
  <si>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</si>
  <si>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</si>
  <si>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</si>
  <si>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</si>
  <si>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</si>
  <si>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</si>
  <si>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</si>
  <si>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</si>
  <si>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</si>
  <si>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</si>
  <si>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</si>
  <si>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</si>
  <si>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</si>
  <si>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</si>
  <si>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</si>
  <si>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</si>
  <si>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</si>
  <si>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</si>
  <si>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</si>
  <si>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</si>
  <si>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</si>
  <si>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</si>
  <si>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</si>
  <si>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</si>
  <si>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</si>
  <si>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</si>
  <si>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</si>
  <si>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</si>
  <si>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</si>
  <si>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</si>
  <si>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</si>
  <si>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</si>
  <si>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</si>
  <si>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</si>
  <si>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</si>
  <si>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</si>
  <si>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</si>
  <si>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</si>
  <si>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</si>
  <si>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</si>
  <si>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</si>
  <si>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</si>
  <si>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</si>
  <si>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</si>
  <si>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</si>
  <si>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</si>
  <si>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</si>
  <si>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</si>
  <si>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</si>
  <si>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</si>
  <si>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</si>
  <si>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</si>
  <si>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</si>
  <si>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</si>
  <si>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</si>
  <si>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</si>
  <si>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</si>
  <si>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</si>
  <si>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</si>
  <si>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</si>
  <si>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</si>
  <si>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</si>
  <si>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</si>
  <si>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</si>
  <si>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</si>
  <si>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</si>
  <si>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</si>
  <si>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</si>
  <si>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</si>
  <si>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</si>
  <si>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</si>
  <si>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</si>
  <si>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</si>
  <si>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</si>
  <si>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</si>
  <si>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</si>
  <si>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</si>
  <si>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</si>
  <si>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</si>
  <si>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</si>
  <si>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</si>
  <si>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</si>
  <si>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</si>
  <si>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</si>
  <si>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</si>
  <si>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</si>
  <si>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</si>
  <si>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</si>
  <si>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</si>
  <si>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</si>
  <si>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</si>
  <si>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</si>
  <si>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</si>
  <si>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</si>
  <si>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</si>
  <si>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</si>
  <si>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</si>
  <si>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</si>
  <si>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</si>
  <si>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</si>
  <si>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</si>
  <si>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</si>
  <si>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</si>
  <si>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</si>
  <si>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</si>
  <si>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</si>
  <si>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</si>
  <si>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</si>
  <si>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</si>
  <si>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</si>
  <si>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</si>
  <si>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</si>
  <si>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</si>
  <si>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</si>
  <si>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</si>
  <si>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</si>
  <si>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</si>
  <si>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</si>
  <si>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</si>
  <si>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</si>
  <si>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</si>
  <si>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</si>
  <si>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</si>
  <si>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</si>
  <si>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</si>
  <si>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</si>
  <si>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</si>
  <si>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</si>
  <si>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</si>
  <si>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</si>
  <si>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</si>
  <si>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</si>
  <si>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</si>
  <si>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</si>
  <si>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</si>
  <si>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</si>
  <si>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</si>
  <si>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</si>
  <si>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</si>
  <si>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</si>
  <si>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</si>
  <si>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</si>
  <si>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</si>
  <si>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</si>
  <si>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</si>
  <si>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</si>
  <si>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</si>
  <si>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</si>
  <si>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</si>
  <si>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</si>
  <si>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</si>
  <si>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</si>
  <si>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</si>
  <si>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</si>
  <si>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</si>
  <si>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</si>
  <si>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</si>
  <si>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</si>
  <si>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</si>
  <si>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</si>
  <si>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</si>
  <si>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</si>
  <si>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</si>
  <si>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</si>
  <si>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</si>
  <si>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</si>
  <si>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</si>
  <si>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</si>
  <si>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</si>
  <si>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</si>
  <si>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</si>
  <si>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</si>
  <si>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</si>
  <si>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</si>
  <si>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</si>
  <si>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</si>
  <si>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</si>
  <si>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</si>
  <si>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</si>
  <si>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</si>
  <si>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</si>
  <si>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</si>
  <si>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</si>
  <si>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</si>
  <si>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</si>
  <si>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</si>
  <si>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</si>
  <si>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</si>
  <si>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</si>
  <si>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</si>
  <si>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</si>
  <si>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</si>
  <si>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</si>
  <si>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</si>
  <si>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</si>
  <si>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</si>
  <si>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</si>
  <si>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</si>
  <si>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</si>
  <si>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</si>
  <si>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</si>
  <si>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</si>
  <si>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</si>
  <si>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</si>
  <si>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</si>
  <si>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</si>
  <si>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</si>
  <si>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</si>
  <si>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</si>
  <si>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</si>
  <si>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</si>
  <si>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</si>
  <si>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</si>
  <si>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</si>
  <si>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</si>
  <si>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</si>
  <si>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</si>
  <si>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</si>
  <si>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</si>
  <si>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</si>
  <si>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</si>
  <si>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</si>
  <si>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</si>
  <si>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</si>
  <si>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</si>
  <si>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</si>
  <si>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</si>
  <si>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</si>
  <si>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</si>
  <si>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</si>
  <si>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</si>
  <si>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</si>
  <si>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</si>
  <si>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</si>
  <si>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</si>
  <si>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</si>
  <si>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</si>
  <si>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</si>
  <si>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</si>
  <si>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</si>
  <si>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</si>
  <si>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</si>
  <si>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</si>
  <si>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</si>
  <si>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</si>
  <si>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</si>
  <si>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</si>
  <si>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</si>
  <si>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</si>
  <si>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</si>
  <si>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</si>
  <si>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</si>
  <si>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</si>
  <si>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</si>
  <si>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</si>
  <si>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</si>
  <si>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</si>
  <si>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</si>
  <si>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</si>
  <si>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</si>
  <si>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</si>
  <si>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</si>
  <si>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</si>
  <si>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</si>
  <si>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</si>
  <si>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</si>
  <si>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</si>
  <si>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</si>
  <si>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</si>
  <si>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</si>
  <si>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</si>
  <si>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</si>
  <si>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</si>
  <si>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</si>
  <si>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</si>
  <si>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</si>
  <si>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</si>
  <si>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</si>
  <si>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</si>
  <si>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</si>
  <si>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</si>
  <si>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</si>
  <si>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</si>
  <si>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</si>
  <si>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</si>
  <si>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</si>
  <si>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</si>
  <si>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</si>
  <si>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</si>
  <si>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</si>
  <si>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</si>
  <si>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</si>
  <si>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</si>
  <si>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</si>
  <si>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</si>
  <si>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</si>
  <si>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</si>
  <si>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</si>
  <si>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</si>
  <si>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</si>
  <si>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</si>
  <si>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</si>
  <si>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</si>
  <si>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</si>
  <si>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</si>
  <si>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</si>
  <si>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</si>
  <si>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</si>
  <si>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</si>
  <si>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</si>
  <si>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</si>
  <si>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</si>
  <si>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</si>
  <si>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</si>
  <si>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</si>
  <si>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</si>
  <si>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</si>
  <si>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</si>
  <si>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</si>
  <si>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</si>
  <si>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</si>
  <si>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</si>
  <si>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</si>
  <si>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</si>
  <si>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</si>
  <si>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</si>
  <si>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</si>
  <si>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</si>
  <si>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</si>
  <si>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</si>
  <si>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</si>
  <si>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</si>
  <si>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</si>
  <si>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</si>
  <si>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</si>
  <si>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</si>
  <si>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</si>
  <si>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</si>
  <si>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</si>
  <si>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</si>
  <si>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</si>
  <si>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</si>
  <si>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</si>
  <si>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</si>
  <si>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</si>
  <si>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</si>
  <si>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</si>
  <si>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</si>
  <si>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</si>
  <si>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</si>
  <si>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</si>
  <si>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</si>
  <si>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</si>
  <si>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</si>
  <si>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</si>
  <si>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</si>
  <si>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</si>
  <si>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</si>
  <si>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</si>
  <si>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</si>
  <si>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</si>
  <si>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</si>
  <si>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</si>
  <si>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</si>
  <si>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</si>
  <si>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</si>
  <si>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</si>
  <si>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</si>
  <si>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</si>
  <si>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</si>
  <si>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</si>
  <si>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</si>
  <si>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</si>
  <si>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</si>
  <si>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</si>
  <si>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</si>
  <si>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</si>
  <si>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</si>
  <si>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</si>
  <si>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</si>
  <si>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</si>
  <si>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</si>
  <si>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</si>
  <si>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</si>
  <si>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</si>
  <si>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</si>
  <si>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</si>
  <si>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</si>
  <si>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</si>
  <si>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</si>
  <si>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</si>
  <si>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</si>
  <si>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</si>
  <si>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</si>
  <si>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</si>
  <si>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</si>
  <si>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</si>
  <si>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</si>
  <si>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</si>
  <si>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</si>
  <si>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</si>
  <si>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</si>
  <si>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</si>
  <si>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</si>
  <si>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</si>
  <si>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</si>
  <si>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</si>
  <si>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</si>
  <si>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</si>
  <si>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</si>
  <si>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</si>
  <si>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</si>
  <si>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</si>
  <si>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</si>
  <si>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</si>
  <si>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</si>
  <si>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</si>
  <si>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</si>
  <si>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</si>
  <si>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</si>
  <si>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</si>
  <si>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</si>
  <si>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</si>
  <si>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</si>
  <si>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</si>
  <si>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</si>
  <si>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</si>
  <si>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</si>
  <si>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</si>
  <si>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</si>
  <si>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</si>
  <si>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</si>
  <si>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</si>
  <si>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</si>
  <si>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</si>
  <si>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</si>
  <si>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</si>
  <si>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</si>
  <si>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</si>
  <si>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</si>
  <si>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</si>
  <si>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</si>
  <si>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</si>
  <si>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</si>
  <si>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</si>
  <si>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</si>
  <si>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</si>
  <si>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</si>
  <si>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</si>
  <si>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</si>
  <si>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</si>
  <si>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</si>
  <si>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</si>
  <si>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</si>
  <si>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</si>
  <si>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</si>
  <si>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</si>
  <si>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</si>
  <si>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</si>
  <si>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</si>
  <si>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</si>
  <si>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</si>
  <si>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</si>
  <si>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</si>
  <si>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</si>
  <si>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</si>
  <si>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</si>
  <si>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</si>
  <si>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</si>
  <si>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</si>
  <si>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</si>
  <si>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</si>
  <si>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</si>
  <si>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</si>
  <si>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</si>
  <si>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</si>
  <si>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</si>
  <si>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</si>
  <si>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</si>
  <si>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</si>
  <si>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</si>
  <si>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</si>
  <si>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</si>
  <si>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</si>
  <si>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</si>
  <si>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</si>
  <si>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</si>
  <si>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</si>
  <si>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</si>
  <si>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</si>
  <si>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</si>
  <si>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</si>
  <si>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</si>
  <si>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</si>
  <si>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</si>
  <si>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</si>
  <si>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</si>
  <si>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</si>
  <si>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</si>
  <si>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</si>
  <si>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</si>
  <si>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</si>
  <si>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</si>
  <si>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</si>
  <si>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</si>
  <si>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</si>
  <si>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</si>
  <si>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</si>
  <si>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</si>
  <si>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</si>
  <si>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</si>
  <si>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</si>
  <si>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</si>
  <si>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</si>
  <si>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</si>
  <si>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</si>
  <si>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</si>
  <si>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</si>
  <si>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</si>
  <si>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</si>
  <si>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</si>
  <si>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</si>
  <si>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</si>
  <si>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</si>
  <si>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</si>
  <si>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</si>
  <si>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</si>
  <si>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</si>
  <si>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</si>
  <si>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</si>
  <si>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</si>
  <si>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</si>
  <si>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</si>
  <si>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</si>
  <si>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</si>
  <si>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</si>
  <si>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</si>
  <si>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</si>
  <si>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</si>
  <si>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</si>
  <si>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</si>
  <si>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</si>
  <si>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</si>
  <si>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</si>
  <si>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</si>
  <si>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</si>
  <si>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</si>
  <si>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</si>
  <si>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</si>
  <si>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</si>
  <si>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</si>
  <si>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</si>
  <si>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</si>
  <si>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</si>
  <si>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</si>
  <si>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</si>
  <si>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</si>
  <si>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</si>
  <si>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</si>
  <si>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</si>
  <si>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</si>
  <si>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</si>
  <si>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</si>
  <si>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</si>
  <si>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</si>
  <si>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</si>
  <si>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</si>
  <si>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</si>
  <si>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</si>
  <si>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</si>
  <si>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</si>
  <si>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</si>
  <si>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</si>
  <si>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</si>
  <si>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</si>
  <si>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</si>
  <si>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</si>
  <si>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</si>
  <si>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</si>
  <si>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</si>
  <si>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</si>
  <si>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</si>
  <si>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</si>
  <si>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</si>
  <si>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</si>
  <si>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</si>
  <si>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</si>
  <si>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</si>
  <si>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</si>
  <si>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</si>
  <si>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</si>
  <si>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</si>
  <si>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</si>
  <si>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</si>
  <si>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</si>
  <si>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</si>
  <si>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</si>
  <si>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</si>
  <si>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</si>
  <si>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</si>
  <si>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</si>
  <si>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</si>
  <si>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</si>
  <si>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</si>
  <si>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</si>
  <si>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</si>
  <si>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</si>
  <si>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</si>
  <si>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</si>
  <si>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</si>
  <si>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</si>
  <si>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</si>
  <si>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</si>
  <si>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</si>
  <si>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</si>
  <si>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</si>
  <si>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</si>
  <si>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</si>
  <si>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</si>
  <si>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</si>
  <si>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</si>
  <si>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</si>
  <si>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</si>
  <si>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</si>
  <si>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</si>
  <si>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</si>
  <si>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</si>
  <si>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</si>
  <si>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</si>
  <si>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</si>
  <si>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</si>
  <si>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</si>
  <si>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</si>
  <si>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</si>
  <si>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</si>
  <si>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</si>
  <si>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</si>
  <si>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</si>
  <si>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</si>
  <si>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</si>
  <si>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</si>
  <si>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</si>
  <si>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</si>
  <si>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</si>
  <si>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</si>
  <si>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</si>
  <si>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</si>
  <si>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</si>
  <si>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</si>
  <si>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</si>
  <si>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</si>
  <si>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</si>
  <si>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</si>
  <si>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</si>
  <si>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</si>
  <si>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</si>
  <si>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</si>
  <si>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</si>
  <si>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</si>
  <si>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</si>
  <si>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</si>
  <si>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</si>
  <si>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</si>
  <si>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</si>
  <si>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</si>
  <si>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</si>
  <si>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</si>
  <si>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</si>
  <si>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</si>
  <si>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</si>
  <si>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</si>
  <si>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</si>
  <si>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</si>
  <si>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</si>
  <si>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</si>
  <si>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</si>
  <si>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</si>
  <si>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</si>
  <si>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</si>
  <si>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</si>
  <si>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</si>
  <si>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</si>
  <si>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</si>
  <si>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</si>
  <si>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</si>
  <si>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</si>
  <si>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</si>
  <si>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</si>
  <si>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</si>
  <si>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</si>
  <si>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</si>
  <si>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</si>
  <si>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</si>
  <si>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</si>
  <si>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</si>
  <si>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</si>
  <si>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</si>
  <si>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</si>
  <si>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</si>
  <si>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</si>
  <si>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</si>
  <si>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</si>
  <si>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</si>
  <si>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</si>
  <si>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</si>
  <si>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</si>
  <si>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</si>
  <si>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</si>
  <si>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</si>
  <si>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</si>
  <si>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</si>
  <si>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</si>
  <si>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</si>
  <si>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</si>
  <si>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</si>
  <si>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</si>
  <si>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</si>
  <si>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</si>
  <si>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</si>
  <si>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</si>
  <si>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</si>
  <si>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</si>
  <si>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</si>
  <si>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</si>
  <si>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</si>
  <si>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</si>
  <si>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</si>
  <si>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</si>
  <si>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</si>
  <si>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</si>
  <si>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</si>
  <si>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</si>
  <si>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</si>
  <si>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</si>
  <si>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</si>
  <si>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</si>
  <si>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</si>
  <si>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</si>
  <si>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</si>
  <si>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</si>
  <si>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</si>
  <si>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</si>
  <si>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</si>
  <si>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</si>
  <si>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</si>
  <si>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</si>
  <si>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</si>
  <si>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</si>
  <si>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</si>
  <si>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</si>
  <si>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</si>
  <si>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</si>
  <si>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</si>
  <si>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</si>
  <si>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</si>
  <si>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</si>
  <si>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</si>
  <si>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</si>
  <si>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</si>
  <si>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</si>
  <si>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</si>
  <si>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</si>
  <si>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</si>
  <si>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</si>
  <si>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</si>
  <si>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</si>
  <si>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</si>
  <si>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</si>
  <si>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</si>
  <si>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</si>
  <si>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</si>
  <si>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</si>
  <si>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</si>
  <si>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</si>
  <si>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</si>
  <si>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</si>
  <si>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</si>
  <si>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</si>
  <si>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</si>
  <si>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</si>
  <si>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</si>
  <si>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</si>
  <si>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</si>
  <si>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</si>
  <si>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</si>
  <si>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</si>
  <si>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</si>
  <si>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</si>
  <si>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</si>
  <si>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</si>
  <si>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</si>
  <si>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</si>
  <si>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</si>
  <si>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</si>
  <si>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</si>
  <si>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</si>
  <si>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</si>
  <si>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</si>
  <si>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</si>
  <si>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</si>
  <si>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</si>
  <si>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</si>
  <si>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</si>
  <si>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</si>
  <si>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</si>
  <si>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</si>
  <si>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</si>
  <si>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</si>
  <si>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</si>
  <si>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</si>
  <si>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</si>
  <si>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</si>
  <si>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</si>
  <si>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</si>
  <si>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</si>
  <si>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</si>
  <si>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</si>
  <si>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</si>
  <si>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d</t>
    <phoneticPr fontId="3" type="noConversion"/>
  </si>
  <si>
    <t>用地性质</t>
  </si>
  <si>
    <t>建设用地面积(㎡)</t>
  </si>
  <si>
    <t>规划建筑面积(㎡)</t>
  </si>
  <si>
    <t>出让方式</t>
  </si>
  <si>
    <t>截止日期</t>
  </si>
  <si>
    <t>起始价(万元)</t>
  </si>
  <si>
    <t>成交价(万元)</t>
  </si>
  <si>
    <t>成交楼面价(元/㎡)</t>
  </si>
  <si>
    <t>溢价率</t>
  </si>
  <si>
    <t>受让单位</t>
  </si>
  <si>
    <t>土地星级</t>
  </si>
  <si>
    <t>开发区锦丰路东侧、反修河南侧地块</t>
  </si>
  <si>
    <t>盐城市</t>
  </si>
  <si>
    <t>住宅用地</t>
  </si>
  <si>
    <t>≥1.2,≤1.5</t>
  </si>
  <si>
    <t>挂牌</t>
  </si>
  <si>
    <t>2018-03-07</t>
  </si>
  <si>
    <t>江苏权健置业有限公司</t>
  </si>
  <si>
    <t>1星</t>
  </si>
  <si>
    <t>东郊公园东侧B地块</t>
  </si>
  <si>
    <t>＞1,≤1.8</t>
  </si>
  <si>
    <t>2018-01-07</t>
  </si>
  <si>
    <t>苏州升益房地产信息咨询有限公司</t>
  </si>
  <si>
    <t>2星</t>
  </si>
  <si>
    <t>南翔大道南侧B地块</t>
  </si>
  <si>
    <t>＞1,≤2.2</t>
  </si>
  <si>
    <t>宁波宁发投资有限公司</t>
  </si>
  <si>
    <t>双拥路西侧地块</t>
  </si>
  <si>
    <t>＞1,≤2</t>
  </si>
  <si>
    <t>上海荣润房地产开发有限公司</t>
  </si>
  <si>
    <t>南翔大道南侧A地块</t>
  </si>
  <si>
    <t>东郊公园东侧A地块</t>
  </si>
  <si>
    <t>＞1,≤1.4</t>
  </si>
  <si>
    <t>香堤雅郡北侧地块</t>
  </si>
  <si>
    <t>＞1,≤2.3</t>
  </si>
  <si>
    <t>中昂地产(集团)有限公司</t>
  </si>
  <si>
    <t>草堰镇疆界河南侧、三元集中居住点西侧地块</t>
  </si>
  <si>
    <t>综合用地(含住宅)</t>
  </si>
  <si>
    <t>≤2</t>
  </si>
  <si>
    <t>2017-07-06</t>
  </si>
  <si>
    <t>盐城大丰宏嘉旅游开发有限公司</t>
  </si>
  <si>
    <t>东方绿洲生态渔业园综合服务中心地块</t>
  </si>
  <si>
    <t>≤1.5</t>
  </si>
  <si>
    <t>盐城大丰东方绿洲实业有限公司</t>
  </si>
  <si>
    <t>大中镇恒北村春柳路西侧、恒北中路北侧地块</t>
  </si>
  <si>
    <t>≤1.2</t>
  </si>
  <si>
    <t>江苏原乡温泉旅游度假村有限公司</t>
  </si>
  <si>
    <t>大丰高新区健康路5地块</t>
  </si>
  <si>
    <t>＞1且≤1.6</t>
  </si>
  <si>
    <t>2017-03-10</t>
  </si>
  <si>
    <t>嘉兴市盐嘉物业管理有限公司</t>
  </si>
  <si>
    <t>二院西侧地块</t>
  </si>
  <si>
    <t>＞1且≤2.2</t>
  </si>
  <si>
    <t>大丰市银鼎房地产开发有限公司</t>
  </si>
  <si>
    <t>3星</t>
  </si>
  <si>
    <t>新丰镇226省道东侧、南环大道北侧地块</t>
  </si>
  <si>
    <t>＞1且≤2</t>
  </si>
  <si>
    <t>2017-01-16</t>
  </si>
  <si>
    <t>江苏郁金香旅游开发有限公司</t>
  </si>
  <si>
    <t>抵押</t>
  </si>
  <si>
    <t>抵押价格</t>
  </si>
  <si>
    <t>其他：</t>
  </si>
  <si>
    <t>企业</t>
  </si>
  <si>
    <t>商业</t>
  </si>
  <si>
    <t>一致</t>
  </si>
  <si>
    <t>江苏省盐城市大丰港区海辉路北侧</t>
    <phoneticPr fontId="6" type="noConversion"/>
  </si>
  <si>
    <t>地上</t>
  </si>
  <si>
    <t>住宅</t>
    <phoneticPr fontId="3" type="noConversion"/>
  </si>
  <si>
    <t>商业</t>
    <phoneticPr fontId="3" type="noConversion"/>
  </si>
  <si>
    <t>比较法-住宅、综合</t>
  </si>
  <si>
    <t>不动产收益法</t>
  </si>
  <si>
    <t>不动产比较法-住宅</t>
  </si>
  <si>
    <t>人才公寓</t>
    <phoneticPr fontId="3" type="noConversion"/>
  </si>
  <si>
    <t>较差</t>
  </si>
  <si>
    <t>较好</t>
  </si>
  <si>
    <t>一般</t>
  </si>
  <si>
    <t>正常</t>
  </si>
  <si>
    <t>规则</t>
  </si>
  <si>
    <t>较规则</t>
  </si>
  <si>
    <t>较不规则</t>
  </si>
  <si>
    <t>不规则</t>
  </si>
  <si>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</si>
  <si>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</si>
  <si>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</si>
  <si>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</si>
  <si>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</si>
  <si>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住宅</t>
    <phoneticPr fontId="26" type="noConversion"/>
  </si>
  <si>
    <t>六通</t>
  </si>
  <si>
    <t>按租金收入计税</t>
  </si>
  <si>
    <t>钢混</t>
  </si>
  <si>
    <t>否</t>
  </si>
  <si>
    <t>住宅</t>
    <phoneticPr fontId="7" type="noConversion"/>
  </si>
  <si>
    <t>商业</t>
    <phoneticPr fontId="7" type="noConversion"/>
  </si>
  <si>
    <t>售价</t>
  </si>
  <si>
    <t>海韵家园</t>
    <phoneticPr fontId="3" type="noConversion"/>
  </si>
  <si>
    <t>星湖花园</t>
    <phoneticPr fontId="3" type="noConversion"/>
  </si>
  <si>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</si>
  <si>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</si>
  <si>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</si>
  <si>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</si>
  <si>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</si>
  <si>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</si>
  <si>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phoneticPr fontId="21" type="noConversion"/>
  </si>
  <si>
    <t>专业</t>
    <phoneticPr fontId="21" type="noConversion"/>
  </si>
  <si>
    <t>精装</t>
    <phoneticPr fontId="21" type="noConversion"/>
  </si>
  <si>
    <t>毛坯</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</si>
  <si>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</si>
  <si>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</si>
  <si>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</si>
  <si>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</si>
  <si>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</si>
  <si>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</si>
  <si>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高速路</t>
    <phoneticPr fontId="21" type="noConversion"/>
  </si>
  <si>
    <t>快速路</t>
    <phoneticPr fontId="21" type="noConversion"/>
  </si>
  <si>
    <t>主干道</t>
    <phoneticPr fontId="21" type="noConversion"/>
  </si>
  <si>
    <r>
      <rPr>
        <sz val="11"/>
        <color indexed="8"/>
        <rFont val="宋体"/>
        <family val="3"/>
        <charset val="134"/>
      </rPr>
      <t>次干道</t>
    </r>
    <r>
      <rPr>
        <sz val="11"/>
        <color indexed="8"/>
        <rFont val="Arial"/>
        <family val="2"/>
      </rPr>
      <t xml:space="preserve"> </t>
    </r>
    <phoneticPr fontId="21" type="noConversion"/>
  </si>
  <si>
    <t>住宅</t>
    <phoneticPr fontId="21" type="noConversion"/>
  </si>
  <si>
    <t>住宅</t>
    <phoneticPr fontId="21" type="noConversion"/>
  </si>
  <si>
    <t>60-70（含）</t>
  </si>
  <si>
    <t>高层</t>
    <phoneticPr fontId="21" type="noConversion"/>
  </si>
  <si>
    <t>多层</t>
  </si>
  <si>
    <t>多层</t>
    <phoneticPr fontId="21" type="noConversion"/>
  </si>
  <si>
    <t>剩余法-待开发</t>
  </si>
  <si>
    <t>楼面地价</t>
  </si>
  <si>
    <t>差</t>
  </si>
  <si>
    <t>物业管理用房</t>
    <phoneticPr fontId="3" type="noConversion"/>
  </si>
  <si>
    <t>是</t>
    <phoneticPr fontId="3" type="noConversion"/>
  </si>
  <si>
    <t>海韵嘉园</t>
    <phoneticPr fontId="3" type="noConversion"/>
  </si>
  <si>
    <t>商业</t>
    <phoneticPr fontId="26" type="noConversion"/>
  </si>
  <si>
    <t>30-40（含）</t>
  </si>
  <si>
    <t>较好</t>
    <phoneticPr fontId="26" type="noConversion"/>
  </si>
  <si>
    <t>一般</t>
    <phoneticPr fontId="26" type="noConversion"/>
  </si>
  <si>
    <t>一般</t>
    <phoneticPr fontId="26" type="noConversion"/>
  </si>
  <si>
    <t>可餐饮</t>
  </si>
  <si>
    <t>可餐饮</t>
    <phoneticPr fontId="26" type="noConversion"/>
  </si>
  <si>
    <t>不可餐饮</t>
    <phoneticPr fontId="26" type="noConversion"/>
  </si>
  <si>
    <t>七通</t>
    <phoneticPr fontId="26" type="noConversion"/>
  </si>
  <si>
    <t>六通</t>
    <phoneticPr fontId="26" type="noConversion"/>
  </si>
  <si>
    <t>五通</t>
    <phoneticPr fontId="26" type="noConversion"/>
  </si>
  <si>
    <t>四通</t>
    <phoneticPr fontId="26" type="noConversion"/>
  </si>
  <si>
    <t>精装</t>
  </si>
  <si>
    <t>精装</t>
    <phoneticPr fontId="26" type="noConversion"/>
  </si>
  <si>
    <t>普装</t>
    <phoneticPr fontId="26" type="noConversion"/>
  </si>
  <si>
    <t>毛坯</t>
    <phoneticPr fontId="26" type="noConversion"/>
  </si>
  <si>
    <t>简装</t>
    <phoneticPr fontId="26" type="noConversion"/>
  </si>
  <si>
    <t>钢混</t>
    <phoneticPr fontId="26" type="noConversion"/>
  </si>
  <si>
    <t>独立商业</t>
    <phoneticPr fontId="26" type="noConversion"/>
  </si>
  <si>
    <t>住宅底商</t>
  </si>
  <si>
    <t>住宅底商</t>
    <phoneticPr fontId="26" type="noConversion"/>
  </si>
  <si>
    <t>写字楼底商</t>
    <phoneticPr fontId="26" type="noConversion"/>
  </si>
  <si>
    <t>大</t>
    <phoneticPr fontId="26" type="noConversion"/>
  </si>
  <si>
    <t>较大</t>
    <phoneticPr fontId="26" type="noConversion"/>
  </si>
  <si>
    <t>较小</t>
  </si>
  <si>
    <t>较小</t>
    <phoneticPr fontId="26" type="noConversion"/>
  </si>
  <si>
    <t>小</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</si>
  <si>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</si>
  <si>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</si>
  <si>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</si>
  <si>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</si>
  <si>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</si>
  <si>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</si>
  <si>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好</t>
    <phoneticPr fontId="26" type="noConversion"/>
  </si>
  <si>
    <t>较差</t>
    <phoneticPr fontId="26" type="noConversion"/>
  </si>
  <si>
    <t>差</t>
    <phoneticPr fontId="26" type="noConversion"/>
  </si>
  <si>
    <t>适宜</t>
    <phoneticPr fontId="26" type="noConversion"/>
  </si>
  <si>
    <t>较适宜</t>
  </si>
  <si>
    <t>较适宜</t>
    <phoneticPr fontId="26" type="noConversion"/>
  </si>
  <si>
    <t>简装</t>
    <phoneticPr fontId="26" type="noConversion"/>
  </si>
  <si>
    <t>标准</t>
  </si>
  <si>
    <t>标准</t>
    <phoneticPr fontId="26" type="noConversion"/>
  </si>
  <si>
    <t>楼层</t>
    <phoneticPr fontId="15" type="noConversion"/>
  </si>
  <si>
    <t>单价</t>
    <phoneticPr fontId="15" type="noConversion"/>
  </si>
  <si>
    <t>楼层系数</t>
    <phoneticPr fontId="15" type="noConversion"/>
  </si>
  <si>
    <t>商业</t>
    <phoneticPr fontId="15" type="noConversion"/>
  </si>
  <si>
    <t>专业</t>
  </si>
  <si>
    <t>专业</t>
    <phoneticPr fontId="21" type="noConversion"/>
  </si>
  <si>
    <t>非专业</t>
    <phoneticPr fontId="21" type="noConversion"/>
  </si>
  <si>
    <t>五通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</si>
</sst>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0" fillId="8" borderId="0" xfId="0" applyFill="1" applyAlignment="1"/>
    <xf numFmtId="0" fontId="8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184" fontId="76" fillId="9" borderId="2" xfId="0" applyNumberFormat="1" applyFont="1" applyFill="1" applyBorder="1" applyAlignment="1" applyProtection="1">
      <alignment horizontal="center" vertical="center"/>
      <protection locked="0"/>
    </xf>
    <xf numFmtId="181" fontId="152" fillId="9" borderId="2" xfId="0" applyNumberFormat="1" applyFont="1" applyFill="1" applyBorder="1" applyAlignment="1" applyProtection="1">
      <alignment horizontal="center" vertical="center"/>
      <protection locked="0"/>
    </xf>
    <xf numFmtId="0" fontId="11" fillId="9" borderId="2" xfId="0" applyFont="1" applyFill="1" applyBorder="1" applyAlignment="1" applyProtection="1">
      <alignment vertical="center" wrapText="1"/>
      <protection locked="0"/>
    </xf>
    <xf numFmtId="176" fontId="11" fillId="9" borderId="2"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177" fontId="76"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532220</xdr:colOff>
      <xdr:row>36</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47620" cy="6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江苏省盐城市大丰港区海辉路北侧出让国有建设用地使用权抵押价格预评估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受贵公司委托，我公司对江苏省盐城市大丰港区海辉路北侧出让国有建设用地使用权抵押价格进行了预评估。</v>
      </c>
      <c r="AM6" s="2858"/>
    </row>
    <row r="7" spans="1:55" s="2832" customFormat="1">
      <c r="A7" s="2833" t="s">
        <v>2657</v>
      </c>
      <c r="B7" s="2834" t="str">
        <f>'预评函-1'!A6</f>
        <v>估价对象为使用的、位于江苏省盐城市大丰港区海辉路北侧出让国有建设用地使用权。根据《国有土地使用证》[]，估价对象（分摊）出让国有建设用地使用权面积为233292.2平方米。根据《建设工程规划许可证》[]、《出让合同》[]，估价对象规划建筑面积为699876.6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2019年8月2日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根据《国有土地使用证》[]，估价对象（分摊）出让国有建设用地使用权面积为233292.2平方米。根据《建设工程规划许可证》[]、《出让合同》[]，估价对象规划建筑面积为699876.6平方米。</v>
      </c>
    </row>
    <row r="16" spans="1:55" s="2832" customFormat="1">
      <c r="A16" s="2833" t="s">
        <v>2669</v>
      </c>
      <c r="B16" s="2834" t="str">
        <f>'预评函-1'!A22</f>
        <v>本次估价对象为出让国有建设用地使用权，《国有土地使用证》[]证载土地终止日期为住宅2079年9月14日、商业2049年9月14日。截至估价期日，出让国有建设用地使用权剩余土地使用年限为。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2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估价期日：2019年8月2日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233292.2</v>
      </c>
    </row>
    <row r="44" spans="1:2">
      <c r="A44" s="2833" t="s">
        <v>2740</v>
      </c>
      <c r="B44" s="2834" t="str">
        <f>'预评函-2'!O3</f>
        <v>规划建筑面积/㎡</v>
      </c>
    </row>
    <row r="45" spans="1:2">
      <c r="A45" s="2833" t="s">
        <v>2722</v>
      </c>
      <c r="B45" s="2834">
        <f>'预评函-2'!O5</f>
        <v>699876.6</v>
      </c>
    </row>
    <row r="46" spans="1:2">
      <c r="A46" s="2833" t="s">
        <v>2723</v>
      </c>
      <c r="B46" s="2834">
        <f ca="1">'预评函-2'!P5</f>
        <v>2938</v>
      </c>
    </row>
    <row r="47" spans="1:2">
      <c r="A47" s="2833" t="s">
        <v>2724</v>
      </c>
      <c r="B47" s="2834">
        <f ca="1">'预评函-2'!Q5</f>
        <v>979</v>
      </c>
    </row>
    <row r="48" spans="1:2">
      <c r="A48" s="2833" t="s">
        <v>2725</v>
      </c>
      <c r="B48" s="2834">
        <f ca="1">'预评函-2'!R5</f>
        <v>68540</v>
      </c>
    </row>
    <row r="49" spans="1:2">
      <c r="A49" s="2833" t="s">
        <v>2741</v>
      </c>
      <c r="B49" s="2834" t="str">
        <f>'预评函-2'!A6</f>
        <v>抵押价格</v>
      </c>
    </row>
    <row r="50" spans="1:2">
      <c r="A50" s="2833" t="s">
        <v>2726</v>
      </c>
      <c r="B50" s="2834">
        <f ca="1">'预评函-2'!R6</f>
        <v>68540</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f>'预评函-3'!A21</f>
        <v>0</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 zoomScale="90" zoomScaleNormal="100" zoomScaleSheetLayoutView="90" workbookViewId="0">
      <selection activeCell="D4" sqref="D4"/>
    </sheetView>
  </sheetViews>
  <sheetFormatPr defaultColWidth="10" defaultRowHeight="14.25"/>
  <cols>
    <col min="1" max="1" width="15.375" style="1675" customWidth="1"/>
    <col min="2" max="2" width="11.375" style="1675" customWidth="1"/>
    <col min="3" max="3" width="12.625" style="1675" customWidth="1"/>
    <col min="4" max="4" width="15.62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7" t="str">
        <f>IF(B10="北京市","北京市",C10)&amp;F10&amp;B16&amp;"国有建设用地使用权"&amp;B9&amp;"预评估"</f>
        <v>江苏省盐城市大丰港区海辉路北侧出让国有建设用地使用权抵押价格预评估</v>
      </c>
      <c r="C1" s="3248"/>
      <c r="D1" s="3248"/>
      <c r="E1" s="3248"/>
      <c r="F1" s="3248"/>
      <c r="G1" s="3248"/>
      <c r="H1" s="3248"/>
      <c r="I1" s="3249"/>
      <c r="J1" s="1678"/>
      <c r="K1" s="2419" t="str">
        <f>IF(B10="北京市","北京市",C10)&amp;F10&amp;B16&amp;"国有建设用地使用权"&amp;B9</f>
        <v>江苏省盐城市大丰港区海辉路北侧出让国有建设用地使用权抵押价格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江苏省盐城市大丰港区海辉路北侧出让国有建设用地使用权</v>
      </c>
      <c r="L2" s="1707"/>
      <c r="M2" s="1707"/>
      <c r="N2" s="1678"/>
      <c r="O2" s="1679"/>
      <c r="P2" s="1678"/>
      <c r="Q2" s="1678"/>
      <c r="R2" s="1678"/>
      <c r="S2" s="1678"/>
      <c r="T2" s="1678"/>
      <c r="U2" s="1678"/>
    </row>
    <row r="3" spans="1:21">
      <c r="A3" s="1645" t="s">
        <v>1939</v>
      </c>
      <c r="B3" s="1646">
        <v>43577</v>
      </c>
      <c r="C3" s="1647" t="s">
        <v>1995</v>
      </c>
      <c r="D3" s="1646">
        <v>43679</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3057</v>
      </c>
      <c r="C8" s="1655"/>
      <c r="D8" s="3253" t="s">
        <v>1944</v>
      </c>
      <c r="E8" s="1828" t="s">
        <v>3058</v>
      </c>
      <c r="F8" s="1656"/>
      <c r="G8" s="1644"/>
      <c r="H8" s="1644"/>
      <c r="I8" s="1691"/>
      <c r="J8" s="1678"/>
      <c r="K8" s="1758"/>
      <c r="L8" s="1707"/>
      <c r="M8" s="1707"/>
      <c r="N8" s="1678"/>
      <c r="O8" s="1679"/>
      <c r="P8" s="1678"/>
      <c r="Q8" s="1678"/>
      <c r="R8" s="1678"/>
      <c r="S8" s="1678"/>
      <c r="T8" s="1678"/>
      <c r="U8" s="1678"/>
    </row>
    <row r="9" spans="1:21" ht="15" thickBot="1">
      <c r="A9" s="1657" t="s">
        <v>1943</v>
      </c>
      <c r="B9" s="1658" t="s">
        <v>3058</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3059</v>
      </c>
      <c r="C10" s="1660"/>
      <c r="D10" s="1651"/>
      <c r="E10" s="1661" t="s">
        <v>1946</v>
      </c>
      <c r="F10" s="1662" t="s">
        <v>3063</v>
      </c>
      <c r="G10" s="1729"/>
      <c r="H10" s="1730"/>
      <c r="I10" s="1651"/>
      <c r="J10" s="1678"/>
      <c r="K10" s="1758"/>
      <c r="L10" s="1707"/>
      <c r="M10" s="1707"/>
      <c r="N10" s="1678"/>
      <c r="O10" s="1679"/>
      <c r="P10" s="1678"/>
      <c r="Q10" s="1678"/>
      <c r="R10" s="1678"/>
      <c r="S10" s="1678"/>
      <c r="T10" s="1678"/>
      <c r="U10" s="1678"/>
    </row>
    <row r="11" spans="1:21">
      <c r="A11" s="1681" t="s">
        <v>2000</v>
      </c>
      <c r="B11" s="1682" t="s">
        <v>3060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0"/>
      <c r="C12" s="3251"/>
      <c r="D12" s="3252"/>
      <c r="E12" s="1683" t="s">
        <v>2061</v>
      </c>
      <c r="F12" s="3268" t="s">
        <v>2890</v>
      </c>
      <c r="G12" s="3269"/>
      <c r="H12" s="3269"/>
      <c r="I12" s="3270"/>
      <c r="J12" s="1678"/>
      <c r="K12" s="1758"/>
      <c r="L12" s="1707"/>
      <c r="M12" s="1707"/>
      <c r="N12" s="1678"/>
      <c r="O12" s="1679"/>
      <c r="P12" s="1678"/>
      <c r="Q12" s="1678"/>
      <c r="R12" s="1678"/>
      <c r="S12" s="1678"/>
      <c r="T12" s="1678"/>
      <c r="U12" s="1678"/>
    </row>
    <row r="13" spans="1:21">
      <c r="A13" s="1671" t="s">
        <v>2059</v>
      </c>
      <c r="B13" s="3250"/>
      <c r="C13" s="3251"/>
      <c r="D13" s="3252"/>
      <c r="E13" s="1683" t="s">
        <v>2061</v>
      </c>
      <c r="F13" s="3268" t="s">
        <v>2891</v>
      </c>
      <c r="G13" s="3269"/>
      <c r="H13" s="3269"/>
      <c r="I13" s="3270"/>
      <c r="J13" s="1678"/>
      <c r="K13" s="1758"/>
      <c r="L13" s="1707"/>
      <c r="M13" s="1707"/>
      <c r="N13" s="1678"/>
      <c r="O13" s="1679"/>
      <c r="P13" s="1678"/>
      <c r="Q13" s="1678"/>
      <c r="R13" s="1678"/>
      <c r="S13" s="1678"/>
      <c r="T13" s="1678"/>
      <c r="U13" s="1678"/>
    </row>
    <row r="14" spans="1:21">
      <c r="A14" s="1645" t="s">
        <v>2062</v>
      </c>
      <c r="B14" s="1683"/>
      <c r="C14" s="1829" t="s">
        <v>3062</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t="s">
        <v>3061</v>
      </c>
      <c r="F16" s="1706"/>
      <c r="G16" s="1706"/>
      <c r="H16" s="1706"/>
      <c r="I16" s="1670" t="s">
        <v>1954</v>
      </c>
      <c r="J16" s="1678"/>
      <c r="K16" s="2420" t="str">
        <f>IF(D17="","",D16&amp;TEXT(D17,"yyyy年m月d日;;"))</f>
        <v>住宅2079年9月14日</v>
      </c>
      <c r="L16" s="1683" t="str">
        <f>IF(OR(K16="",M16=""),"","、")</f>
        <v>、</v>
      </c>
      <c r="M16" s="2420" t="str">
        <f>IF(E17="","",E16&amp;TEXT(E17,"yyyy年m月d日;;"))</f>
        <v>商业2049年9月14日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65637</v>
      </c>
      <c r="E17" s="1684">
        <v>54680</v>
      </c>
      <c r="F17" s="1684"/>
      <c r="G17" s="1684"/>
      <c r="H17" s="1684"/>
      <c r="I17" s="1684"/>
      <c r="J17" s="1678"/>
      <c r="K17" s="2419" t="str">
        <f>CONCATENATE(K16,L16,M16,N16,O16,P16,Q16,R16,S16,T16,,U16)</f>
        <v>住宅2079年9月14日、商业2049年9月14日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60.15</v>
      </c>
      <c r="E19" s="1669">
        <f>IF(B16="出让",IF(E17="","",ROUNDDOWN(MIN((E17-$D$3)/365,E18),2)),E18)</f>
        <v>30.13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5"/>
      <c r="E20" s="3266"/>
      <c r="F20" s="3266"/>
      <c r="G20" s="3266"/>
      <c r="H20" s="3266"/>
      <c r="I20" s="3267"/>
      <c r="J20" s="1678"/>
      <c r="K20" s="1758"/>
      <c r="L20" s="1707"/>
      <c r="M20" s="1707"/>
      <c r="N20" s="1678"/>
      <c r="O20" s="1679"/>
      <c r="P20" s="1678"/>
      <c r="Q20" s="1678"/>
      <c r="R20" s="1678"/>
      <c r="S20" s="1678"/>
      <c r="T20" s="1678"/>
      <c r="U20" s="1678"/>
    </row>
    <row r="21" spans="1:21">
      <c r="A21" s="1747" t="s">
        <v>1958</v>
      </c>
      <c r="B21" s="1748" t="s">
        <v>1959</v>
      </c>
      <c r="C21" s="1743">
        <f>'数据-汇总表'!E3</f>
        <v>699876.6</v>
      </c>
      <c r="D21" s="1744" t="s">
        <v>1960</v>
      </c>
      <c r="E21" s="3255" t="s">
        <v>1998</v>
      </c>
      <c r="F21" s="3256"/>
      <c r="G21" s="3256"/>
      <c r="H21" s="3256"/>
      <c r="I21" s="3257"/>
      <c r="J21" s="1678"/>
      <c r="K21" s="1758"/>
      <c r="L21" s="1707"/>
      <c r="M21" s="1707"/>
      <c r="N21" s="1678"/>
      <c r="O21" s="1679"/>
      <c r="P21" s="1678"/>
      <c r="Q21" s="1678"/>
      <c r="R21" s="1678"/>
      <c r="S21" s="1678"/>
      <c r="T21" s="1678"/>
      <c r="U21" s="1678"/>
    </row>
    <row r="22" spans="1:21">
      <c r="A22" s="3097" t="s">
        <v>952</v>
      </c>
      <c r="B22" s="1645" t="s">
        <v>1961</v>
      </c>
      <c r="C22" s="1670">
        <f>'数据-汇总表'!D3</f>
        <v>233292.2</v>
      </c>
      <c r="D22" s="1671" t="s">
        <v>1960</v>
      </c>
      <c r="E22" s="3255" t="s">
        <v>2892</v>
      </c>
      <c r="F22" s="3256"/>
      <c r="G22" s="3256"/>
      <c r="H22" s="3256"/>
      <c r="I22" s="3257"/>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8" t="s">
        <v>1966</v>
      </c>
      <c r="C24" s="3259"/>
      <c r="D24" s="3260" t="s">
        <v>1967</v>
      </c>
      <c r="E24" s="3261"/>
      <c r="F24" s="1692" t="s">
        <v>1968</v>
      </c>
      <c r="G24" s="1678"/>
      <c r="H24" s="1678"/>
      <c r="I24" s="1691"/>
      <c r="J24" s="1678"/>
      <c r="K24" s="3246"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32" t="s">
        <v>2001</v>
      </c>
      <c r="B31" s="1748" t="s">
        <v>2002</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32"/>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2"/>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3"/>
      <c r="B34" s="1645" t="s">
        <v>2005</v>
      </c>
      <c r="C34" s="3234"/>
      <c r="D34" s="3235"/>
      <c r="E34" s="1678"/>
      <c r="F34" s="1678"/>
      <c r="G34" s="1678"/>
      <c r="H34" s="1678"/>
      <c r="I34" s="1691"/>
      <c r="J34" s="1678"/>
      <c r="K34" s="2422"/>
      <c r="L34" s="1678"/>
      <c r="M34" s="1678"/>
      <c r="N34" s="1678"/>
      <c r="O34" s="1678"/>
      <c r="P34" s="1678"/>
      <c r="Q34" s="1678"/>
      <c r="R34" s="1678"/>
      <c r="S34" s="1678"/>
      <c r="T34" s="1678"/>
      <c r="U34" s="1678"/>
    </row>
    <row r="35" spans="1:21">
      <c r="A35" s="3236" t="s">
        <v>847</v>
      </c>
      <c r="B35" s="1706"/>
      <c r="C35" s="1760" t="str">
        <f>IF(B35="场地平整","——","具体情况：")</f>
        <v>具体情况：</v>
      </c>
      <c r="D35" s="3238"/>
      <c r="E35" s="3239"/>
      <c r="F35" s="3239"/>
      <c r="G35" s="3239"/>
      <c r="H35" s="3239"/>
      <c r="I35" s="3240"/>
      <c r="J35" s="1678"/>
      <c r="K35" s="1759"/>
      <c r="L35" s="1707"/>
      <c r="M35" s="1707"/>
      <c r="N35" s="1678"/>
      <c r="O35" s="1679"/>
      <c r="P35" s="1678"/>
      <c r="Q35" s="1678"/>
      <c r="R35" s="1678"/>
      <c r="S35" s="1678"/>
      <c r="T35" s="1678"/>
      <c r="U35" s="1678"/>
    </row>
    <row r="36" spans="1:21">
      <c r="A36" s="3232"/>
      <c r="B36" s="3241" t="s">
        <v>2054</v>
      </c>
      <c r="C36" s="3242"/>
      <c r="D36" s="1776"/>
      <c r="E36" s="3243"/>
      <c r="F36" s="3243"/>
      <c r="G36" s="1671" t="str">
        <f>IF(B35="场地未平整","估价结果处理","")</f>
        <v/>
      </c>
      <c r="H36" s="3244"/>
      <c r="I36" s="3244"/>
      <c r="J36" s="1678"/>
      <c r="K36" s="1759"/>
      <c r="L36" s="1707"/>
      <c r="M36" s="1707"/>
      <c r="N36" s="1678"/>
      <c r="O36" s="1679"/>
      <c r="P36" s="1678"/>
      <c r="Q36" s="1678"/>
      <c r="R36" s="1678"/>
      <c r="S36" s="1678"/>
      <c r="T36" s="1678"/>
      <c r="U36" s="1678"/>
    </row>
    <row r="37" spans="1:21" ht="28.5">
      <c r="A37" s="3232"/>
      <c r="B37" s="326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2"/>
      <c r="B38" s="3263"/>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33"/>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5" t="s">
        <v>1985</v>
      </c>
      <c r="T40" s="1715" t="str">
        <f>NUMBERSTRING(7-K40,1)&amp;"通"</f>
        <v>七通</v>
      </c>
      <c r="U40" s="1678"/>
    </row>
    <row r="41" spans="1:21">
      <c r="A41" s="1647"/>
      <c r="B41" s="3237" t="s">
        <v>1721</v>
      </c>
      <c r="C41" s="3237"/>
      <c r="D41" s="3237"/>
      <c r="E41" s="323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G14" sqref="AG14:AH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233292.2</v>
      </c>
      <c r="B3" s="22">
        <f>IF(C3="否",G5-AT5,G5)</f>
        <v>699876.6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699876.6</v>
      </c>
      <c r="H5" s="27">
        <f t="shared" ref="H5:AT5" si="0">SUM(H13:H641)</f>
        <v>699876.6</v>
      </c>
      <c r="I5" s="27">
        <f t="shared" si="0"/>
        <v>489913.62</v>
      </c>
      <c r="J5" s="27">
        <f t="shared" si="0"/>
        <v>0</v>
      </c>
      <c r="K5" s="27">
        <f t="shared" si="0"/>
        <v>209962.98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699876.6</v>
      </c>
      <c r="BA5" s="29">
        <f t="shared" si="1"/>
        <v>699876.6</v>
      </c>
      <c r="BB5" s="29">
        <f t="shared" si="1"/>
        <v>489913.62</v>
      </c>
      <c r="BC5" s="29">
        <f t="shared" si="1"/>
        <v>209962.98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233292.2</v>
      </c>
      <c r="F6" s="27" t="s">
        <v>1</v>
      </c>
      <c r="G6" s="27" t="s">
        <v>2</v>
      </c>
      <c r="H6" s="33">
        <f>SUMIF(I$12:AB$12,"总值",I6:AB6)</f>
        <v>233292.2</v>
      </c>
      <c r="I6" s="27">
        <f t="shared" ref="I6:AB6" si="2">ROUND($A$3*I5/$B$3,2)</f>
        <v>163304.54</v>
      </c>
      <c r="J6" s="27">
        <f t="shared" si="2"/>
        <v>0</v>
      </c>
      <c r="K6" s="27">
        <f t="shared" si="2"/>
        <v>69987.66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233292.2</v>
      </c>
      <c r="AZ6" s="27" t="s">
        <v>3</v>
      </c>
      <c r="BA6" s="27">
        <f>ROUND($AY$6*BA5/$AZ$5,2)</f>
        <v>233292.2</v>
      </c>
      <c r="BB6" s="27">
        <f>ROUND($AY$6*BB5/$AZ$5,2)</f>
        <v>163304.54</v>
      </c>
      <c r="BC6" s="27">
        <f t="shared" ref="BC6:BH6" si="4">ROUND($AY$6*BC5/$AZ$5,2)</f>
        <v>69987.66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3064</v>
      </c>
      <c r="J9" s="51"/>
      <c r="K9" s="2971" t="s">
        <v>3064</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3061</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3065</v>
      </c>
      <c r="D13" s="2967" t="s">
        <v>1678</v>
      </c>
      <c r="E13" s="27">
        <f t="shared" ref="E13:E20" si="6">IF($C$3="是",ROUND($A$3*G13/$B$3,2),ROUND($A$3*(G13-AT13)/$B$3,2))</f>
        <v>163304.54</v>
      </c>
      <c r="F13" s="81"/>
      <c r="G13" s="82">
        <f t="shared" ref="G13:G20" si="7">H13+AC13+AT13</f>
        <v>489913.62</v>
      </c>
      <c r="H13" s="33">
        <f t="shared" ref="H13:H20" si="8">SUMIF(I$12:AB$12,"总值",I13:AB13)</f>
        <v>489913.62</v>
      </c>
      <c r="I13" s="3195">
        <f>ROUND(A3*3*0.7,2)</f>
        <v>489913.62</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163304.54</v>
      </c>
      <c r="AZ13" s="27">
        <f t="shared" ref="AZ13:AZ20" si="12">BA13+BL13</f>
        <v>489913.62</v>
      </c>
      <c r="BA13" s="27">
        <f t="shared" ref="BA13:BA20" si="13">SUM(BB13:BK13)</f>
        <v>489913.62</v>
      </c>
      <c r="BB13" s="27">
        <f t="shared" ref="BB13:BB20" si="14">IF($D13="是",I13-J13,0)</f>
        <v>489913.62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3066</v>
      </c>
      <c r="D14" s="2967" t="s">
        <v>1678</v>
      </c>
      <c r="E14" s="27">
        <f t="shared" si="6"/>
        <v>69987.66</v>
      </c>
      <c r="F14" s="81"/>
      <c r="G14" s="82">
        <f t="shared" si="7"/>
        <v>209962.98</v>
      </c>
      <c r="H14" s="33">
        <f t="shared" si="8"/>
        <v>209962.98</v>
      </c>
      <c r="I14" s="2970"/>
      <c r="J14" s="2970"/>
      <c r="K14" s="3195">
        <f>A3*3*0.3</f>
        <v>209962.98</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69987.66</v>
      </c>
      <c r="AZ14" s="27">
        <f t="shared" si="12"/>
        <v>209962.98</v>
      </c>
      <c r="BA14" s="27">
        <f t="shared" si="13"/>
        <v>209962.98</v>
      </c>
      <c r="BB14" s="27">
        <f t="shared" si="14"/>
        <v>0</v>
      </c>
      <c r="BC14" s="27">
        <f t="shared" si="15"/>
        <v>209962.98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6"/>
      <c r="B15" s="2966"/>
      <c r="C15" s="3198" t="s">
        <v>3123</v>
      </c>
      <c r="D15" s="2967" t="s">
        <v>3124</v>
      </c>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3199"/>
      <c r="AI15" s="2974"/>
      <c r="AJ15" s="2974"/>
      <c r="AK15" s="2974"/>
      <c r="AL15" s="2974"/>
      <c r="AM15" s="2974"/>
      <c r="AN15" s="2974"/>
      <c r="AO15" s="2974"/>
      <c r="AP15" s="2974"/>
      <c r="AQ15" s="2974"/>
      <c r="AR15" s="2974"/>
      <c r="AS15" s="2974"/>
      <c r="AT15" s="2975"/>
      <c r="AU15" s="2976"/>
      <c r="AV15" s="17">
        <f t="shared" si="10"/>
        <v>0</v>
      </c>
      <c r="AW15" s="17">
        <f t="shared" si="10"/>
        <v>0</v>
      </c>
      <c r="AX15" s="17" t="str">
        <f t="shared" si="10"/>
        <v>物业管理用房</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4" t="s">
        <v>203</v>
      </c>
      <c r="B2" s="3284"/>
      <c r="C2" s="3284"/>
      <c r="D2" s="1960" t="s">
        <v>204</v>
      </c>
      <c r="E2" s="106" t="s">
        <v>205</v>
      </c>
      <c r="F2" s="1969"/>
      <c r="G2" s="1194"/>
      <c r="H2" s="1195"/>
      <c r="I2" s="1196" t="s">
        <v>857</v>
      </c>
      <c r="J2" s="1969"/>
      <c r="K2" s="1969"/>
      <c r="L2" s="1969"/>
    </row>
    <row r="3" spans="1:16" ht="15.75" thickBot="1">
      <c r="A3" s="3285" t="s">
        <v>206</v>
      </c>
      <c r="B3" s="3285"/>
      <c r="C3" s="3285"/>
      <c r="D3" s="107">
        <f>'数据-基础表'!AY6</f>
        <v>233292.2</v>
      </c>
      <c r="E3" s="107">
        <f>'数据-基础表'!AZ5</f>
        <v>699876.6</v>
      </c>
      <c r="F3" s="1969"/>
      <c r="G3" s="280" t="s">
        <v>858</v>
      </c>
      <c r="H3" s="275" t="s">
        <v>859</v>
      </c>
      <c r="I3" s="1961">
        <f>ROUND('数据-基础表'!B3/'数据-基础表'!A3,2)</f>
        <v>3</v>
      </c>
      <c r="J3" s="1969"/>
      <c r="K3" s="1969"/>
      <c r="L3" s="1969"/>
    </row>
    <row r="4" spans="1:16" ht="15">
      <c r="A4" s="3286"/>
      <c r="B4" s="3287"/>
      <c r="C4" s="3288"/>
      <c r="D4" s="108" t="s">
        <v>204</v>
      </c>
      <c r="E4" s="109" t="s">
        <v>205</v>
      </c>
      <c r="F4" s="1969"/>
      <c r="G4" s="1197"/>
      <c r="H4" s="275" t="s">
        <v>860</v>
      </c>
      <c r="I4" s="1961">
        <f>ROUND(SUMIF('数据-基础表'!I9:AS9,"地上",'数据-基础表'!I5:AS5)/'数据-基础表'!A3,2)</f>
        <v>3</v>
      </c>
      <c r="J4" s="1969"/>
      <c r="K4" s="1969"/>
      <c r="L4" s="1969"/>
    </row>
    <row r="5" spans="1:16">
      <c r="A5" s="110" t="s">
        <v>207</v>
      </c>
      <c r="B5" s="3289" t="s">
        <v>230</v>
      </c>
      <c r="C5" s="3289"/>
      <c r="D5" s="111">
        <f>ROUND($D$3*E5/$E$3,2)</f>
        <v>163304.54</v>
      </c>
      <c r="E5" s="112">
        <f>SUMIF('数据-基础表'!$11:$11,"住宅",'数据-基础表'!$5:$5)</f>
        <v>489913.62</v>
      </c>
      <c r="F5" s="1969"/>
      <c r="G5" s="280" t="s">
        <v>861</v>
      </c>
      <c r="H5" s="275" t="s">
        <v>859</v>
      </c>
      <c r="I5" s="1961">
        <f>ROUND(E31/D31,2)</f>
        <v>3</v>
      </c>
      <c r="J5" s="1969"/>
      <c r="K5" s="1969"/>
      <c r="L5" s="1969"/>
    </row>
    <row r="6" spans="1:16" ht="15" thickBot="1">
      <c r="A6" s="113"/>
      <c r="B6" s="3289" t="s">
        <v>208</v>
      </c>
      <c r="C6" s="3289"/>
      <c r="D6" s="111">
        <f>ROUND($D$3*E6/$E$3,2)</f>
        <v>69987.66</v>
      </c>
      <c r="E6" s="112">
        <f>E3-E5</f>
        <v>209962.97999999998</v>
      </c>
      <c r="F6" s="1969"/>
      <c r="G6" s="1197"/>
      <c r="H6" s="275" t="s">
        <v>860</v>
      </c>
      <c r="I6" s="1961">
        <f>ROUND(F31/D31,2)</f>
        <v>3</v>
      </c>
      <c r="J6" s="1969"/>
      <c r="K6" s="1969"/>
      <c r="L6" s="1969"/>
    </row>
    <row r="7" spans="1:16" ht="15">
      <c r="A7" s="3281"/>
      <c r="B7" s="3282"/>
      <c r="C7" s="3283"/>
      <c r="D7" s="108" t="s">
        <v>204</v>
      </c>
      <c r="E7" s="114" t="s">
        <v>231</v>
      </c>
      <c r="F7" s="1969"/>
      <c r="G7" s="1152" t="s">
        <v>1645</v>
      </c>
      <c r="H7" s="1153"/>
      <c r="I7" s="1831">
        <v>3</v>
      </c>
      <c r="J7" s="1969"/>
      <c r="K7" s="1969"/>
      <c r="L7" s="1969"/>
    </row>
    <row r="8" spans="1:16">
      <c r="A8" s="110" t="s">
        <v>209</v>
      </c>
      <c r="B8" s="115" t="s">
        <v>210</v>
      </c>
      <c r="C8" s="111" t="s">
        <v>211</v>
      </c>
      <c r="D8" s="111">
        <f t="shared" ref="D8:D15" si="0">ROUND($D$3*E8/$E$3,2)</f>
        <v>233292.2</v>
      </c>
      <c r="E8" s="116">
        <f>SUMIF('数据-基础表'!BB10:BK10,"地上",'数据-基础表'!BB5:BK5)</f>
        <v>699876.6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233292.2</v>
      </c>
      <c r="E16" s="120">
        <f>SUM(E8:E15)</f>
        <v>699876.6</v>
      </c>
      <c r="F16" s="1969"/>
      <c r="G16" s="1971"/>
      <c r="H16" s="968" t="s">
        <v>219</v>
      </c>
      <c r="I16" s="969"/>
      <c r="J16" s="1969"/>
      <c r="K16" s="3275" t="s">
        <v>2566</v>
      </c>
      <c r="L16" s="3276"/>
      <c r="M16" s="3276"/>
      <c r="N16" s="3276"/>
      <c r="O16" s="3276"/>
      <c r="P16" s="3277"/>
    </row>
    <row r="17" spans="1:19" ht="15">
      <c r="A17" s="121" t="s">
        <v>216</v>
      </c>
      <c r="B17" s="122" t="s">
        <v>217</v>
      </c>
      <c r="C17" s="2283" t="s">
        <v>2313</v>
      </c>
      <c r="D17" s="108" t="s">
        <v>204</v>
      </c>
      <c r="E17" s="124" t="s">
        <v>205</v>
      </c>
      <c r="F17" s="125"/>
      <c r="G17" s="1362"/>
      <c r="H17" s="970" t="s">
        <v>218</v>
      </c>
      <c r="I17" s="971" t="s">
        <v>2312</v>
      </c>
      <c r="J17" s="1969"/>
      <c r="K17" s="3278" t="s">
        <v>2567</v>
      </c>
      <c r="L17" s="3279"/>
      <c r="M17" s="3280"/>
      <c r="N17" s="3278" t="s">
        <v>2568</v>
      </c>
      <c r="O17" s="3279"/>
      <c r="P17" s="3280"/>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3089</v>
      </c>
      <c r="D19" s="111">
        <f t="shared" ref="D19:D26" si="1">ROUND($D$3*E19/$E$3,2)</f>
        <v>163304.54</v>
      </c>
      <c r="E19" s="134">
        <f t="shared" ref="E19:E26" si="2">SUM(F19:G19)</f>
        <v>489913.62</v>
      </c>
      <c r="F19" s="135">
        <f>'数据-基础表'!I13</f>
        <v>489913.62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163304.54</v>
      </c>
      <c r="S19" s="2286">
        <f t="shared" si="5"/>
        <v>489913.62</v>
      </c>
    </row>
    <row r="20" spans="1:19">
      <c r="A20" s="138"/>
      <c r="B20" s="115" t="s">
        <v>226</v>
      </c>
      <c r="C20" s="2977" t="s">
        <v>3090</v>
      </c>
      <c r="D20" s="111">
        <f t="shared" si="1"/>
        <v>69987.66</v>
      </c>
      <c r="E20" s="134">
        <f t="shared" si="2"/>
        <v>209962.98</v>
      </c>
      <c r="F20" s="135">
        <f>'数据-基础表'!K14</f>
        <v>209962.98</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69987.66</v>
      </c>
      <c r="S20" s="2286">
        <f t="shared" si="5"/>
        <v>209962.98</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233292.2</v>
      </c>
      <c r="E27" s="143">
        <f>IF(SUM(E19:E26)='数据-基础表'!BA5,SUM(E19:E26),IF(F27="地上面积有误","面积有误","地下面积有误"))</f>
        <v>699876.6</v>
      </c>
      <c r="F27" s="134">
        <f>IF(SUM(F19:F26)=E8,SUM(F19:F26),"地上面积有误")</f>
        <v>699876.6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233292.2</v>
      </c>
      <c r="S27" s="275">
        <f>IF(SUM(S19:S26)=$E$3,SUM(S19:S26),SUM(S19:S26)&amp;"误差"&amp;ROUND(SUM(S19:S26)-E3,2))</f>
        <v>699876.6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233292.2</v>
      </c>
      <c r="E31" s="1368">
        <f>E27+E30</f>
        <v>699876.6</v>
      </c>
      <c r="F31" s="1369">
        <f>F27+F30</f>
        <v>699876.6</v>
      </c>
      <c r="G31" s="1370">
        <f>G27+G30</f>
        <v>0</v>
      </c>
      <c r="H31" s="1969"/>
      <c r="I31" s="1969"/>
      <c r="J31" s="1969"/>
      <c r="K31" s="1969"/>
      <c r="L31" s="1969"/>
    </row>
    <row r="32" spans="1:19">
      <c r="A32" s="1969"/>
      <c r="B32" s="2327" t="s">
        <v>2321</v>
      </c>
      <c r="C32" s="2611"/>
      <c r="D32" s="1197"/>
      <c r="E32" s="1197">
        <f>SUMIF(C19:C26,"*住宅*",E19:E26)</f>
        <v>489913.62</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43679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65637</v>
      </c>
      <c r="F6" s="174">
        <f>SUMIF(项目基本情况!D$15:I$15,C6,项目基本情况!D$19:I$19)</f>
        <v>60.15</v>
      </c>
      <c r="G6" s="175">
        <f>IF(ISERROR(ROUND(POWER(1+H6,D6-F6)*(POWER(1+H6,F6)-1)/(POWER(1+H6,D6)-1),3)),0,ROUND(POWER(1+H6,D6-F6)*(POWER(1+H6,F6)-1)/(POWER(1+H6,D6)-1),3))</f>
        <v>0.96799999999999997</v>
      </c>
      <c r="H6" s="2978">
        <v>0.04</v>
      </c>
      <c r="I6" s="2978">
        <v>4.4999999999999998E-2</v>
      </c>
      <c r="J6" s="176">
        <v>0.08</v>
      </c>
      <c r="K6" s="179">
        <f>SUMIF('数据-汇总表'!C$19:C$33,'数据-取费表'!A6,'数据-汇总表'!E$19:E$33)</f>
        <v>489913.62</v>
      </c>
      <c r="L6" s="3203">
        <v>1800</v>
      </c>
      <c r="M6" s="177">
        <f t="shared" ref="M6:M14" si="0">ROUND(K6*L6/10000,0)</f>
        <v>88184</v>
      </c>
      <c r="N6" s="2980">
        <v>0</v>
      </c>
      <c r="O6" s="177">
        <f>IF($N$5="成新度","——",ROUND(M6*N6,0))</f>
        <v>0</v>
      </c>
      <c r="P6" s="178">
        <f>IF($N$5="成新度","——",M6-O6)</f>
        <v>88184</v>
      </c>
      <c r="Q6" s="2981">
        <v>0.1</v>
      </c>
      <c r="R6" s="179">
        <f>SUMIF('数据-汇总表'!C$19:C$33,A6,'数据-汇总表'!R$19:R$33)</f>
        <v>163304.54</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v>365</v>
      </c>
      <c r="AJ6" s="188"/>
      <c r="AK6" s="189">
        <v>1.4999999999999999E-2</v>
      </c>
      <c r="AL6" s="190">
        <v>1.5E-3</v>
      </c>
      <c r="AM6" s="2992">
        <v>0.01</v>
      </c>
      <c r="AN6" s="2356" t="s">
        <v>3069</v>
      </c>
      <c r="AO6" s="1985"/>
      <c r="AP6" s="1200">
        <f>ROUND(1-1/(1+H6)^F6,3)</f>
        <v>0.90500000000000003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3061</v>
      </c>
      <c r="D7" s="2293">
        <f>SUMIF(项目基本情况!D$15:I$15,C7,项目基本情况!D$18:I$18)</f>
        <v>40</v>
      </c>
      <c r="E7" s="2294">
        <f>IF(B7="","",SUMIF(项目基本情况!D$15:I$15,C7,项目基本情况!D$17:I$17))</f>
        <v>54680</v>
      </c>
      <c r="F7" s="174">
        <f>SUMIF(项目基本情况!D$15:I$15,C7,项目基本情况!D$19:I$19)</f>
        <v>30.13</v>
      </c>
      <c r="G7" s="175">
        <f t="shared" ref="G7:G11" si="2">IF(ISERROR(ROUND(POWER(1+H7,D7-F7)*(POWER(1+H7,F7)-1)/(POWER(1+H7,D7)-1),3)),0,ROUND(POWER(1+H7,D7-F7)*(POWER(1+H7,F7)-1)/(POWER(1+H7,D7)-1),3))</f>
        <v>0.88700000000000001</v>
      </c>
      <c r="H7" s="3197">
        <v>4.4999999999999998E-2</v>
      </c>
      <c r="I7" s="2978">
        <v>0.05</v>
      </c>
      <c r="J7" s="176">
        <v>0.08</v>
      </c>
      <c r="K7" s="179">
        <f>SUMIF('数据-汇总表'!C$19:C$33,'数据-取费表'!A7,'数据-汇总表'!E$19:E$33)</f>
        <v>209962.98</v>
      </c>
      <c r="L7" s="3203">
        <v>1800</v>
      </c>
      <c r="M7" s="177">
        <f t="shared" si="0"/>
        <v>37793</v>
      </c>
      <c r="N7" s="2980">
        <v>0</v>
      </c>
      <c r="O7" s="177">
        <f t="shared" ref="O7:O14" si="3">IF($N$5="成新度","——",ROUND(M7*N7,0))</f>
        <v>0</v>
      </c>
      <c r="P7" s="178">
        <f t="shared" ref="P7:P14" si="4">IF($N$5="成新度","——",M7-O7)</f>
        <v>37793</v>
      </c>
      <c r="Q7" s="2981">
        <v>0.15</v>
      </c>
      <c r="R7" s="179">
        <f>SUMIF('数据-汇总表'!C$19:C$33,A7,'数据-汇总表'!R$19:R$33)</f>
        <v>69987.66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0.8</v>
      </c>
      <c r="V7" s="181">
        <v>0.02</v>
      </c>
      <c r="W7" s="181">
        <v>0.2</v>
      </c>
      <c r="X7" s="2306"/>
      <c r="Y7" s="182"/>
      <c r="Z7" s="183"/>
      <c r="AA7" s="176"/>
      <c r="AB7" s="176"/>
      <c r="AC7" s="2309"/>
      <c r="AD7" s="184"/>
      <c r="AE7" s="972">
        <f t="shared" ref="AE7:AE13" ca="1" si="6">IF(AN7="",0,SUMIF(INDIRECT("'"&amp;AN7&amp;"'"&amp;"!E:E"),$AE$5,INDIRECT("'"&amp;AN7&amp;"'"&amp;"!F:F")))</f>
        <v>30.13</v>
      </c>
      <c r="AF7" s="141"/>
      <c r="AG7" s="1209">
        <f t="shared" ref="AG7:AG13" si="7">IF(AF7="",0,AE7-AF7)</f>
        <v>0</v>
      </c>
      <c r="AH7" s="141"/>
      <c r="AI7" s="187">
        <v>365</v>
      </c>
      <c r="AJ7" s="188"/>
      <c r="AK7" s="189">
        <v>1.4999999999999999E-2</v>
      </c>
      <c r="AL7" s="190">
        <v>1.5E-3</v>
      </c>
      <c r="AM7" s="2992">
        <v>0.01</v>
      </c>
      <c r="AN7" s="2356" t="s">
        <v>3068</v>
      </c>
      <c r="AO7" s="1985"/>
      <c r="AP7" s="1200">
        <f t="shared" ref="AP7:AP13" si="8">ROUND(1-1/(1+H7)^F7,3)</f>
        <v>0.73499999999999999</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0.94399999999999995</v>
      </c>
      <c r="H16" s="203">
        <f>ROUND(SUMPRODUCT(H6:H13,K6:K13)/SUMPRODUCT((H6:H13&gt;0)*(K6:K13)),3)</f>
        <v>4.2000000000000003E-2</v>
      </c>
      <c r="I16" s="204"/>
      <c r="J16" s="204"/>
      <c r="K16" s="205">
        <f>SUM(K6:K15)</f>
        <v>699876.6</v>
      </c>
      <c r="L16" s="206">
        <f>ROUND(M16*10000/SUM(K6:K14),0)</f>
        <v>1800</v>
      </c>
      <c r="M16" s="206">
        <f>SUM(M6:M14)</f>
        <v>125977</v>
      </c>
      <c r="N16" s="207">
        <f>ROUND(SUMPRODUCT(M6:M14,N6:N14)/M16,3)</f>
        <v>0</v>
      </c>
      <c r="O16" s="206">
        <f>SUM(O6:O14)</f>
        <v>0</v>
      </c>
      <c r="P16" s="206">
        <f>SUM(P6:P14)</f>
        <v>125977</v>
      </c>
      <c r="Q16" s="208">
        <f>ROUND(SUMPRODUCT(Q6:Q13,K6:K13)/SUMPRODUCT((Q6:Q13&gt;0)*(K6:K13)),2)</f>
        <v>0.12</v>
      </c>
      <c r="R16" s="2296">
        <f>SUM(R6:R13)</f>
        <v>233292.2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0.85399999999999998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75</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75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5.5500000000000001E-2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5.5000000000000005E-3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0.03</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0" t="s">
        <v>1663</v>
      </c>
      <c r="B1" s="3291"/>
      <c r="C1" s="3291"/>
      <c r="D1" s="3291"/>
      <c r="E1" s="3291"/>
      <c r="F1" s="3291"/>
      <c r="G1" s="3291"/>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699876.6</v>
      </c>
      <c r="C1" s="2998"/>
      <c r="D1" s="2998"/>
      <c r="E1" s="2998"/>
      <c r="F1" s="2998"/>
    </row>
    <row r="2" spans="1:9" ht="16.5">
      <c r="A2" s="2997" t="s">
        <v>2845</v>
      </c>
      <c r="B2" s="2997">
        <f>SUM(C14:C23)</f>
        <v>233292.2</v>
      </c>
      <c r="C2" s="2998"/>
      <c r="D2" s="2998"/>
      <c r="E2" s="2998"/>
      <c r="F2" s="2998"/>
    </row>
    <row r="3" spans="1:9" ht="16.5">
      <c r="A3" s="2997" t="s">
        <v>2846</v>
      </c>
      <c r="B3" s="2999">
        <f>项目基本情况!D3</f>
        <v>43679</v>
      </c>
      <c r="C3" s="2998"/>
      <c r="D3" s="2998"/>
      <c r="E3" s="2998"/>
      <c r="F3" s="2998"/>
    </row>
    <row r="4" spans="1:9" ht="33">
      <c r="A4" s="2997" t="s">
        <v>2847</v>
      </c>
      <c r="B4" s="2997" t="s">
        <v>2848</v>
      </c>
      <c r="C4" s="2997" t="s">
        <v>2849</v>
      </c>
      <c r="D4" s="2997" t="s">
        <v>2850</v>
      </c>
      <c r="E4" s="2998"/>
      <c r="F4" s="2998"/>
    </row>
    <row r="5" spans="1:9" ht="16.5">
      <c r="A5" s="2997" t="s">
        <v>2851</v>
      </c>
      <c r="B5" s="2997">
        <f ca="1">SUM(D14:D23)</f>
        <v>68540</v>
      </c>
      <c r="C5" s="2997">
        <f ca="1">ROUND(B5*10000/$B$1,0)</f>
        <v>979</v>
      </c>
      <c r="D5" s="2997">
        <f ca="1">ROUND(B5*10000/$B$2,0)</f>
        <v>2938</v>
      </c>
      <c r="E5" s="2998"/>
      <c r="F5" s="2998"/>
    </row>
    <row r="6" spans="1:9" ht="16.5">
      <c r="A6" s="2997" t="s">
        <v>2852</v>
      </c>
      <c r="B6" s="2997">
        <f ca="1">SUM(G14:G23)</f>
        <v>68540</v>
      </c>
      <c r="C6" s="2997">
        <f t="shared" ref="C6:C8" ca="1" si="0">ROUND(B6*10000/$B$1,0)</f>
        <v>979</v>
      </c>
      <c r="D6" s="2997">
        <f t="shared" ref="D6:D8" ca="1" si="1">ROUND(B6*10000/$B$2,0)</f>
        <v>2938</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699876.6</v>
      </c>
      <c r="C14" s="3001">
        <f>结果表!K38</f>
        <v>233292.2</v>
      </c>
      <c r="D14" s="3001">
        <f ca="1">结果表!C42</f>
        <v>68540</v>
      </c>
      <c r="E14" s="3001">
        <f ca="1">ROUND(D14*10000/B14,0)</f>
        <v>979</v>
      </c>
      <c r="F14" s="3001">
        <f ca="1">ROUND(D14*10000/C14,0)</f>
        <v>2938</v>
      </c>
      <c r="G14" s="3001">
        <f ca="1">结果表!C44</f>
        <v>68540</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C19" sqref="C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江苏省盐城市大丰港区海辉路北侧出让国有建设用地使用权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25">
      <c r="A3" s="3321" t="s">
        <v>298</v>
      </c>
      <c r="B3" s="3322"/>
      <c r="C3" s="3322"/>
      <c r="D3" s="3322"/>
      <c r="E3" s="3322"/>
      <c r="F3" s="3322"/>
      <c r="G3" s="3322"/>
      <c r="H3" s="3322"/>
      <c r="I3" s="3322"/>
      <c r="J3" s="2015"/>
      <c r="K3" s="2014"/>
      <c r="L3" s="2014"/>
      <c r="M3" s="2014"/>
      <c r="N3" s="2014"/>
      <c r="O3" s="2014"/>
      <c r="P3" s="2014"/>
      <c r="Q3" s="2014"/>
      <c r="R3" s="2014"/>
      <c r="S3" s="2014"/>
      <c r="T3" s="2014"/>
      <c r="U3" s="2014"/>
      <c r="V3" s="2014"/>
    </row>
    <row r="4" spans="1:22" ht="14.25">
      <c r="A4" s="258" t="s">
        <v>299</v>
      </c>
      <c r="B4" s="259" t="s">
        <v>300</v>
      </c>
      <c r="C4" s="260" t="s">
        <v>3067</v>
      </c>
      <c r="D4" s="260" t="s">
        <v>3120</v>
      </c>
      <c r="E4" s="3293" t="s">
        <v>301</v>
      </c>
      <c r="F4" s="3294"/>
      <c r="G4" s="3294"/>
      <c r="H4" s="3294"/>
      <c r="I4" s="332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2" t="s">
        <v>302</v>
      </c>
      <c r="B5" s="3318">
        <v>25</v>
      </c>
      <c r="C5" s="3316"/>
      <c r="D5" s="3320"/>
      <c r="E5" s="261" t="s">
        <v>303</v>
      </c>
      <c r="F5" s="262"/>
      <c r="G5" s="262"/>
      <c r="H5" s="262"/>
      <c r="I5" s="263"/>
      <c r="J5" s="2015"/>
      <c r="K5" s="2014"/>
      <c r="L5" s="2014"/>
      <c r="M5" s="2014"/>
      <c r="N5" s="2014"/>
      <c r="O5" s="2014"/>
      <c r="P5" s="2014"/>
      <c r="Q5" s="2014"/>
      <c r="R5" s="2014"/>
      <c r="S5" s="2014"/>
      <c r="T5" s="2014"/>
      <c r="U5" s="2014"/>
      <c r="V5" s="2014"/>
    </row>
    <row r="6" spans="1:22" ht="14.25">
      <c r="A6" s="3292"/>
      <c r="B6" s="3318"/>
      <c r="C6" s="3319"/>
      <c r="D6" s="3320"/>
      <c r="E6" s="261" t="s">
        <v>304</v>
      </c>
      <c r="F6" s="262"/>
      <c r="G6" s="262"/>
      <c r="H6" s="262"/>
      <c r="I6" s="263"/>
      <c r="J6" s="2015"/>
      <c r="K6" s="2014"/>
      <c r="L6" s="2014"/>
      <c r="M6" s="2014"/>
      <c r="N6" s="2014"/>
      <c r="O6" s="2014"/>
      <c r="P6" s="2014"/>
      <c r="Q6" s="2014"/>
      <c r="R6" s="2014"/>
      <c r="S6" s="2014"/>
      <c r="T6" s="2014"/>
      <c r="U6" s="2014"/>
      <c r="V6" s="2014"/>
    </row>
    <row r="7" spans="1:22" ht="14.25">
      <c r="A7" s="3292"/>
      <c r="B7" s="3318"/>
      <c r="C7" s="3317"/>
      <c r="D7" s="3320"/>
      <c r="E7" s="261" t="s">
        <v>305</v>
      </c>
      <c r="F7" s="262"/>
      <c r="G7" s="262"/>
      <c r="H7" s="262"/>
      <c r="I7" s="263"/>
      <c r="J7" s="2015"/>
      <c r="K7" s="2014"/>
      <c r="L7" s="2014"/>
      <c r="M7" s="2014"/>
      <c r="N7" s="2014"/>
      <c r="O7" s="2014"/>
      <c r="P7" s="2014"/>
      <c r="Q7" s="2014"/>
      <c r="R7" s="2014"/>
      <c r="S7" s="2014"/>
      <c r="T7" s="2014"/>
      <c r="U7" s="2014"/>
      <c r="V7" s="2014"/>
    </row>
    <row r="8" spans="1:22" ht="14.25">
      <c r="A8" s="3292" t="s">
        <v>306</v>
      </c>
      <c r="B8" s="3318">
        <v>15</v>
      </c>
      <c r="C8" s="3316"/>
      <c r="D8" s="3320"/>
      <c r="E8" s="261" t="s">
        <v>307</v>
      </c>
      <c r="F8" s="262"/>
      <c r="G8" s="262"/>
      <c r="H8" s="262"/>
      <c r="I8" s="263"/>
      <c r="J8" s="2015"/>
      <c r="K8" s="2014"/>
      <c r="L8" s="2014"/>
      <c r="M8" s="2014"/>
      <c r="N8" s="2014"/>
      <c r="O8" s="2014"/>
      <c r="P8" s="2014"/>
      <c r="Q8" s="2014"/>
      <c r="R8" s="2014"/>
      <c r="S8" s="2014"/>
      <c r="T8" s="2014"/>
      <c r="U8" s="2014"/>
      <c r="V8" s="2014"/>
    </row>
    <row r="9" spans="1:22" ht="14.25">
      <c r="A9" s="3292"/>
      <c r="B9" s="3318"/>
      <c r="C9" s="3317"/>
      <c r="D9" s="3320"/>
      <c r="E9" s="261" t="s">
        <v>308</v>
      </c>
      <c r="F9" s="262"/>
      <c r="G9" s="262"/>
      <c r="H9" s="262"/>
      <c r="I9" s="263"/>
      <c r="J9" s="2015"/>
      <c r="K9" s="2014"/>
      <c r="L9" s="2014"/>
      <c r="M9" s="2014"/>
      <c r="N9" s="2014"/>
      <c r="O9" s="2014"/>
      <c r="P9" s="2014"/>
      <c r="Q9" s="2014"/>
      <c r="R9" s="2014"/>
      <c r="S9" s="2014"/>
      <c r="T9" s="2014"/>
      <c r="U9" s="2014"/>
      <c r="V9" s="2014"/>
    </row>
    <row r="10" spans="1:22" ht="14.25">
      <c r="A10" s="3292" t="s">
        <v>309</v>
      </c>
      <c r="B10" s="3318">
        <v>15</v>
      </c>
      <c r="C10" s="3316"/>
      <c r="D10" s="3320"/>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2"/>
      <c r="B11" s="3318"/>
      <c r="C11" s="3317"/>
      <c r="D11" s="3320"/>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2" t="s">
        <v>312</v>
      </c>
      <c r="B12" s="3318">
        <v>15</v>
      </c>
      <c r="C12" s="3316"/>
      <c r="D12" s="3320"/>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2"/>
      <c r="B13" s="3318"/>
      <c r="C13" s="3317"/>
      <c r="D13" s="3320"/>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2" t="s">
        <v>315</v>
      </c>
      <c r="B14" s="3318">
        <v>30</v>
      </c>
      <c r="C14" s="3316">
        <v>50</v>
      </c>
      <c r="D14" s="3320">
        <v>50</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2"/>
      <c r="B15" s="3318"/>
      <c r="C15" s="3319"/>
      <c r="D15" s="3320"/>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2"/>
      <c r="B16" s="3318"/>
      <c r="C16" s="3317"/>
      <c r="D16" s="332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50</v>
      </c>
      <c r="D17" s="265">
        <f>SUM(D5:D16)</f>
        <v>50</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66978</v>
      </c>
      <c r="D19" s="271">
        <f ca="1">SUMIF(INDIRECT("'"&amp;D4&amp;"'"&amp;"!A:A"),结果表!B19,INDIRECT("'"&amp;D4&amp;"'"&amp;"!B:B"))</f>
        <v>70102</v>
      </c>
      <c r="E19" s="268" t="s">
        <v>323</v>
      </c>
      <c r="F19" s="269" t="s">
        <v>322</v>
      </c>
      <c r="G19" s="272">
        <f ca="1">ROUND(C19*$C$18+D19*$D$18,0)</f>
        <v>68540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957</v>
      </c>
      <c r="D20" s="277">
        <f ca="1">SUMIF(INDIRECT("'"&amp;D4&amp;"'"&amp;"!A:A"),结果表!B20,INDIRECT("'"&amp;D4&amp;"'"&amp;"!B:B"))</f>
        <v>1002</v>
      </c>
      <c r="E20" s="274"/>
      <c r="F20" s="275" t="s">
        <v>325</v>
      </c>
      <c r="G20" s="278">
        <f ca="1">ROUND(C20*$C$18+D20*$D$18,0)</f>
        <v>980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2871</v>
      </c>
      <c r="D21" s="151">
        <f ca="1">SUMIF(INDIRECT("'"&amp;D4&amp;"'"&amp;"!A:A"),结果表!B21,INDIRECT("'"&amp;D4&amp;"'"&amp;"!B:B"))</f>
        <v>3005</v>
      </c>
      <c r="E21" s="274"/>
      <c r="F21" s="280" t="s">
        <v>327</v>
      </c>
      <c r="G21" s="282">
        <f ca="1">ROUND(C21*$C$18+D21*$D$18,0)</f>
        <v>2938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4.6642181014661555E-2</v>
      </c>
      <c r="E22" s="284"/>
      <c r="F22" s="285"/>
      <c r="G22" s="286">
        <f ca="1">ROUND(G19/('数据-汇总表'!D3/666.67),0)</f>
        <v>196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9"/>
      <c r="B25" s="1317" t="s">
        <v>331</v>
      </c>
      <c r="C25" s="290">
        <f>IF(B30=0,0,C30)</f>
        <v>0</v>
      </c>
      <c r="D25" s="291"/>
      <c r="E25" s="311"/>
      <c r="F25" s="311"/>
      <c r="G25" s="311"/>
      <c r="H25" s="311"/>
      <c r="I25" s="311"/>
      <c r="J25" s="2014"/>
      <c r="K25" s="1251" t="str">
        <f ca="1">项目基本情况!B16&amp;"国有建设用地使用权价格："&amp;O38&amp;"万元"</f>
        <v>出让国有建设用地使用权价格：68540万元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大写金额：人民币陆亿捌仟伍佰肆拾万元整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单位面积地价：2938元/平方米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楼面地价：979元/平方米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抵押价格：68540万元</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 ca="1">IF(K29="——","——","大写金额：人民币"&amp;NUMBERSTRING(INT(O39*10000),2)&amp;"元整")</f>
        <v>大写金额：人民币陆亿捌仟伍佰肆拾万元整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68540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979</v>
      </c>
      <c r="D33" s="1382" t="s">
        <v>1691</v>
      </c>
      <c r="E33" s="329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2938</v>
      </c>
      <c r="D34" s="1384" t="s">
        <v>1691</v>
      </c>
      <c r="E34" s="333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196</v>
      </c>
      <c r="D35" s="1387" t="s">
        <v>1693</v>
      </c>
      <c r="E35" s="3340"/>
      <c r="F35" s="301" t="s">
        <v>342</v>
      </c>
      <c r="G35" s="982"/>
      <c r="H35" s="981" t="s">
        <v>343</v>
      </c>
      <c r="I35" s="311"/>
      <c r="J35" s="2014"/>
      <c r="K35" s="3313" t="s">
        <v>350</v>
      </c>
      <c r="L35" s="3313" t="s">
        <v>351</v>
      </c>
      <c r="M35" s="1260" t="s">
        <v>352</v>
      </c>
      <c r="N35" s="3313" t="s">
        <v>353</v>
      </c>
      <c r="O35" s="3313" t="s">
        <v>354</v>
      </c>
      <c r="P35" s="2014"/>
      <c r="V35" s="2014"/>
    </row>
    <row r="36" spans="1:26" ht="16.5" customHeight="1">
      <c r="A36" s="303" t="s">
        <v>344</v>
      </c>
      <c r="B36" s="304" t="s">
        <v>333</v>
      </c>
      <c r="C36" s="305" t="s">
        <v>345</v>
      </c>
      <c r="D36" s="305" t="s">
        <v>346</v>
      </c>
      <c r="E36" s="306" t="s">
        <v>347</v>
      </c>
      <c r="F36" s="311"/>
      <c r="G36" s="311"/>
      <c r="H36" s="311"/>
      <c r="I36" s="311"/>
      <c r="J36" s="2016"/>
      <c r="K36" s="3314"/>
      <c r="L36" s="3314"/>
      <c r="M36" s="1262" t="s">
        <v>355</v>
      </c>
      <c r="N36" s="3314"/>
      <c r="O36" s="3314"/>
      <c r="P36" s="2014"/>
      <c r="V36" s="2014"/>
    </row>
    <row r="37" spans="1:26" ht="16.5" customHeight="1" thickBot="1">
      <c r="A37" s="1256" t="s">
        <v>348</v>
      </c>
      <c r="B37" s="307"/>
      <c r="C37" s="294"/>
      <c r="D37" s="294"/>
      <c r="E37" s="295"/>
      <c r="F37" s="311"/>
      <c r="G37" s="311"/>
      <c r="H37" s="311"/>
      <c r="I37" s="311"/>
      <c r="J37" s="2016"/>
      <c r="K37" s="3315"/>
      <c r="L37" s="3315"/>
      <c r="M37" s="1263"/>
      <c r="N37" s="3315"/>
      <c r="O37" s="3315"/>
      <c r="P37" s="2014"/>
      <c r="V37" s="2014"/>
    </row>
    <row r="38" spans="1:26" ht="16.5" customHeight="1" thickBot="1">
      <c r="A38" s="1256" t="s">
        <v>349</v>
      </c>
      <c r="B38" s="307"/>
      <c r="C38" s="294"/>
      <c r="D38" s="294"/>
      <c r="E38" s="295"/>
      <c r="F38" s="311"/>
      <c r="G38" s="311"/>
      <c r="H38" s="311"/>
      <c r="I38" s="311"/>
      <c r="J38" s="2016"/>
      <c r="K38" s="1264">
        <f>'数据-汇总表'!D3</f>
        <v>233292.2</v>
      </c>
      <c r="L38" s="1265">
        <f>'数据-汇总表'!E3</f>
        <v>699876.6</v>
      </c>
      <c r="M38" s="1265">
        <f ca="1">C34</f>
        <v>2938</v>
      </c>
      <c r="N38" s="1265">
        <f ca="1">C33</f>
        <v>979</v>
      </c>
      <c r="O38" s="1266">
        <f ca="1">C32</f>
        <v>68540</v>
      </c>
      <c r="P38" s="2014"/>
      <c r="V38" s="2014"/>
    </row>
    <row r="39" spans="1:26" ht="16.5" customHeight="1" thickBot="1">
      <c r="A39" s="1261"/>
      <c r="B39" s="308"/>
      <c r="C39" s="309"/>
      <c r="D39" s="309"/>
      <c r="E39" s="310"/>
      <c r="F39" s="311"/>
      <c r="G39" s="311"/>
      <c r="H39" s="311"/>
      <c r="I39" s="311"/>
      <c r="J39" s="2016"/>
      <c r="K39" s="3358" t="str">
        <f>MID(A44,3,LEN(A44)-2)</f>
        <v>抵押价格</v>
      </c>
      <c r="L39" s="3359"/>
      <c r="M39" s="3359"/>
      <c r="N39" s="3360"/>
      <c r="O39" s="1389">
        <f ca="1">C44</f>
        <v>68540</v>
      </c>
      <c r="P39" s="2014"/>
      <c r="V39" s="2014"/>
    </row>
    <row r="40" spans="1:26" ht="19.5" thickBot="1">
      <c r="A40" s="104" t="s">
        <v>873</v>
      </c>
      <c r="B40" s="311"/>
      <c r="C40" s="311"/>
      <c r="D40" s="311"/>
      <c r="E40" s="311"/>
      <c r="F40" s="311"/>
      <c r="G40" s="311"/>
      <c r="H40" s="311"/>
      <c r="I40" s="311"/>
      <c r="J40" s="2016"/>
      <c r="K40" s="3358" t="str">
        <f t="shared" ref="K40:K41" si="0">MID(A45,3,LEN(A45)-2)</f>
        <v/>
      </c>
      <c r="L40" s="3359"/>
      <c r="M40" s="3359"/>
      <c r="N40" s="336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8" t="str">
        <f t="shared" si="0"/>
        <v/>
      </c>
      <c r="L41" s="3359"/>
      <c r="M41" s="3359"/>
      <c r="N41" s="3360"/>
      <c r="O41" s="1389" t="str">
        <f>C46</f>
        <v>——</v>
      </c>
      <c r="P41" s="2014"/>
      <c r="V41" s="2014"/>
    </row>
    <row r="42" spans="1:26" ht="29.25">
      <c r="A42" s="3300" t="s">
        <v>2067</v>
      </c>
      <c r="B42" s="3301"/>
      <c r="C42" s="264">
        <f ca="1">C32</f>
        <v>68540</v>
      </c>
      <c r="D42" s="317">
        <f ca="1">C33</f>
        <v>979</v>
      </c>
      <c r="E42" s="317">
        <f ca="1">C34</f>
        <v>2938</v>
      </c>
      <c r="F42" s="318">
        <f ca="1">C35</f>
        <v>196</v>
      </c>
      <c r="G42" s="311"/>
      <c r="H42" s="311"/>
      <c r="I42" s="319"/>
      <c r="J42" s="2016"/>
      <c r="K42" s="1267" t="s">
        <v>361</v>
      </c>
      <c r="L42" s="2033" t="s">
        <v>362</v>
      </c>
      <c r="M42" s="1268" t="s">
        <v>363</v>
      </c>
      <c r="N42" s="2034" t="s">
        <v>364</v>
      </c>
      <c r="O42" s="2035" t="s">
        <v>365</v>
      </c>
      <c r="P42" s="2014"/>
      <c r="V42" s="2014"/>
    </row>
    <row r="43" spans="1:26" ht="30">
      <c r="A43" s="3311" t="s">
        <v>2730</v>
      </c>
      <c r="B43" s="331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66978</v>
      </c>
      <c r="M43" s="1271">
        <f>C18</f>
        <v>0.5</v>
      </c>
      <c r="N43" s="1272">
        <f ca="1">IF(N42="测算结果/万元",G19,G20)</f>
        <v>68540</v>
      </c>
      <c r="O43" s="1273">
        <f ca="1">IF(O42="最终结果/万元",C32,C33)</f>
        <v>68540</v>
      </c>
      <c r="P43" s="2014"/>
      <c r="V43" s="2014"/>
    </row>
    <row r="44" spans="1:26" ht="30.75" thickBot="1">
      <c r="A44" s="3300" t="str">
        <f>IF(OR(项目基本情况!E8="抵押价格",项目基本情况!E8="已注销及未注销"),"3.抵押价格","——")</f>
        <v>3.抵押价格</v>
      </c>
      <c r="B44" s="3301"/>
      <c r="C44" s="264">
        <f ca="1">IF(A44="——","——",C42-C43)</f>
        <v>68540</v>
      </c>
      <c r="D44" s="317">
        <f ca="1">ROUND(C44*10000/'数据-汇总表'!E3,0)</f>
        <v>979</v>
      </c>
      <c r="E44" s="317">
        <f ca="1">ROUND(C44*10000/'数据-汇总表'!D3,0)</f>
        <v>2938</v>
      </c>
      <c r="F44" s="318">
        <f ca="1">ROUND(C44/('数据-汇总表'!D3/666.67),0)</f>
        <v>196</v>
      </c>
      <c r="G44" s="311"/>
      <c r="H44" s="311"/>
      <c r="I44" s="319"/>
      <c r="J44" s="2016"/>
      <c r="K44" s="1274" t="str">
        <f>D4</f>
        <v>剩余法-待开发</v>
      </c>
      <c r="L44" s="1275">
        <f ca="1">IF(L42="估价结果/万元",D19,D20)</f>
        <v>70102</v>
      </c>
      <c r="M44" s="1276">
        <f>D18</f>
        <v>0.5</v>
      </c>
      <c r="N44" s="1277"/>
      <c r="O44" s="1278"/>
      <c r="P44" s="2014"/>
      <c r="V44" s="2014"/>
    </row>
    <row r="45" spans="1:26" ht="15">
      <c r="A45" s="3306" t="str">
        <f>IF(项目基本情况!E8="已注销及未注销","4.抵押担保权已注销时的抵押价格",IF(项目基本情况!E8="已注销","3.抵押担保权已注销时的抵押价格","——"))</f>
        <v>——</v>
      </c>
      <c r="B45" s="330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7" t="s">
        <v>374</v>
      </c>
      <c r="B63" s="3348"/>
      <c r="C63" s="3349"/>
      <c r="D63" s="341">
        <f ca="1">ROUND(C42*F63,0)</f>
        <v>41124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8" t="s">
        <v>378</v>
      </c>
      <c r="B64" s="3309"/>
      <c r="C64" s="3309"/>
      <c r="D64" s="3309"/>
      <c r="E64" s="3309"/>
      <c r="F64" s="3309"/>
      <c r="G64" s="331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4" t="s">
        <v>386</v>
      </c>
      <c r="B66" s="3305"/>
      <c r="C66" s="3305"/>
      <c r="D66" s="261">
        <f ca="1">IF(H66="情况1",0,IF(H66="情况2",D70,IF(H66="情况3",D71,IF(H66="情况4",D72))))</f>
        <v>2174</v>
      </c>
      <c r="E66" s="993" t="str">
        <f>IF(H66="情况4","(销售额-原购置价)×税（费）率","销售额×税（费）率")</f>
        <v>销售额×税（费）率</v>
      </c>
      <c r="F66" s="350">
        <f>IF(H66="情况1","免征",'数据-取费表'!B41)</f>
        <v>5.5500000000000001E-2</v>
      </c>
      <c r="G66" s="351" t="s">
        <v>387</v>
      </c>
      <c r="H66" s="191" t="s">
        <v>388</v>
      </c>
      <c r="I66" s="1284"/>
      <c r="J66" s="2020"/>
      <c r="K66" s="1287">
        <v>1</v>
      </c>
      <c r="L66" s="3362" t="s">
        <v>385</v>
      </c>
      <c r="M66" s="3363"/>
      <c r="N66" s="2423"/>
      <c r="O66" s="2424"/>
      <c r="P66" s="2425"/>
      <c r="Q66" s="2014"/>
      <c r="R66" s="2014"/>
      <c r="S66" s="2014"/>
      <c r="T66" s="2014"/>
      <c r="U66" s="2014"/>
      <c r="V66" s="2014"/>
    </row>
    <row r="67" spans="1:22" ht="25.5" customHeight="1">
      <c r="A67" s="352" t="s">
        <v>390</v>
      </c>
      <c r="B67" s="3295" t="s">
        <v>391</v>
      </c>
      <c r="C67" s="3295"/>
      <c r="D67" s="353">
        <v>0</v>
      </c>
      <c r="E67" s="41" t="s">
        <v>392</v>
      </c>
      <c r="F67" s="62" t="s">
        <v>21</v>
      </c>
      <c r="G67" s="3350"/>
      <c r="H67" s="311"/>
      <c r="I67" s="1288"/>
      <c r="J67" s="2021"/>
      <c r="K67" s="1962">
        <v>2</v>
      </c>
      <c r="L67" s="3361" t="s">
        <v>389</v>
      </c>
      <c r="M67" s="3361"/>
      <c r="N67" s="1321">
        <f>'数据-取费表'!B2</f>
        <v>43679</v>
      </c>
      <c r="O67" s="1321"/>
      <c r="P67" s="1321"/>
      <c r="Q67" s="2014"/>
      <c r="R67" s="2014"/>
      <c r="S67" s="2014"/>
      <c r="T67" s="2014"/>
      <c r="U67" s="2014"/>
      <c r="V67" s="2014"/>
    </row>
    <row r="68" spans="1:22" ht="25.5" customHeight="1">
      <c r="A68" s="354"/>
      <c r="B68" s="3295" t="s">
        <v>394</v>
      </c>
      <c r="C68" s="3295"/>
      <c r="D68" s="355"/>
      <c r="E68" s="77"/>
      <c r="F68" s="356"/>
      <c r="G68" s="3351"/>
      <c r="H68" s="311"/>
      <c r="I68" s="1288"/>
      <c r="J68" s="2021"/>
      <c r="K68" s="1962">
        <v>3</v>
      </c>
      <c r="L68" s="3361" t="s">
        <v>393</v>
      </c>
      <c r="M68" s="3361"/>
      <c r="N68" s="1289">
        <f ca="1">C42</f>
        <v>68540</v>
      </c>
      <c r="O68" s="1289"/>
      <c r="P68" s="1289"/>
      <c r="Q68" s="2014"/>
      <c r="R68" s="2014"/>
      <c r="S68" s="2014"/>
      <c r="T68" s="2014"/>
      <c r="U68" s="2014"/>
      <c r="V68" s="2014"/>
    </row>
    <row r="69" spans="1:22" ht="12" customHeight="1">
      <c r="A69" s="357"/>
      <c r="B69" s="3295" t="s">
        <v>395</v>
      </c>
      <c r="C69" s="3295"/>
      <c r="D69" s="358"/>
      <c r="E69" s="73"/>
      <c r="F69" s="356"/>
      <c r="G69" s="3352"/>
      <c r="H69" s="311"/>
      <c r="I69" s="1288"/>
      <c r="J69" s="2021"/>
      <c r="K69" s="1290">
        <v>4</v>
      </c>
      <c r="L69" s="3366" t="s">
        <v>2883</v>
      </c>
      <c r="M69" s="3367"/>
      <c r="N69" s="1291">
        <f ca="1">C44</f>
        <v>68540</v>
      </c>
      <c r="O69" s="1291"/>
      <c r="P69" s="1291"/>
      <c r="Q69" s="2014"/>
      <c r="R69" s="2014"/>
      <c r="S69" s="2014"/>
      <c r="T69" s="2014"/>
      <c r="U69" s="2014"/>
      <c r="V69" s="2014"/>
    </row>
    <row r="70" spans="1:22" ht="24" customHeight="1">
      <c r="A70" s="359" t="s">
        <v>396</v>
      </c>
      <c r="B70" s="3295" t="s">
        <v>397</v>
      </c>
      <c r="C70" s="3295"/>
      <c r="D70" s="358">
        <f ca="1">ROUND(D63*'数据-取费表'!B41/(1+'数据-取费表'!C42),0)</f>
        <v>2174</v>
      </c>
      <c r="E70" s="17" t="s">
        <v>398</v>
      </c>
      <c r="F70" s="360">
        <f>'数据-取费表'!B41</f>
        <v>5.5500000000000001E-2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96" t="s">
        <v>405</v>
      </c>
      <c r="C71" s="3297"/>
      <c r="D71" s="358">
        <f ca="1">ROUND(D63*'数据-取费表'!B41/(1+'数据-取费表'!C42),0)</f>
        <v>2174</v>
      </c>
      <c r="E71" s="17" t="s">
        <v>398</v>
      </c>
      <c r="F71" s="360">
        <f>'数据-取费表'!B41</f>
        <v>5.5500000000000001E-2</v>
      </c>
      <c r="G71" s="361"/>
      <c r="H71" s="311"/>
      <c r="I71" s="1288"/>
      <c r="J71" s="2021"/>
      <c r="K71" s="3013" t="s">
        <v>399</v>
      </c>
      <c r="L71" s="3368" t="s">
        <v>400</v>
      </c>
      <c r="M71" s="3368"/>
      <c r="N71" s="3013" t="s">
        <v>401</v>
      </c>
      <c r="O71" s="3013" t="s">
        <v>402</v>
      </c>
      <c r="P71" s="3013" t="s">
        <v>403</v>
      </c>
      <c r="Q71" s="2014"/>
      <c r="R71" s="2014"/>
      <c r="S71" s="2014"/>
      <c r="T71" s="2014"/>
      <c r="U71" s="2014"/>
      <c r="V71" s="2014"/>
    </row>
    <row r="72" spans="1:22" ht="12" customHeight="1">
      <c r="A72" s="359" t="s">
        <v>407</v>
      </c>
      <c r="B72" s="3296" t="s">
        <v>408</v>
      </c>
      <c r="C72" s="3297"/>
      <c r="D72" s="358">
        <f ca="1">C86</f>
        <v>2063</v>
      </c>
      <c r="E72" s="73" t="s">
        <v>409</v>
      </c>
      <c r="F72" s="360">
        <f>'数据-取费表'!B41</f>
        <v>5.5500000000000001E-2</v>
      </c>
      <c r="G72" s="361"/>
      <c r="H72" s="1294"/>
      <c r="I72" s="1288"/>
      <c r="J72" s="2021"/>
      <c r="K72" s="1962">
        <v>1</v>
      </c>
      <c r="L72" s="3343" t="s">
        <v>406</v>
      </c>
      <c r="M72" s="3343"/>
      <c r="N72" s="1292">
        <f ca="1">D66</f>
        <v>2174</v>
      </c>
      <c r="O72" s="1845" t="str">
        <f>E66</f>
        <v>销售额×税（费）率</v>
      </c>
      <c r="P72" s="1293">
        <f>F66</f>
        <v>5.5500000000000001E-2</v>
      </c>
      <c r="Q72" s="2014"/>
      <c r="R72" s="2014"/>
      <c r="S72" s="2014"/>
      <c r="T72" s="2014"/>
      <c r="U72" s="2014"/>
      <c r="V72" s="2014"/>
    </row>
    <row r="73" spans="1:22" ht="24" customHeight="1">
      <c r="A73" s="3337" t="s">
        <v>411</v>
      </c>
      <c r="B73" s="3305"/>
      <c r="C73" s="3305"/>
      <c r="D73" s="362">
        <f>IF(H73="个人住宅",0,ROUND(D63*I73,0))</f>
        <v>0</v>
      </c>
      <c r="E73" s="17" t="s">
        <v>412</v>
      </c>
      <c r="F73" s="360" t="str">
        <f>IF(H73="正常",I73,"免征")</f>
        <v>免征</v>
      </c>
      <c r="G73" s="361"/>
      <c r="H73" s="191" t="s">
        <v>2455</v>
      </c>
      <c r="I73" s="360">
        <f>'数据-取费表'!B49</f>
        <v>5.0000000000000001E-4</v>
      </c>
      <c r="J73" s="2021"/>
      <c r="K73" s="1962">
        <v>2</v>
      </c>
      <c r="L73" s="3343" t="s">
        <v>410</v>
      </c>
      <c r="M73" s="3343"/>
      <c r="N73" s="1292">
        <f t="shared" ref="N73:P74" si="1">D73</f>
        <v>0</v>
      </c>
      <c r="O73" s="1845" t="str">
        <f t="shared" si="1"/>
        <v>销售额×税（费）率</v>
      </c>
      <c r="P73" s="1293" t="str">
        <f t="shared" si="1"/>
        <v>免征</v>
      </c>
      <c r="Q73" s="2014"/>
      <c r="R73" s="2014"/>
      <c r="S73" s="2014"/>
      <c r="T73" s="2014"/>
      <c r="U73" s="2014"/>
      <c r="V73" s="2014"/>
    </row>
    <row r="74" spans="1:22" ht="24.75">
      <c r="A74" s="3337" t="s">
        <v>415</v>
      </c>
      <c r="B74" s="3305"/>
      <c r="C74" s="3305"/>
      <c r="D74" s="362">
        <f ca="1">IF(H74="个人住宅",D75,D76)</f>
        <v>22640</v>
      </c>
      <c r="E74" s="17" t="s">
        <v>416</v>
      </c>
      <c r="F74" s="360" t="str">
        <f>IF(H74="正常",F76,"免征")</f>
        <v>——</v>
      </c>
      <c r="G74" s="983" t="s">
        <v>417</v>
      </c>
      <c r="H74" s="363" t="s">
        <v>413</v>
      </c>
      <c r="I74" s="42"/>
      <c r="J74" s="2021"/>
      <c r="K74" s="1962">
        <v>3</v>
      </c>
      <c r="L74" s="3343" t="s">
        <v>414</v>
      </c>
      <c r="M74" s="3343"/>
      <c r="N74" s="1292">
        <f t="shared" ca="1" si="1"/>
        <v>22640</v>
      </c>
      <c r="O74" s="1845" t="str">
        <f t="shared" si="1"/>
        <v>增值额×税（费）率</v>
      </c>
      <c r="P74" s="1295" t="str">
        <f t="shared" si="1"/>
        <v>——</v>
      </c>
      <c r="Q74" s="2014"/>
      <c r="R74" s="2014"/>
      <c r="S74" s="2014"/>
      <c r="T74" s="2014"/>
      <c r="U74" s="2014"/>
      <c r="V74" s="2014"/>
    </row>
    <row r="75" spans="1:22" ht="24">
      <c r="A75" s="359" t="s">
        <v>418</v>
      </c>
      <c r="B75" s="3293" t="s">
        <v>419</v>
      </c>
      <c r="C75" s="3323"/>
      <c r="D75" s="364">
        <v>0</v>
      </c>
      <c r="E75" s="41" t="s">
        <v>420</v>
      </c>
      <c r="F75" s="365"/>
      <c r="G75" s="361"/>
      <c r="H75" s="42"/>
      <c r="I75" s="42"/>
      <c r="J75" s="2021"/>
      <c r="K75" s="3006">
        <f>IF(H77="非个人房产","",4)</f>
        <v>4</v>
      </c>
      <c r="L75" s="3343" t="str">
        <f>IF(H77="非个人房产","——","个人所得税")</f>
        <v>个人所得税</v>
      </c>
      <c r="M75" s="3343"/>
      <c r="N75" s="1296">
        <f ca="1">D77</f>
        <v>411</v>
      </c>
      <c r="O75" s="1858" t="str">
        <f>E77</f>
        <v>销售额×税（费）率</v>
      </c>
      <c r="P75" s="1297">
        <f>F77</f>
        <v>0.01</v>
      </c>
      <c r="Q75" s="2014"/>
      <c r="R75" s="2014"/>
      <c r="S75" s="2014"/>
      <c r="T75" s="2014"/>
      <c r="U75" s="2014"/>
      <c r="V75" s="2014"/>
    </row>
    <row r="76" spans="1:22" ht="24.75">
      <c r="A76" s="359" t="s">
        <v>396</v>
      </c>
      <c r="B76" s="3293" t="s">
        <v>422</v>
      </c>
      <c r="C76" s="3294"/>
      <c r="D76" s="362">
        <f ca="1">IF(H76="转让取得",C99,C115)</f>
        <v>22640</v>
      </c>
      <c r="E76" s="17" t="s">
        <v>423</v>
      </c>
      <c r="F76" s="53" t="s">
        <v>21</v>
      </c>
      <c r="G76" s="361"/>
      <c r="H76" s="363" t="s">
        <v>424</v>
      </c>
      <c r="I76" s="42"/>
      <c r="J76" s="2021"/>
      <c r="K76" s="3006"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4"/>
      <c r="R76" s="2014"/>
      <c r="S76" s="2014"/>
      <c r="T76" s="2014"/>
      <c r="U76" s="2014"/>
      <c r="V76" s="2014"/>
    </row>
    <row r="77" spans="1:22" ht="26.25" thickBot="1">
      <c r="A77" s="3345" t="s">
        <v>426</v>
      </c>
      <c r="B77" s="3346"/>
      <c r="C77" s="3346"/>
      <c r="D77" s="366">
        <f ca="1">IF(H77="非个人房产","——",IF(H77="个人住宅",0,ROUND(D63*I77,0)))</f>
        <v>411</v>
      </c>
      <c r="E77" s="367" t="str">
        <f>IF(H77="非个人房产","——","销售额×税（费）率")</f>
        <v>销售额×税（费）率</v>
      </c>
      <c r="F77" s="368">
        <f>IF(H77="非个人房产","——",IF(H77="个人住宅","免征",I77))</f>
        <v>0.01</v>
      </c>
      <c r="G77" s="984" t="s">
        <v>417</v>
      </c>
      <c r="H77" s="363" t="s">
        <v>2884</v>
      </c>
      <c r="I77" s="369">
        <v>0.01</v>
      </c>
      <c r="J77" s="2021"/>
      <c r="K77" s="3344">
        <f>IF(AND(K75="",K76=""),4,IF(项目基本情况!K6="上海银行",K76+1,K75+1))</f>
        <v>5</v>
      </c>
      <c r="L77" s="3343" t="s">
        <v>2885</v>
      </c>
      <c r="M77" s="3012" t="s">
        <v>421</v>
      </c>
      <c r="N77" s="1298"/>
      <c r="O77" s="1299">
        <f ca="1">SUMIF(N72:N76,"&lt;9e307")</f>
        <v>25225</v>
      </c>
      <c r="P77" s="1300"/>
      <c r="Q77" s="3010">
        <f ca="1">O77/N69</f>
        <v>0.36803326524657137</v>
      </c>
      <c r="R77" s="2014"/>
      <c r="S77" s="2014"/>
      <c r="T77" s="2014"/>
      <c r="U77" s="2014"/>
      <c r="V77" s="2014"/>
    </row>
    <row r="78" spans="1:22" ht="12" customHeight="1">
      <c r="A78" s="1301"/>
      <c r="B78" s="311"/>
      <c r="C78" s="311"/>
      <c r="D78" s="311"/>
      <c r="E78" s="42"/>
      <c r="F78" s="42"/>
      <c r="G78" s="42"/>
      <c r="H78" s="1003"/>
      <c r="I78" s="311"/>
      <c r="J78" s="2021"/>
      <c r="K78" s="3344"/>
      <c r="L78" s="3343"/>
      <c r="M78" s="3012" t="s">
        <v>425</v>
      </c>
      <c r="N78" s="1298"/>
      <c r="O78" s="1299" t="str">
        <f ca="1">NUMBERSTRING(INT(O77*10000),2)&amp;"元整"</f>
        <v>贰亿伍仟贰佰贰拾伍万元整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64">
        <f>K77+1</f>
        <v>6</v>
      </c>
      <c r="L79" s="3343" t="s">
        <v>2886</v>
      </c>
      <c r="M79" s="3012" t="s">
        <v>421</v>
      </c>
      <c r="N79" s="1298"/>
      <c r="O79" s="1299">
        <f ca="1">N69-O77</f>
        <v>43315</v>
      </c>
      <c r="P79" s="1300"/>
      <c r="Q79" s="2014"/>
      <c r="R79" s="2014"/>
      <c r="S79" s="2014"/>
      <c r="T79" s="2014"/>
      <c r="U79" s="2014"/>
      <c r="V79" s="2014"/>
    </row>
    <row r="80" spans="1:22" ht="25.5">
      <c r="A80" s="3333" t="s">
        <v>428</v>
      </c>
      <c r="B80" s="3334"/>
      <c r="C80" s="994"/>
      <c r="D80" s="994" t="s">
        <v>429</v>
      </c>
      <c r="E80" s="370" t="s">
        <v>430</v>
      </c>
      <c r="F80" s="42"/>
      <c r="G80" s="42"/>
      <c r="H80" s="1003"/>
      <c r="I80" s="311"/>
      <c r="J80" s="2014"/>
      <c r="K80" s="3365"/>
      <c r="L80" s="3343"/>
      <c r="M80" s="3012" t="s">
        <v>425</v>
      </c>
      <c r="N80" s="1298"/>
      <c r="O80" s="1299" t="str">
        <f ca="1">NUMBERSTRING(INT(O79*10000),2)&amp;"元整"</f>
        <v>肆亿叁仟叁佰壹拾伍万元整</v>
      </c>
      <c r="P80" s="1300"/>
      <c r="Q80" s="2014"/>
      <c r="R80" s="2014"/>
      <c r="S80" s="2014"/>
      <c r="T80" s="2014"/>
      <c r="U80" s="2014"/>
      <c r="V80" s="2014"/>
    </row>
    <row r="81" spans="1:26" ht="13.5" thickBot="1">
      <c r="A81" s="381" t="s">
        <v>1823</v>
      </c>
      <c r="B81" s="371" t="s">
        <v>431</v>
      </c>
      <c r="C81" s="372">
        <f ca="1">ROUND((C82+C83)/(1+'数据-取费表'!C42),0)</f>
        <v>39166</v>
      </c>
      <c r="D81" s="373"/>
      <c r="E81" s="374"/>
      <c r="F81" s="42"/>
      <c r="G81" s="42"/>
      <c r="H81" s="1003"/>
      <c r="I81" s="311"/>
      <c r="J81" s="2014"/>
      <c r="K81" s="3006">
        <f>K79+1</f>
        <v>7</v>
      </c>
      <c r="L81" s="3341" t="s">
        <v>2887</v>
      </c>
      <c r="M81" s="3342"/>
      <c r="N81" s="1302"/>
      <c r="O81" s="1303">
        <f ca="1">ROUND(O79*10000/'数据-汇总表'!E3,0)</f>
        <v>619</v>
      </c>
      <c r="P81" s="1304"/>
      <c r="Q81" s="2014"/>
      <c r="R81" s="2014"/>
      <c r="S81" s="2014"/>
      <c r="T81" s="2014"/>
      <c r="U81" s="2014"/>
      <c r="V81" s="2014"/>
    </row>
    <row r="82" spans="1:26" ht="13.5" thickTop="1">
      <c r="A82" s="375" t="s">
        <v>1824</v>
      </c>
      <c r="B82" s="376" t="s">
        <v>432</v>
      </c>
      <c r="C82" s="377">
        <f ca="1">D63</f>
        <v>41124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53" t="s">
        <v>2874</v>
      </c>
      <c r="L83" s="3018" t="s">
        <v>2875</v>
      </c>
      <c r="M83" s="3008">
        <f ca="1">IF(N69&gt;10000,N69*0.5%,IF(AND(N69&gt;1000,N69&lt;=10000),N69*1%,IF(AND(N69&gt;100,N69&lt;=1000),N69*3%,IF(AND(N69&gt;10,N69&lt;=100),N69*5%,N69*8%))))</f>
        <v>342.7</v>
      </c>
      <c r="N83" s="53">
        <f ca="1">ROUND(M83,1)</f>
        <v>342.7</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53"/>
      <c r="L84" s="3018" t="s">
        <v>2876</v>
      </c>
      <c r="M84" s="3008">
        <f ca="1">IF(N69&gt;2000,N69*0.5%,IF(AND(N69&gt;1000,N69&lt;=2000),N69*0.6%,IF(AND(N69&gt;500,N69&lt;=1000),N69*0.7%,IF(AND(N69&gt;200,N69&lt;=500),N69*0.8%,IF(AND(N69&gt;100,N69&lt;=200),N69*0.9%,IF(AND(N69&gt;50,N69&lt;=100),N69*1%,IF(AND(N69&gt;20,N69&lt;=50),N69*1.5%,IF(AND(N69&gt;10,N69&lt;=20),N69*2%,IF(AND(N69&gt;1,N69&lt;=10),N69*2.5%)))))))))</f>
        <v>342.7</v>
      </c>
      <c r="N84" s="53">
        <f t="shared" ref="N84:N85" ca="1" si="2">ROUND(M84,1)</f>
        <v>342.7</v>
      </c>
      <c r="O84" s="2014" t="s">
        <v>2877</v>
      </c>
      <c r="P84" s="2014"/>
      <c r="Q84" s="2014"/>
      <c r="R84" s="2014"/>
      <c r="S84" s="2014"/>
      <c r="T84" s="2014"/>
      <c r="U84" s="2014"/>
      <c r="V84" s="2014"/>
    </row>
    <row r="85" spans="1:26" ht="12.75">
      <c r="A85" s="381" t="s">
        <v>1827</v>
      </c>
      <c r="B85" s="382" t="s">
        <v>435</v>
      </c>
      <c r="C85" s="385">
        <f ca="1">C81-C84</f>
        <v>37166</v>
      </c>
      <c r="D85" s="378" t="s">
        <v>19</v>
      </c>
      <c r="E85" s="379"/>
      <c r="F85" s="42"/>
      <c r="G85" s="42"/>
      <c r="H85" s="1003"/>
      <c r="I85" s="311"/>
      <c r="J85" s="2014"/>
      <c r="K85" s="3353"/>
      <c r="L85" s="3018" t="s">
        <v>2878</v>
      </c>
      <c r="M85" s="3008">
        <f ca="1">IF(N69&gt;1000,N69*0.1%,IF(AND(N69&gt;500,N69&lt;=1000),N69*0.5%,IF(AND(N69&gt;50,N69&lt;=500),N69*1%,IF(AND(N69&gt;1,N69&lt;=50),N69*1.5%))))</f>
        <v>68.540000000000006</v>
      </c>
      <c r="N85" s="53">
        <f t="shared" ca="1" si="2"/>
        <v>68.5</v>
      </c>
      <c r="O85" s="2014" t="s">
        <v>2877</v>
      </c>
      <c r="P85" s="2014"/>
      <c r="Q85" s="2014"/>
      <c r="R85" s="2014"/>
      <c r="S85" s="2014"/>
      <c r="T85" s="2014"/>
      <c r="U85" s="2014"/>
      <c r="V85" s="2014"/>
    </row>
    <row r="86" spans="1:26" ht="13.5" thickBot="1">
      <c r="A86" s="386" t="s">
        <v>1828</v>
      </c>
      <c r="B86" s="387" t="s">
        <v>436</v>
      </c>
      <c r="C86" s="388">
        <f ca="1">IF(C85&lt;=0,0,ROUND(C85*D86,0))</f>
        <v>2063</v>
      </c>
      <c r="D86" s="389">
        <f>'数据-取费表'!B41</f>
        <v>5.5500000000000001E-2</v>
      </c>
      <c r="E86" s="390"/>
      <c r="F86" s="42"/>
      <c r="G86" s="42"/>
      <c r="H86" s="1003"/>
      <c r="I86" s="311"/>
      <c r="J86" s="2014"/>
      <c r="K86" s="3353"/>
      <c r="L86" s="3018" t="s">
        <v>2879</v>
      </c>
      <c r="M86" s="3008">
        <f ca="1">N69*0.5%</f>
        <v>342.7</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3"/>
      <c r="L87" s="3018" t="s">
        <v>2881</v>
      </c>
      <c r="M87" s="3008">
        <f ca="1">IF(N69&gt;=10000,(8.25+(N69-10000)*0.01%),IF(AND(N69&gt;=8000,N69&lt;10000),(7.85+(N69-8000)*0.02%),IF(AND(N69&gt;=5000,N69&lt;8000),(6.65+(N69-5000)*0.04%),IF(AND(N69&gt;=2000,N69&lt;5000),(4.25+(PN69-2000)*0.08%),IF(AND(N69&gt;=1000,N69&lt;2000),(2.75+(N69-1000)*0.15%),IF(AND(N69&gt;=100,N69&lt;1000),(0.5+(N69-100)*0.25%),IF(AND(N69&gt;0,N69&lt;100),N69*0.5%)))))))</f>
        <v>14.103999999999999</v>
      </c>
      <c r="N87" s="53">
        <f ca="1">ROUND(M87*0.9,1)</f>
        <v>12.7</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353"/>
      <c r="L88" s="3018" t="s">
        <v>2882</v>
      </c>
      <c r="M88" s="3008">
        <f ca="1">IF(N69&gt;10000,N69*0.5%,IF(AND(N69&gt;5000,N69&lt;=10000),N69*1%,IF(AND(N69&gt;1000,N69&lt;=5000),N69*2%,IF(AND(N69&gt;200,N69&lt;=1000),N69*3%,N69*5%))))</f>
        <v>342.7</v>
      </c>
      <c r="N88" s="53">
        <f ca="1">ROUND(M88,1)</f>
        <v>342.7</v>
      </c>
      <c r="O88" s="3011"/>
      <c r="P88" s="11"/>
      <c r="Q88" s="2019"/>
      <c r="R88" s="2019"/>
      <c r="S88" s="2019"/>
      <c r="T88" s="2019"/>
      <c r="U88" s="2019"/>
      <c r="V88" s="2019"/>
      <c r="W88" s="2023"/>
      <c r="X88" s="2023"/>
      <c r="Y88" s="2023"/>
      <c r="Z88" s="2023"/>
    </row>
    <row r="89" spans="1:26" s="1310" customFormat="1" ht="14.25">
      <c r="A89" s="3333" t="s">
        <v>428</v>
      </c>
      <c r="B89" s="3334"/>
      <c r="C89" s="994"/>
      <c r="D89" s="994" t="s">
        <v>429</v>
      </c>
      <c r="E89" s="391" t="s">
        <v>438</v>
      </c>
      <c r="F89" s="392"/>
      <c r="G89" s="392"/>
      <c r="H89" s="393"/>
      <c r="I89" s="1312"/>
      <c r="J89" s="2024"/>
      <c r="K89" s="3353"/>
      <c r="L89" s="3018" t="s">
        <v>27</v>
      </c>
      <c r="M89" s="3009"/>
      <c r="N89" s="53">
        <f ca="1">ROUND(SUM(N83:N88),0)</f>
        <v>1110</v>
      </c>
      <c r="O89" s="3019">
        <f ca="1">N89/N69</f>
        <v>1.6194922672891743E-2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39166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2776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6" t="s">
        <v>447</v>
      </c>
      <c r="F94" s="3295"/>
      <c r="G94" s="3295"/>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215</v>
      </c>
      <c r="D96" s="406">
        <f>'数据-取费表'!B43</f>
        <v>5.5000000000000005E-3</v>
      </c>
      <c r="E96" s="3324" t="s">
        <v>2428</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36390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13.108789625360231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20862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3" t="s">
        <v>428</v>
      </c>
      <c r="B102" s="333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39166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905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7" t="s">
        <v>462</v>
      </c>
      <c r="F109" s="3325"/>
      <c r="G109" s="3325"/>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215</v>
      </c>
      <c r="D111" s="406">
        <f>'数据-取费表'!B43</f>
        <v>5.5000000000000005E-3</v>
      </c>
      <c r="E111" s="3324" t="s">
        <v>2428</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7" t="s">
        <v>2453</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38261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42.277348066298345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22640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70102</v>
      </c>
      <c r="C2" s="2090"/>
      <c r="D2" s="2090"/>
      <c r="E2" s="2090"/>
      <c r="F2" s="2090"/>
      <c r="G2" s="2090"/>
      <c r="H2" s="2090"/>
      <c r="I2" s="2090"/>
      <c r="J2" s="2090"/>
      <c r="K2" s="2090"/>
      <c r="L2" s="3202" t="s">
        <v>3171</v>
      </c>
    </row>
    <row r="3" spans="1:31" s="2027" customFormat="1" ht="18" customHeight="1">
      <c r="A3" s="2092" t="s">
        <v>1684</v>
      </c>
      <c r="B3" s="2093">
        <f ca="1">ROUND(B2*10000/IF(B1="",'数据-汇总表'!E3,INDIRECT("'数据-取费表'!K"&amp;$K$1)),0)</f>
        <v>1002</v>
      </c>
      <c r="C3" s="2090"/>
      <c r="D3" s="2090"/>
      <c r="E3" s="2090"/>
      <c r="F3" s="2090"/>
      <c r="G3" s="2090"/>
      <c r="H3" s="2090"/>
      <c r="I3" s="2090"/>
      <c r="J3" s="2090"/>
      <c r="K3" s="2090"/>
      <c r="L3" s="3202" t="s">
        <v>3168</v>
      </c>
      <c r="M3" s="3202" t="s">
        <v>3169</v>
      </c>
      <c r="N3" s="3202" t="s">
        <v>3170</v>
      </c>
    </row>
    <row r="4" spans="1:31" s="2027" customFormat="1" ht="18" customHeight="1">
      <c r="A4" s="426" t="s">
        <v>468</v>
      </c>
      <c r="B4" s="427">
        <f ca="1">ROUND(B2*10000/IF(B1="",'数据-汇总表'!D3,INDIRECT("'数据-取费表'!R"&amp;$K$1)),0)</f>
        <v>3005</v>
      </c>
      <c r="C4" s="428"/>
      <c r="D4" s="422"/>
      <c r="E4" s="422"/>
      <c r="F4" s="422"/>
      <c r="G4" s="422"/>
      <c r="H4" s="422"/>
      <c r="I4" s="422"/>
      <c r="J4" s="422"/>
      <c r="K4" s="422"/>
      <c r="L4" s="2027">
        <v>1</v>
      </c>
      <c r="M4" s="2027">
        <f>'不动产比较法-商业'!C49</f>
        <v>9349.2000000000007</v>
      </c>
      <c r="N4" s="2027">
        <v>1</v>
      </c>
    </row>
    <row r="5" spans="1:31" s="2027" customFormat="1" ht="18" customHeight="1" thickBot="1">
      <c r="A5" s="429"/>
      <c r="B5" s="430">
        <f ca="1">ROUND(B2/(IF(B1="",'数据-汇总表'!D3,INDIRECT("'数据-取费表'!R"&amp;$K$1))/666.67),0)</f>
        <v>200</v>
      </c>
      <c r="C5" s="431" t="s">
        <v>469</v>
      </c>
      <c r="D5" s="422"/>
      <c r="E5" s="422"/>
      <c r="F5" s="422"/>
      <c r="G5" s="422"/>
      <c r="H5" s="422"/>
      <c r="I5" s="422"/>
      <c r="J5" s="422"/>
      <c r="K5" s="422"/>
      <c r="L5" s="2027">
        <v>2</v>
      </c>
      <c r="N5" s="2027">
        <v>0.6</v>
      </c>
    </row>
    <row r="6" spans="1:31" s="2097" customFormat="1" ht="16.5" customHeight="1">
      <c r="A6" s="2784" t="s">
        <v>1842</v>
      </c>
      <c r="B6" s="2785"/>
      <c r="C6" s="2786">
        <f>SUM(C10:K10)</f>
        <v>300373.03918800002</v>
      </c>
      <c r="D6" s="2785"/>
      <c r="E6" s="2785"/>
      <c r="F6" s="2785"/>
      <c r="G6" s="2785"/>
      <c r="H6" s="2785"/>
      <c r="I6" s="2785"/>
      <c r="J6" s="2785"/>
      <c r="K6" s="2787"/>
      <c r="L6" s="2097">
        <v>3</v>
      </c>
      <c r="N6" s="2097">
        <v>0.5</v>
      </c>
    </row>
    <row r="7" spans="1:31" s="2099" customFormat="1" ht="15">
      <c r="A7" s="2788" t="s">
        <v>470</v>
      </c>
      <c r="B7" s="2789" t="s">
        <v>471</v>
      </c>
      <c r="C7" s="436" t="s">
        <v>923</v>
      </c>
      <c r="D7" s="436" t="s">
        <v>3061</v>
      </c>
      <c r="E7" s="436"/>
      <c r="F7" s="436"/>
      <c r="G7" s="436"/>
      <c r="H7" s="436"/>
      <c r="I7" s="436"/>
      <c r="J7" s="436"/>
      <c r="K7" s="437"/>
      <c r="L7" s="2098">
        <v>4</v>
      </c>
      <c r="M7" s="2098"/>
      <c r="N7" s="2098">
        <v>0.4</v>
      </c>
      <c r="O7" s="2098">
        <f>ROUND((M4*N4+M4*N5+M4*N6+M4*N7)/4,0)</f>
        <v>5843</v>
      </c>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3627</v>
      </c>
      <c r="D8" s="3196">
        <f>O7</f>
        <v>5843</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489913.62</v>
      </c>
      <c r="D9" s="441">
        <f>SUMIF('数据-汇总表'!$C19:$C33,'剩余法-待开发'!D7,'数据-汇总表'!$E19:$E33)</f>
        <v>209962.98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177691.66997399999</v>
      </c>
      <c r="D10" s="2982">
        <f>D8*D9/10000</f>
        <v>122681.36921400001</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125977</v>
      </c>
      <c r="D13" s="2800"/>
      <c r="E13" s="2801"/>
      <c r="F13" s="2802"/>
      <c r="G13" s="2768"/>
      <c r="H13" s="2769"/>
      <c r="I13" s="2769"/>
      <c r="J13" s="2769"/>
      <c r="K13" s="2770"/>
    </row>
    <row r="14" spans="1:31" s="2102" customFormat="1" ht="13.5" customHeight="1">
      <c r="A14" s="2798" t="s">
        <v>1849</v>
      </c>
      <c r="B14" s="2799" t="s">
        <v>480</v>
      </c>
      <c r="C14" s="53">
        <f ca="1">ROUND(C13*F14,0)</f>
        <v>3779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2646</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13998</v>
      </c>
      <c r="D16" s="2800">
        <f ca="1">IF(B1="",'数据-汇总表'!E3,INDIRECT("'数据-取费表'!K"&amp;$K$1)+INDIRECT("'数据-取费表'!S"&amp;$K$1))</f>
        <v>699876.6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1890</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148290</v>
      </c>
      <c r="D18" s="2809"/>
      <c r="E18" s="468"/>
      <c r="F18" s="468"/>
      <c r="G18" s="2772" t="s">
        <v>2430</v>
      </c>
      <c r="H18" s="2773"/>
      <c r="I18" s="2773"/>
      <c r="J18" s="2773"/>
      <c r="K18" s="2774"/>
    </row>
    <row r="19" spans="1:14" s="2102" customFormat="1" ht="13.5" customHeight="1">
      <c r="A19" s="2806" t="s">
        <v>1854</v>
      </c>
      <c r="B19" s="2807" t="s">
        <v>488</v>
      </c>
      <c r="C19" s="2764">
        <f ca="1">ROUND(D19*E19/10000,0)</f>
        <v>6999</v>
      </c>
      <c r="D19" s="2810">
        <f ca="1">D16</f>
        <v>699876.6</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5249</v>
      </c>
      <c r="D20" s="2810"/>
      <c r="E20" s="2764"/>
      <c r="F20" s="2811"/>
      <c r="G20" s="3041"/>
      <c r="H20" s="2766"/>
      <c r="I20" s="2767" t="s">
        <v>2651</v>
      </c>
      <c r="J20" s="2773"/>
      <c r="K20" s="2774"/>
    </row>
    <row r="21" spans="1:14" s="2102" customFormat="1" ht="13.5" customHeight="1">
      <c r="A21" s="2798" t="s">
        <v>1856</v>
      </c>
      <c r="B21" s="2799" t="s">
        <v>491</v>
      </c>
      <c r="C21" s="53">
        <f ca="1">ROUND(D21*E21/10000,0)</f>
        <v>3674</v>
      </c>
      <c r="D21" s="2800">
        <f ca="1">IF(B1="",'数据-汇总表'!E5,IF(INDIRECT("'数据-取费表'!c"&amp;$K$1)="住宅",INDIRECT("'数据-取费表'!k"&amp;$K$1),0))</f>
        <v>489913.62</v>
      </c>
      <c r="E21" s="53">
        <f>'数据-取费表'!B27</f>
        <v>75</v>
      </c>
      <c r="F21" s="2803"/>
      <c r="G21" s="26"/>
      <c r="H21" s="51"/>
      <c r="I21" s="51"/>
      <c r="J21" s="51"/>
      <c r="K21" s="2775"/>
    </row>
    <row r="22" spans="1:14" s="2102" customFormat="1" ht="13.5" customHeight="1">
      <c r="A22" s="2798" t="s">
        <v>1857</v>
      </c>
      <c r="B22" s="2799" t="s">
        <v>492</v>
      </c>
      <c r="C22" s="53">
        <f ca="1">ROUND(D22*E22/10000,0)</f>
        <v>1575</v>
      </c>
      <c r="D22" s="2800">
        <f ca="1">IF(B1="",'数据-汇总表'!E6,IF(INDIRECT("'数据-取费表'!c"&amp;$K$1)="住宅",INDIRECT("'数据-取费表'!s"&amp;$K$1),INDIRECT("'数据-取费表'!k"&amp;$K$1)+INDIRECT("'数据-取费表'!s"&amp;$K$1)))</f>
        <v>209962.97999999998</v>
      </c>
      <c r="E22" s="53">
        <f>'数据-取费表'!B28</f>
        <v>75</v>
      </c>
      <c r="F22" s="2803"/>
      <c r="G22" s="26"/>
      <c r="H22" s="51"/>
      <c r="I22" s="51"/>
      <c r="J22" s="51"/>
      <c r="K22" s="2775"/>
    </row>
    <row r="23" spans="1:14" s="2102" customFormat="1" ht="13.5" customHeight="1">
      <c r="A23" s="2806" t="s">
        <v>1858</v>
      </c>
      <c r="B23" s="2988" t="s">
        <v>2834</v>
      </c>
      <c r="C23" s="2808">
        <f ca="1">ROUND((C18+C19+C20)*F23,0)</f>
        <v>1605</v>
      </c>
      <c r="D23" s="468"/>
      <c r="E23" s="468"/>
      <c r="F23" s="2812">
        <f>'数据-取费表'!B37</f>
        <v>0.01</v>
      </c>
      <c r="G23" s="2768" t="s">
        <v>2431</v>
      </c>
      <c r="H23" s="2769"/>
      <c r="I23" s="2769"/>
      <c r="J23" s="2769"/>
      <c r="K23" s="2770"/>
      <c r="L23" s="2104"/>
      <c r="M23" s="2104"/>
      <c r="N23" s="2104"/>
    </row>
    <row r="24" spans="1:14" s="2102" customFormat="1" ht="13.5" customHeight="1">
      <c r="A24" s="2806" t="s">
        <v>1859</v>
      </c>
      <c r="B24" s="2988" t="s">
        <v>2837</v>
      </c>
      <c r="C24" s="2808">
        <f>ROUND(C6*F24,0)</f>
        <v>3004</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9863</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9863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15877</v>
      </c>
      <c r="D29" s="468"/>
      <c r="E29" s="468"/>
      <c r="F29" s="2990">
        <f>'数据-取费表'!B41</f>
        <v>5.5500000000000001E-2</v>
      </c>
      <c r="G29" s="2777" t="s">
        <v>498</v>
      </c>
      <c r="H29" s="2769"/>
      <c r="I29" s="2769"/>
      <c r="J29" s="2769"/>
      <c r="K29" s="2770"/>
    </row>
    <row r="30" spans="1:14" s="2107" customFormat="1" ht="13.5" customHeight="1">
      <c r="A30" s="1621" t="s">
        <v>1863</v>
      </c>
      <c r="B30" s="2818" t="s">
        <v>500</v>
      </c>
      <c r="C30" s="2813">
        <f ca="1">C31</f>
        <v>190887</v>
      </c>
      <c r="D30" s="477">
        <f ca="1">C32</f>
        <v>0.15559999999999999</v>
      </c>
      <c r="E30" s="469" t="s">
        <v>495</v>
      </c>
      <c r="F30" s="471"/>
      <c r="G30" s="2776" t="s">
        <v>2974</v>
      </c>
      <c r="H30" s="2769"/>
      <c r="I30" s="2769"/>
      <c r="J30" s="2769"/>
      <c r="K30" s="2770"/>
    </row>
    <row r="31" spans="1:14" s="2106" customFormat="1" ht="13.5" customHeight="1">
      <c r="A31" s="803" t="s">
        <v>1856</v>
      </c>
      <c r="B31" s="2814"/>
      <c r="C31" s="450">
        <f ca="1">C18+C19+C20+C23+C24+C26+C29</f>
        <v>190887</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19818</v>
      </c>
      <c r="D33" s="467">
        <f ca="1">C34</f>
        <v>0.1235</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0.1235</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19818</v>
      </c>
      <c r="D35" s="1615"/>
      <c r="E35" s="2820"/>
      <c r="F35" s="1616"/>
      <c r="G35" s="2778"/>
      <c r="H35" s="2779"/>
      <c r="I35" s="2779"/>
      <c r="J35" s="2779"/>
      <c r="K35" s="2780"/>
    </row>
    <row r="36" spans="1:11" s="2071" customFormat="1" ht="13.5" customHeight="1" thickBot="1">
      <c r="A36" s="284" t="s">
        <v>1844</v>
      </c>
      <c r="B36" s="2782"/>
      <c r="C36" s="2821">
        <f ca="1">ROUND((C6-C30-C33)/(1+D30+D33),0)</f>
        <v>70102</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125977</v>
      </c>
      <c r="D13" s="451"/>
      <c r="E13" s="365"/>
      <c r="F13" s="452"/>
      <c r="G13" s="444"/>
      <c r="H13" s="447"/>
      <c r="I13" s="447"/>
      <c r="J13" s="447"/>
      <c r="K13" s="448"/>
    </row>
    <row r="14" spans="1:41" s="2102" customFormat="1" ht="13.5" customHeight="1">
      <c r="A14" s="1619" t="s">
        <v>1849</v>
      </c>
      <c r="B14" s="449" t="s">
        <v>480</v>
      </c>
      <c r="C14" s="53">
        <f ca="1">ROUND(C13*F14,0)</f>
        <v>3779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2646</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13998</v>
      </c>
      <c r="D16" s="451">
        <f ca="1">IF(B1="",'数据-汇总表'!E3,INDIRECT("'数据-取费表'!K"&amp;$K$1)+INDIRECT("'数据-取费表'!S"&amp;$K$1))</f>
        <v>699876.6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1890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148290</v>
      </c>
      <c r="D18" s="461"/>
      <c r="E18" s="462"/>
      <c r="F18" s="462"/>
      <c r="G18" s="1323" t="s">
        <v>2432</v>
      </c>
      <c r="H18" s="447"/>
      <c r="I18" s="447"/>
      <c r="J18" s="447"/>
      <c r="K18" s="448"/>
    </row>
    <row r="19" spans="1:14" s="2105" customFormat="1" ht="13.5" customHeight="1">
      <c r="A19" s="1620" t="s">
        <v>1854</v>
      </c>
      <c r="B19" s="459" t="s">
        <v>493</v>
      </c>
      <c r="C19" s="460">
        <f ca="1">ROUND(C18*F19,0)</f>
        <v>1483</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8945</v>
      </c>
      <c r="D21" s="467">
        <f ca="1">C23</f>
        <v>5.9999999999999995E-4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8945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5.9999999999999995E-4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17973</v>
      </c>
      <c r="D24" s="489">
        <f ca="1">C26</f>
        <v>1.1999999999999999E-3</v>
      </c>
      <c r="E24" s="469" t="s">
        <v>507</v>
      </c>
      <c r="F24" s="479">
        <f ca="1">IF(B1="",'数据-取费表'!Q16,INDIRECT("'数据-取费表'!q"&amp;$K$1))</f>
        <v>0.12</v>
      </c>
      <c r="G24" s="444"/>
      <c r="H24" s="447"/>
      <c r="I24" s="447"/>
      <c r="J24" s="447"/>
      <c r="K24" s="448"/>
    </row>
    <row r="25" spans="1:14" s="2106" customFormat="1" ht="13.5" customHeight="1">
      <c r="A25" s="1619" t="s">
        <v>1848</v>
      </c>
      <c r="B25" s="1324" t="s">
        <v>2436</v>
      </c>
      <c r="C25" s="490">
        <f ca="1">ROUND((C18+C19)*F24,0)</f>
        <v>17973</v>
      </c>
      <c r="D25" s="472"/>
      <c r="E25" s="473"/>
      <c r="F25" s="480"/>
      <c r="G25" s="1322" t="s">
        <v>2433</v>
      </c>
      <c r="H25" s="457"/>
      <c r="I25" s="457"/>
      <c r="J25" s="457"/>
      <c r="K25" s="458"/>
    </row>
    <row r="26" spans="1:14" s="2106" customFormat="1" ht="13.5" customHeight="1">
      <c r="A26" s="1619" t="s">
        <v>1849</v>
      </c>
      <c r="B26" s="1324" t="s">
        <v>509</v>
      </c>
      <c r="C26" s="491">
        <f ca="1">ROUND(F20*F24,4)</f>
        <v>1.1999999999999999E-3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5.2900000000000003E-2</v>
      </c>
      <c r="D27" s="462" t="s">
        <v>2830</v>
      </c>
      <c r="E27" s="462"/>
      <c r="F27" s="466">
        <f>'数据-取费表'!B41</f>
        <v>5.5500000000000001E-2</v>
      </c>
      <c r="G27" s="1946" t="s">
        <v>2291</v>
      </c>
      <c r="H27" s="447"/>
      <c r="I27" s="447"/>
      <c r="J27" s="447"/>
      <c r="K27" s="448"/>
    </row>
    <row r="28" spans="1:14" s="2107" customFormat="1" ht="13.5" customHeight="1">
      <c r="A28" s="1623" t="s">
        <v>1868</v>
      </c>
      <c r="B28" s="476" t="s">
        <v>512</v>
      </c>
      <c r="C28" s="470">
        <f ca="1">ROUND((C18+C19+C21+C24)/(1-C20-D21-D24-C27),0)</f>
        <v>188914</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5.5500000000000001E-2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4" t="str">
        <f>项目基本情况!B1</f>
        <v>江苏省盐城市大丰港区海辉路北侧出让国有建设用地使用权抵押价格预评估</v>
      </c>
      <c r="C37" s="3204"/>
      <c r="D37" s="3204"/>
      <c r="E37" s="3204"/>
      <c r="F37" s="3204"/>
      <c r="G37" s="3204"/>
      <c r="H37" s="3204"/>
      <c r="I37" s="3204"/>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19" sqref="M1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66978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957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2871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8" t="s">
        <v>522</v>
      </c>
      <c r="D6" s="3379"/>
      <c r="E6" s="3378" t="s">
        <v>523</v>
      </c>
      <c r="F6" s="3379"/>
      <c r="G6" s="3378" t="s">
        <v>524</v>
      </c>
      <c r="H6" s="3379"/>
      <c r="I6" s="3378" t="s">
        <v>525</v>
      </c>
      <c r="J6" s="3379"/>
      <c r="K6" s="514" t="s">
        <v>526</v>
      </c>
      <c r="L6" s="2119"/>
      <c r="M6" s="2118"/>
      <c r="N6" s="2118"/>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30" ht="20.25">
      <c r="A7" s="515"/>
      <c r="B7" s="516"/>
      <c r="C7" s="3394" t="s">
        <v>2931</v>
      </c>
      <c r="D7" s="3395"/>
      <c r="E7" s="3398" t="str">
        <f>土地案例!A2</f>
        <v>开发区锦丰路东侧、反修河南侧地块</v>
      </c>
      <c r="F7" s="3395"/>
      <c r="G7" s="3394" t="str">
        <f>土地案例!A12</f>
        <v>大丰高新区健康路5地块</v>
      </c>
      <c r="H7" s="3395"/>
      <c r="I7" s="3394" t="str">
        <f>土地案例!A14</f>
        <v>新丰镇226省道东侧、南环大道北侧地块</v>
      </c>
      <c r="J7" s="3395"/>
      <c r="K7" s="514"/>
      <c r="L7" s="2119"/>
      <c r="M7" s="2118"/>
      <c r="N7" s="2118"/>
      <c r="O7" s="2120"/>
      <c r="P7" s="3382"/>
      <c r="Q7" s="3383"/>
      <c r="R7" s="3388"/>
      <c r="S7" s="3389"/>
      <c r="T7" s="3388"/>
      <c r="U7" s="3389"/>
      <c r="V7" s="3373"/>
      <c r="W7" s="3373"/>
      <c r="X7" s="1554"/>
      <c r="Y7" s="3388"/>
      <c r="Z7" s="3389"/>
      <c r="AA7" s="3376"/>
      <c r="AB7" s="3376"/>
      <c r="AC7" s="3376"/>
    </row>
    <row r="8" spans="1:30" ht="21" thickBot="1">
      <c r="A8" s="515"/>
      <c r="B8" s="516"/>
      <c r="C8" s="3396" t="s">
        <v>2935</v>
      </c>
      <c r="D8" s="3397"/>
      <c r="E8" s="3396" t="s">
        <v>2935</v>
      </c>
      <c r="F8" s="3397"/>
      <c r="G8" s="3392" t="s">
        <v>2935</v>
      </c>
      <c r="H8" s="3393"/>
      <c r="I8" s="3392" t="s">
        <v>2935</v>
      </c>
      <c r="J8" s="3393"/>
      <c r="K8" s="514" t="s">
        <v>528</v>
      </c>
      <c r="L8" s="2119"/>
      <c r="M8" s="2118"/>
      <c r="N8" s="2118"/>
      <c r="O8" s="2120"/>
      <c r="P8" s="3384"/>
      <c r="Q8" s="3385"/>
      <c r="R8" s="3388"/>
      <c r="S8" s="3389"/>
      <c r="T8" s="3390"/>
      <c r="U8" s="3391"/>
      <c r="V8" s="3373"/>
      <c r="W8" s="3373"/>
      <c r="X8" s="1554"/>
      <c r="Y8" s="3390"/>
      <c r="Z8" s="3391"/>
      <c r="AA8" s="3377"/>
      <c r="AB8" s="3377"/>
      <c r="AC8" s="3377"/>
    </row>
    <row r="9" spans="1:30" s="1216" customFormat="1" ht="21" thickBot="1">
      <c r="A9" s="2868"/>
      <c r="B9" s="2875" t="s">
        <v>529</v>
      </c>
      <c r="C9" s="2867">
        <f>'数据-取费表'!B2</f>
        <v>43679</v>
      </c>
      <c r="D9" s="520">
        <v>100</v>
      </c>
      <c r="E9" s="521" t="str">
        <f>土地案例!H2</f>
        <v>2018-03-07</v>
      </c>
      <c r="F9" s="522">
        <f>SUMIF(72:72,YEAR(E9)&amp;"-"&amp;INT((MONTH(E9)+2)/3),73:73)</f>
        <v>97</v>
      </c>
      <c r="G9" s="523" t="str">
        <f>土地案例!H12</f>
        <v>2017-03-10</v>
      </c>
      <c r="H9" s="520">
        <f>SUMIF(72:72,YEAR(G9)&amp;"-"&amp;INT((MONTH(G9)+2)/3),73:73)</f>
        <v>95</v>
      </c>
      <c r="I9" s="523" t="str">
        <f>土地案例!H14</f>
        <v>2017-01-16</v>
      </c>
      <c r="J9" s="520">
        <f>SUMIF(72:72,YEAR(I9)&amp;"-"&amp;INT((MONTH(I9)+2)/3),73:73)</f>
        <v>95</v>
      </c>
      <c r="K9" s="524"/>
      <c r="L9" s="2121"/>
      <c r="M9" s="2118"/>
      <c r="N9" s="2118"/>
      <c r="O9" s="2122"/>
      <c r="P9" s="3404" t="s">
        <v>530</v>
      </c>
      <c r="Q9" s="3406"/>
      <c r="R9" s="1555" t="s">
        <v>8</v>
      </c>
      <c r="S9" s="1556">
        <f t="shared" ref="S9:S17" si="0">F9</f>
        <v>97</v>
      </c>
      <c r="T9" s="1555" t="s">
        <v>8</v>
      </c>
      <c r="U9" s="1556">
        <f t="shared" ref="U9:U17" si="1">H9</f>
        <v>95</v>
      </c>
      <c r="V9" s="1555" t="s">
        <v>8</v>
      </c>
      <c r="W9" s="1556">
        <f t="shared" ref="W9:W17" si="2">J9</f>
        <v>95</v>
      </c>
      <c r="X9" s="1557"/>
      <c r="Y9" s="3404" t="s">
        <v>530</v>
      </c>
      <c r="Z9" s="3405"/>
      <c r="AA9" s="1558">
        <f>D9/F9</f>
        <v>1.0309278350515463</v>
      </c>
      <c r="AB9" s="1558">
        <f>D9/H9</f>
        <v>1.0526315789473684</v>
      </c>
      <c r="AC9" s="1558">
        <f>D9/J9</f>
        <v>1.0526315789473684</v>
      </c>
    </row>
    <row r="10" spans="1:30" s="1216" customFormat="1" ht="21" thickBot="1">
      <c r="A10" s="2869"/>
      <c r="B10" s="2876" t="s">
        <v>531</v>
      </c>
      <c r="C10" s="856" t="s">
        <v>532</v>
      </c>
      <c r="D10" s="520">
        <v>100</v>
      </c>
      <c r="E10" s="525" t="s">
        <v>3074</v>
      </c>
      <c r="F10" s="522">
        <f>SUMIF(75:75,E10,76:76)-SUMIF(75:75,C10,76:76)+100</f>
        <v>100</v>
      </c>
      <c r="G10" s="525" t="s">
        <v>3074</v>
      </c>
      <c r="H10" s="520">
        <f>SUMIF(75:75,G10,76:76)-SUMIF(75:75,C10,76:76)+100</f>
        <v>100</v>
      </c>
      <c r="I10" s="525" t="s">
        <v>3074</v>
      </c>
      <c r="J10" s="520">
        <f>SUMIF(75:75,I10,76:76)-SUMIF(75:75,C10,76:76)+100</f>
        <v>100</v>
      </c>
      <c r="K10" s="524"/>
      <c r="L10" s="2121"/>
      <c r="M10" s="2118"/>
      <c r="N10" s="2118"/>
      <c r="O10" s="2122"/>
      <c r="P10" s="3404" t="s">
        <v>533</v>
      </c>
      <c r="Q10" s="3405"/>
      <c r="R10" s="1555" t="s">
        <v>8</v>
      </c>
      <c r="S10" s="1556">
        <f t="shared" si="0"/>
        <v>100</v>
      </c>
      <c r="T10" s="1555" t="s">
        <v>8</v>
      </c>
      <c r="U10" s="1556">
        <f t="shared" si="1"/>
        <v>100</v>
      </c>
      <c r="V10" s="1555" t="s">
        <v>8</v>
      </c>
      <c r="W10" s="1556">
        <f t="shared" si="2"/>
        <v>100</v>
      </c>
      <c r="X10" s="1557"/>
      <c r="Y10" s="3404" t="s">
        <v>533</v>
      </c>
      <c r="Z10" s="3405"/>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1"/>
      <c r="M11" s="2118"/>
      <c r="N11" s="2118"/>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30" s="1334" customFormat="1" ht="27">
      <c r="A12" s="2871"/>
      <c r="B12" s="2876" t="s">
        <v>2757</v>
      </c>
      <c r="C12" s="3191"/>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72"/>
      <c r="Q12" s="1147" t="str">
        <f t="shared" si="6"/>
        <v>土地使用年限（年）</v>
      </c>
      <c r="R12" s="1555" t="s">
        <v>8</v>
      </c>
      <c r="S12" s="1556">
        <f t="shared" si="0"/>
        <v>106</v>
      </c>
      <c r="T12" s="1555" t="s">
        <v>8</v>
      </c>
      <c r="U12" s="1556">
        <f t="shared" si="1"/>
        <v>106</v>
      </c>
      <c r="V12" s="1555" t="s">
        <v>8</v>
      </c>
      <c r="W12" s="1556">
        <f t="shared" si="2"/>
        <v>106</v>
      </c>
      <c r="X12" s="1557"/>
      <c r="Y12" s="3318"/>
      <c r="Z12" s="1146" t="str">
        <f t="shared" si="7"/>
        <v>土地使用年限（年）</v>
      </c>
      <c r="AA12" s="1558">
        <f t="shared" si="3"/>
        <v>0.94339622641509435</v>
      </c>
      <c r="AB12" s="1558">
        <f t="shared" si="4"/>
        <v>0.94339622641509435</v>
      </c>
      <c r="AC12" s="1558">
        <f t="shared" si="5"/>
        <v>0.94339622641509435</v>
      </c>
    </row>
    <row r="13" spans="1:30" ht="20.25">
      <c r="A13" s="2872"/>
      <c r="B13" s="2876" t="s">
        <v>2758</v>
      </c>
      <c r="C13" s="534">
        <v>3</v>
      </c>
      <c r="D13" s="255">
        <v>100</v>
      </c>
      <c r="E13" s="533">
        <v>1.5</v>
      </c>
      <c r="F13" s="255">
        <f>LOOKUP(E13,82:82,83:83)-LOOKUP(C13,82:82,83:83)+100</f>
        <v>110</v>
      </c>
      <c r="G13" s="534">
        <v>1.6</v>
      </c>
      <c r="H13" s="255">
        <f>LOOKUP(G13,82:82,83:83)-LOOKUP(C13,82:82,83:83)+100</f>
        <v>110</v>
      </c>
      <c r="I13" s="533">
        <v>2</v>
      </c>
      <c r="J13" s="255">
        <f>LOOKUP(I13,82:82,83:83)-LOOKUP(C13,82:82,83:83)+100</f>
        <v>105</v>
      </c>
      <c r="K13" s="535">
        <v>5</v>
      </c>
      <c r="L13" s="2126"/>
      <c r="M13" s="2118"/>
      <c r="N13" s="2118"/>
      <c r="O13" s="2127"/>
      <c r="P13" s="3372"/>
      <c r="Q13" s="1147" t="str">
        <f t="shared" si="6"/>
        <v>容积率</v>
      </c>
      <c r="R13" s="1555" t="s">
        <v>8</v>
      </c>
      <c r="S13" s="1556">
        <f t="shared" si="0"/>
        <v>110</v>
      </c>
      <c r="T13" s="1555" t="s">
        <v>8</v>
      </c>
      <c r="U13" s="1556">
        <f t="shared" si="1"/>
        <v>110</v>
      </c>
      <c r="V13" s="1555" t="s">
        <v>8</v>
      </c>
      <c r="W13" s="1556">
        <f t="shared" si="2"/>
        <v>105</v>
      </c>
      <c r="X13" s="1557"/>
      <c r="Y13" s="3318"/>
      <c r="Z13" s="1146" t="str">
        <f t="shared" si="7"/>
        <v>容积率</v>
      </c>
      <c r="AA13" s="1558">
        <f t="shared" si="3"/>
        <v>0.90909090909090906</v>
      </c>
      <c r="AB13" s="1558">
        <f t="shared" si="4"/>
        <v>0.90909090909090906</v>
      </c>
      <c r="AC13" s="1558">
        <f t="shared" si="5"/>
        <v>0.95238095238095233</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1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103</v>
      </c>
      <c r="I17" s="552"/>
      <c r="J17" s="549">
        <f>SUMIF(90:90,I18,91:91)-SUMIF(90:90,C18,91:91)+100</f>
        <v>103</v>
      </c>
      <c r="K17" s="535">
        <v>3</v>
      </c>
      <c r="L17" s="2128"/>
      <c r="M17" s="2118"/>
      <c r="N17" s="2118"/>
      <c r="O17" s="2127"/>
      <c r="P17" s="3407" t="s">
        <v>540</v>
      </c>
      <c r="Q17" s="1559" t="str">
        <f t="shared" si="6"/>
        <v>居住社区成熟度</v>
      </c>
      <c r="R17" s="1560" t="s">
        <v>8</v>
      </c>
      <c r="S17" s="1561">
        <f t="shared" si="0"/>
        <v>103</v>
      </c>
      <c r="T17" s="1560" t="s">
        <v>8</v>
      </c>
      <c r="U17" s="1561">
        <f t="shared" si="1"/>
        <v>103</v>
      </c>
      <c r="V17" s="1560" t="s">
        <v>8</v>
      </c>
      <c r="W17" s="1561">
        <f t="shared" si="2"/>
        <v>103</v>
      </c>
      <c r="X17" s="1554"/>
      <c r="Y17" s="3407" t="s">
        <v>540</v>
      </c>
      <c r="Z17" s="1562" t="str">
        <f t="shared" si="7"/>
        <v>居住社区成熟度</v>
      </c>
      <c r="AA17" s="1563">
        <f t="shared" si="3"/>
        <v>0.970873786407767</v>
      </c>
      <c r="AB17" s="1563">
        <f t="shared" si="4"/>
        <v>0.970873786407767</v>
      </c>
      <c r="AC17" s="1563">
        <f t="shared" si="5"/>
        <v>0.970873786407767</v>
      </c>
    </row>
    <row r="18" spans="1:29" ht="20.25">
      <c r="A18" s="532"/>
      <c r="B18" s="553"/>
      <c r="C18" s="554" t="s">
        <v>3122</v>
      </c>
      <c r="D18" s="557"/>
      <c r="E18" s="558" t="s">
        <v>3071</v>
      </c>
      <c r="F18" s="555"/>
      <c r="G18" s="556" t="s">
        <v>3071</v>
      </c>
      <c r="H18" s="559"/>
      <c r="I18" s="558" t="s">
        <v>3071</v>
      </c>
      <c r="J18" s="555"/>
      <c r="K18" s="531"/>
      <c r="L18" s="2128"/>
      <c r="M18" s="2118"/>
      <c r="N18" s="2118"/>
      <c r="O18" s="2127"/>
      <c r="P18" s="3408"/>
      <c r="Q18" s="1559"/>
      <c r="R18" s="1560"/>
      <c r="S18" s="1561"/>
      <c r="T18" s="1560"/>
      <c r="U18" s="1561"/>
      <c r="V18" s="1560"/>
      <c r="W18" s="1561"/>
      <c r="X18" s="1554"/>
      <c r="Y18" s="3408"/>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08"/>
      <c r="Q19" s="1559" t="str">
        <f>B19</f>
        <v>商业繁华度</v>
      </c>
      <c r="R19" s="1560" t="s">
        <v>8</v>
      </c>
      <c r="S19" s="1561">
        <f>F19</f>
        <v>102</v>
      </c>
      <c r="T19" s="1560" t="s">
        <v>8</v>
      </c>
      <c r="U19" s="1561">
        <f>H19</f>
        <v>102</v>
      </c>
      <c r="V19" s="1560" t="s">
        <v>8</v>
      </c>
      <c r="W19" s="1561">
        <f>J19</f>
        <v>102</v>
      </c>
      <c r="X19" s="1554"/>
      <c r="Y19" s="3408"/>
      <c r="Z19" s="1562" t="str">
        <f>Q19</f>
        <v>商业繁华度</v>
      </c>
      <c r="AA19" s="1563">
        <f t="shared" si="3"/>
        <v>0.98039215686274506</v>
      </c>
      <c r="AB19" s="1563">
        <f t="shared" si="4"/>
        <v>0.98039215686274506</v>
      </c>
      <c r="AC19" s="1563">
        <f t="shared" si="5"/>
        <v>0.98039215686274506</v>
      </c>
    </row>
    <row r="20" spans="1:29" ht="20.25">
      <c r="A20" s="532"/>
      <c r="B20" s="566"/>
      <c r="C20" s="567" t="s">
        <v>3122</v>
      </c>
      <c r="D20" s="563"/>
      <c r="E20" s="569" t="s">
        <v>3071</v>
      </c>
      <c r="F20" s="559"/>
      <c r="G20" s="568" t="s">
        <v>3071</v>
      </c>
      <c r="H20" s="555"/>
      <c r="I20" s="569" t="s">
        <v>3071</v>
      </c>
      <c r="J20" s="555"/>
      <c r="K20" s="531"/>
      <c r="L20" s="2128"/>
      <c r="M20" s="2118"/>
      <c r="N20" s="2118"/>
      <c r="O20" s="2127"/>
      <c r="P20" s="3408"/>
      <c r="Q20" s="1559"/>
      <c r="R20" s="1560"/>
      <c r="S20" s="1561"/>
      <c r="T20" s="1560"/>
      <c r="U20" s="1561"/>
      <c r="V20" s="1560"/>
      <c r="W20" s="1561"/>
      <c r="X20" s="1554"/>
      <c r="Y20" s="3408"/>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8"/>
      <c r="Q21" s="1559" t="str">
        <f>B21</f>
        <v>办公集聚程度</v>
      </c>
      <c r="R21" s="1560" t="s">
        <v>8</v>
      </c>
      <c r="S21" s="1561">
        <f>F21</f>
        <v>100</v>
      </c>
      <c r="T21" s="1560" t="s">
        <v>8</v>
      </c>
      <c r="U21" s="1561">
        <f>H21</f>
        <v>100</v>
      </c>
      <c r="V21" s="1560" t="s">
        <v>8</v>
      </c>
      <c r="W21" s="1561">
        <f>J21</f>
        <v>100</v>
      </c>
      <c r="X21" s="1554"/>
      <c r="Y21" s="3408"/>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8"/>
      <c r="Q22" s="1559"/>
      <c r="R22" s="1560"/>
      <c r="S22" s="1561"/>
      <c r="T22" s="1560"/>
      <c r="U22" s="1561"/>
      <c r="V22" s="1560"/>
      <c r="W22" s="1561"/>
      <c r="X22" s="1554"/>
      <c r="Y22" s="3408"/>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8"/>
      <c r="M23" s="2118"/>
      <c r="N23" s="2118"/>
      <c r="O23" s="2127"/>
      <c r="P23" s="3408"/>
      <c r="Q23" s="1559" t="str">
        <f>B23</f>
        <v>交通便捷度</v>
      </c>
      <c r="R23" s="1560" t="s">
        <v>8</v>
      </c>
      <c r="S23" s="1561">
        <f>F23</f>
        <v>100</v>
      </c>
      <c r="T23" s="1560" t="s">
        <v>8</v>
      </c>
      <c r="U23" s="1561">
        <f>H23</f>
        <v>100</v>
      </c>
      <c r="V23" s="1560" t="s">
        <v>8</v>
      </c>
      <c r="W23" s="1561">
        <f>J23</f>
        <v>100</v>
      </c>
      <c r="X23" s="1554"/>
      <c r="Y23" s="3408"/>
      <c r="Z23" s="1562" t="str">
        <f>Q23</f>
        <v>交通便捷度</v>
      </c>
      <c r="AA23" s="1563">
        <f t="shared" si="3"/>
        <v>1</v>
      </c>
      <c r="AB23" s="1563">
        <f t="shared" si="4"/>
        <v>1</v>
      </c>
      <c r="AC23" s="1563">
        <f t="shared" si="5"/>
        <v>1</v>
      </c>
    </row>
    <row r="24" spans="1:29" ht="20.25">
      <c r="A24" s="532"/>
      <c r="B24" s="578"/>
      <c r="C24" s="554" t="s">
        <v>3071</v>
      </c>
      <c r="D24" s="557"/>
      <c r="E24" s="558" t="s">
        <v>3071</v>
      </c>
      <c r="F24" s="555"/>
      <c r="G24" s="556" t="s">
        <v>3071</v>
      </c>
      <c r="H24" s="555"/>
      <c r="I24" s="558" t="s">
        <v>3071</v>
      </c>
      <c r="J24" s="555"/>
      <c r="K24" s="531"/>
      <c r="L24" s="2128"/>
      <c r="M24" s="2118"/>
      <c r="N24" s="2118"/>
      <c r="O24" s="2127"/>
      <c r="P24" s="3408"/>
      <c r="Q24" s="1559"/>
      <c r="R24" s="1560"/>
      <c r="S24" s="1561"/>
      <c r="T24" s="1560"/>
      <c r="U24" s="1561"/>
      <c r="V24" s="1560"/>
      <c r="W24" s="1561"/>
      <c r="X24" s="1554"/>
      <c r="Y24" s="340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08"/>
      <c r="Q25" s="1559" t="str">
        <f t="shared" ref="Q25:Q39" si="8">B25</f>
        <v>区域土地利用方向</v>
      </c>
      <c r="R25" s="1560" t="s">
        <v>8</v>
      </c>
      <c r="S25" s="1561">
        <f>F25</f>
        <v>100</v>
      </c>
      <c r="T25" s="1560" t="s">
        <v>8</v>
      </c>
      <c r="U25" s="1561">
        <f>H25</f>
        <v>100</v>
      </c>
      <c r="V25" s="1560" t="s">
        <v>8</v>
      </c>
      <c r="W25" s="1561">
        <f>J25</f>
        <v>100</v>
      </c>
      <c r="X25" s="1554"/>
      <c r="Y25" s="3408"/>
      <c r="Z25" s="1562" t="str">
        <f>Q25</f>
        <v>区域土地利用方向</v>
      </c>
      <c r="AA25" s="1563">
        <f t="shared" si="3"/>
        <v>1</v>
      </c>
      <c r="AB25" s="1563">
        <f t="shared" si="4"/>
        <v>1</v>
      </c>
      <c r="AC25" s="1563">
        <f t="shared" si="5"/>
        <v>1</v>
      </c>
    </row>
    <row r="26" spans="1:29" ht="20.25">
      <c r="A26" s="515"/>
      <c r="B26" s="1007"/>
      <c r="C26" s="554" t="s">
        <v>3073</v>
      </c>
      <c r="D26" s="557"/>
      <c r="E26" s="558" t="s">
        <v>3073</v>
      </c>
      <c r="F26" s="555"/>
      <c r="G26" s="556" t="s">
        <v>3073</v>
      </c>
      <c r="H26" s="555"/>
      <c r="I26" s="558" t="s">
        <v>3073</v>
      </c>
      <c r="J26" s="555"/>
      <c r="K26" s="531"/>
      <c r="L26" s="2128"/>
      <c r="M26" s="2118"/>
      <c r="N26" s="2118"/>
      <c r="O26" s="2127"/>
      <c r="P26" s="3408"/>
      <c r="Q26" s="1559"/>
      <c r="R26" s="1560"/>
      <c r="S26" s="1561"/>
      <c r="T26" s="1560"/>
      <c r="U26" s="1561"/>
      <c r="V26" s="1560"/>
      <c r="W26" s="1561"/>
      <c r="X26" s="1554"/>
      <c r="Y26" s="3408"/>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8"/>
      <c r="Q27" s="1559" t="str">
        <f t="shared" si="8"/>
        <v>自然及人文环境状况</v>
      </c>
      <c r="R27" s="1560" t="s">
        <v>8</v>
      </c>
      <c r="S27" s="1561">
        <f>F27</f>
        <v>100</v>
      </c>
      <c r="T27" s="1560" t="s">
        <v>8</v>
      </c>
      <c r="U27" s="1561">
        <f>H27</f>
        <v>100</v>
      </c>
      <c r="V27" s="1560" t="s">
        <v>8</v>
      </c>
      <c r="W27" s="1561">
        <f>J27</f>
        <v>100</v>
      </c>
      <c r="X27" s="1554"/>
      <c r="Y27" s="3408"/>
      <c r="Z27" s="1562" t="str">
        <f>Q27</f>
        <v>自然及人文环境状况</v>
      </c>
      <c r="AA27" s="1563">
        <f t="shared" si="3"/>
        <v>1</v>
      </c>
      <c r="AB27" s="1563">
        <f t="shared" si="4"/>
        <v>1</v>
      </c>
      <c r="AC27" s="1563">
        <f t="shared" si="5"/>
        <v>1</v>
      </c>
    </row>
    <row r="28" spans="1:29" ht="20.25">
      <c r="A28" s="515"/>
      <c r="B28" s="566"/>
      <c r="C28" s="554" t="s">
        <v>3071</v>
      </c>
      <c r="D28" s="557"/>
      <c r="E28" s="576" t="s">
        <v>3071</v>
      </c>
      <c r="F28" s="555"/>
      <c r="G28" s="554" t="s">
        <v>3071</v>
      </c>
      <c r="H28" s="555"/>
      <c r="I28" s="576" t="s">
        <v>3071</v>
      </c>
      <c r="J28" s="555"/>
      <c r="K28" s="531"/>
      <c r="L28" s="2128"/>
      <c r="M28" s="2118"/>
      <c r="N28" s="2118"/>
      <c r="O28" s="2127"/>
      <c r="P28" s="3408"/>
      <c r="Q28" s="1559"/>
      <c r="R28" s="1560"/>
      <c r="S28" s="1561"/>
      <c r="T28" s="1560"/>
      <c r="U28" s="1561"/>
      <c r="V28" s="1560"/>
      <c r="W28" s="1561"/>
      <c r="X28" s="1554"/>
      <c r="Y28" s="3408"/>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408"/>
      <c r="Q29" s="1147" t="str">
        <f t="shared" si="8"/>
        <v>公共配套设施</v>
      </c>
      <c r="R29" s="1555" t="s">
        <v>8</v>
      </c>
      <c r="S29" s="1556">
        <f>F29</f>
        <v>102</v>
      </c>
      <c r="T29" s="1555" t="s">
        <v>8</v>
      </c>
      <c r="U29" s="1556">
        <f>H29</f>
        <v>102</v>
      </c>
      <c r="V29" s="1555" t="s">
        <v>8</v>
      </c>
      <c r="W29" s="1556">
        <f>J29</f>
        <v>102</v>
      </c>
      <c r="X29" s="1557"/>
      <c r="Y29" s="3408"/>
      <c r="Z29" s="1146" t="str">
        <f>Q29</f>
        <v>公共配套设施</v>
      </c>
      <c r="AA29" s="1563">
        <f>D29/F29</f>
        <v>0.98039215686274506</v>
      </c>
      <c r="AB29" s="1563">
        <f>D29/H29</f>
        <v>0.98039215686274506</v>
      </c>
      <c r="AC29" s="1563">
        <f>D29/J29</f>
        <v>0.98039215686274506</v>
      </c>
    </row>
    <row r="30" spans="1:29" s="1216" customFormat="1" ht="20.25">
      <c r="A30" s="577"/>
      <c r="B30" s="566"/>
      <c r="C30" s="579" t="s">
        <v>3122</v>
      </c>
      <c r="D30" s="557"/>
      <c r="E30" s="576" t="s">
        <v>3071</v>
      </c>
      <c r="F30" s="555"/>
      <c r="G30" s="554" t="s">
        <v>3071</v>
      </c>
      <c r="H30" s="555"/>
      <c r="I30" s="576" t="s">
        <v>3071</v>
      </c>
      <c r="J30" s="555"/>
      <c r="K30" s="531"/>
      <c r="L30" s="2121"/>
      <c r="M30" s="2118"/>
      <c r="N30" s="2118"/>
      <c r="O30" s="2123"/>
      <c r="P30" s="3408"/>
      <c r="Q30" s="1147"/>
      <c r="R30" s="1555"/>
      <c r="S30" s="1556"/>
      <c r="T30" s="1555"/>
      <c r="U30" s="1556"/>
      <c r="V30" s="1555"/>
      <c r="W30" s="1556"/>
      <c r="X30" s="1557"/>
      <c r="Y30" s="3408"/>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8"/>
      <c r="Q31" s="2543" t="str">
        <f t="shared" ref="Q31" si="9">B31</f>
        <v>基础设施水平</v>
      </c>
      <c r="R31" s="1555" t="s">
        <v>8</v>
      </c>
      <c r="S31" s="1556">
        <f>F31</f>
        <v>100</v>
      </c>
      <c r="T31" s="1555" t="s">
        <v>8</v>
      </c>
      <c r="U31" s="1556">
        <f>H31</f>
        <v>100</v>
      </c>
      <c r="V31" s="1555" t="s">
        <v>8</v>
      </c>
      <c r="W31" s="1556">
        <f>J31</f>
        <v>100</v>
      </c>
      <c r="X31" s="1557"/>
      <c r="Y31" s="3408"/>
      <c r="Z31" s="2540" t="str">
        <f>Q31</f>
        <v>基础设施水平</v>
      </c>
      <c r="AA31" s="1563">
        <f>D31/F31</f>
        <v>1</v>
      </c>
      <c r="AB31" s="1563">
        <f>D31/H31</f>
        <v>1</v>
      </c>
      <c r="AC31" s="156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408"/>
      <c r="Q32" s="2543"/>
      <c r="R32" s="1555"/>
      <c r="S32" s="1556"/>
      <c r="T32" s="1555"/>
      <c r="U32" s="1556"/>
      <c r="V32" s="1555"/>
      <c r="W32" s="1556"/>
      <c r="X32" s="1557"/>
      <c r="Y32" s="3408"/>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8"/>
      <c r="Q34" s="1559" t="str">
        <f t="shared" si="8"/>
        <v>毗邻道路的类型与等级</v>
      </c>
      <c r="R34" s="1560" t="s">
        <v>8</v>
      </c>
      <c r="S34" s="1561">
        <f t="shared" si="10"/>
        <v>100</v>
      </c>
      <c r="T34" s="1560" t="s">
        <v>8</v>
      </c>
      <c r="U34" s="1561">
        <f t="shared" si="11"/>
        <v>100</v>
      </c>
      <c r="V34" s="1560" t="s">
        <v>8</v>
      </c>
      <c r="W34" s="1561">
        <f t="shared" si="12"/>
        <v>100</v>
      </c>
      <c r="X34" s="1554"/>
      <c r="Y34" s="3408"/>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8"/>
      <c r="Q35" s="1559"/>
      <c r="R35" s="1560"/>
      <c r="S35" s="1561"/>
      <c r="T35" s="1560"/>
      <c r="U35" s="1561"/>
      <c r="V35" s="1560"/>
      <c r="W35" s="1561"/>
      <c r="X35" s="1554"/>
      <c r="Y35" s="3408"/>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8"/>
      <c r="Q36" s="1559" t="str">
        <f t="shared" si="8"/>
        <v>土地级别</v>
      </c>
      <c r="R36" s="1560" t="s">
        <v>8</v>
      </c>
      <c r="S36" s="1561">
        <f t="shared" si="10"/>
        <v>100</v>
      </c>
      <c r="T36" s="1560" t="s">
        <v>8</v>
      </c>
      <c r="U36" s="1561">
        <f t="shared" si="11"/>
        <v>100</v>
      </c>
      <c r="V36" s="1560" t="s">
        <v>8</v>
      </c>
      <c r="W36" s="1561">
        <f t="shared" si="12"/>
        <v>100</v>
      </c>
      <c r="X36" s="1554"/>
      <c r="Y36" s="3408"/>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8"/>
      <c r="Q37" s="1559">
        <f t="shared" si="8"/>
        <v>111</v>
      </c>
      <c r="R37" s="1560" t="s">
        <v>8</v>
      </c>
      <c r="S37" s="1561">
        <f t="shared" si="10"/>
        <v>100</v>
      </c>
      <c r="T37" s="1560" t="s">
        <v>8</v>
      </c>
      <c r="U37" s="1561">
        <f t="shared" si="11"/>
        <v>100</v>
      </c>
      <c r="V37" s="1560" t="s">
        <v>8</v>
      </c>
      <c r="W37" s="1561">
        <f t="shared" si="12"/>
        <v>100</v>
      </c>
      <c r="X37" s="1554"/>
      <c r="Y37" s="3408"/>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9" t="s">
        <v>550</v>
      </c>
      <c r="Q38" s="1559">
        <f t="shared" si="8"/>
        <v>111</v>
      </c>
      <c r="R38" s="1560" t="s">
        <v>8</v>
      </c>
      <c r="S38" s="1561">
        <f t="shared" si="10"/>
        <v>100</v>
      </c>
      <c r="T38" s="1560" t="s">
        <v>8</v>
      </c>
      <c r="U38" s="1561">
        <f t="shared" si="11"/>
        <v>100</v>
      </c>
      <c r="V38" s="1560" t="s">
        <v>8</v>
      </c>
      <c r="W38" s="1561">
        <f t="shared" si="12"/>
        <v>100</v>
      </c>
      <c r="X38" s="1554"/>
      <c r="Y38" s="3410"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0"/>
      <c r="Q39" s="1559">
        <f t="shared" si="8"/>
        <v>111</v>
      </c>
      <c r="R39" s="1564" t="s">
        <v>8</v>
      </c>
      <c r="S39" s="1565">
        <f t="shared" si="10"/>
        <v>100</v>
      </c>
      <c r="T39" s="1564" t="s">
        <v>8</v>
      </c>
      <c r="U39" s="1565">
        <f t="shared" si="11"/>
        <v>100</v>
      </c>
      <c r="V39" s="1564" t="s">
        <v>8</v>
      </c>
      <c r="W39" s="1565">
        <f t="shared" si="12"/>
        <v>100</v>
      </c>
      <c r="X39" s="1566"/>
      <c r="Y39" s="3410"/>
      <c r="Z39" s="1567">
        <f t="shared" si="13"/>
        <v>111</v>
      </c>
      <c r="AA39" s="1563">
        <f t="shared" si="3"/>
        <v>1</v>
      </c>
      <c r="AB39" s="1563">
        <f t="shared" si="4"/>
        <v>1</v>
      </c>
      <c r="AC39" s="1563">
        <f t="shared" si="5"/>
        <v>1</v>
      </c>
    </row>
    <row r="40" spans="1:29" ht="20.25">
      <c r="A40" s="2863" t="s">
        <v>2755</v>
      </c>
      <c r="B40" s="595" t="s">
        <v>552</v>
      </c>
      <c r="C40" s="596">
        <f>'数据-基础表'!A3</f>
        <v>233292.2</v>
      </c>
      <c r="D40" s="597">
        <v>100</v>
      </c>
      <c r="E40" s="596">
        <f>土地案例!D2</f>
        <v>52846</v>
      </c>
      <c r="F40" s="597">
        <f>LOOKUP(E40,119:119,120:120)-LOOKUP(C40,119:119,120:120)+100</f>
        <v>98</v>
      </c>
      <c r="G40" s="596">
        <f>土地案例!D12</f>
        <v>49652</v>
      </c>
      <c r="H40" s="597">
        <f>LOOKUP(G40,119:119,120:120)-LOOKUP(C40,119:119,120:120)+100</f>
        <v>96</v>
      </c>
      <c r="I40" s="598">
        <f>土地案例!D14</f>
        <v>63215</v>
      </c>
      <c r="J40" s="597">
        <f>LOOKUP(I40,119:119,120:120)-LOOKUP(C40,119:119,120:120)+100</f>
        <v>98</v>
      </c>
      <c r="K40" s="581"/>
      <c r="L40" s="2128"/>
      <c r="M40" s="2118"/>
      <c r="N40" s="2118"/>
      <c r="O40" s="2127"/>
      <c r="P40" s="3410"/>
      <c r="Q40" s="1559" t="str">
        <f>B40</f>
        <v>宗地面积</v>
      </c>
      <c r="R40" s="1560" t="s">
        <v>8</v>
      </c>
      <c r="S40" s="1561">
        <f t="shared" si="10"/>
        <v>98</v>
      </c>
      <c r="T40" s="1560" t="s">
        <v>8</v>
      </c>
      <c r="U40" s="1561">
        <f t="shared" si="11"/>
        <v>96</v>
      </c>
      <c r="V40" s="1560" t="s">
        <v>8</v>
      </c>
      <c r="W40" s="1561">
        <f t="shared" si="12"/>
        <v>98</v>
      </c>
      <c r="X40" s="1554"/>
      <c r="Y40" s="3410"/>
      <c r="Z40" s="1562" t="str">
        <f t="shared" si="13"/>
        <v>宗地面积</v>
      </c>
      <c r="AA40" s="1563">
        <f t="shared" si="3"/>
        <v>1.0204081632653061</v>
      </c>
      <c r="AB40" s="1563">
        <f t="shared" si="4"/>
        <v>1.0416666666666667</v>
      </c>
      <c r="AC40" s="1563">
        <f t="shared" si="5"/>
        <v>1.0204081632653061</v>
      </c>
    </row>
    <row r="41" spans="1:29" ht="20.25">
      <c r="A41" s="594"/>
      <c r="B41" s="527" t="s">
        <v>553</v>
      </c>
      <c r="C41" s="599" t="s">
        <v>3073</v>
      </c>
      <c r="D41" s="540">
        <v>100</v>
      </c>
      <c r="E41" s="599" t="s">
        <v>3073</v>
      </c>
      <c r="F41" s="540">
        <f>SUMIF(121:121,E41,122:122)-SUMIF(121:121,C41,122:122)+100</f>
        <v>100</v>
      </c>
      <c r="G41" s="599" t="s">
        <v>3073</v>
      </c>
      <c r="H41" s="540">
        <f>SUMIF(121:121,G41,122:122)-SUMIF(121:121,C41,122:122)+100</f>
        <v>100</v>
      </c>
      <c r="I41" s="599" t="s">
        <v>3073</v>
      </c>
      <c r="J41" s="540">
        <f>SUMIF(121:121,I41,122:122)-SUMIF(121:121,C41,122:122)+100</f>
        <v>100</v>
      </c>
      <c r="K41" s="584">
        <v>5</v>
      </c>
      <c r="L41" s="2128"/>
      <c r="M41" s="2118"/>
      <c r="N41" s="2118"/>
      <c r="O41" s="2127"/>
      <c r="P41" s="3410"/>
      <c r="Q41" s="1559" t="str">
        <f t="shared" ref="Q41:Q47" si="14">B41</f>
        <v>宗地形状</v>
      </c>
      <c r="R41" s="1560" t="s">
        <v>8</v>
      </c>
      <c r="S41" s="1561">
        <f t="shared" si="10"/>
        <v>100</v>
      </c>
      <c r="T41" s="1560" t="s">
        <v>8</v>
      </c>
      <c r="U41" s="1561">
        <f t="shared" si="11"/>
        <v>100</v>
      </c>
      <c r="V41" s="1560" t="s">
        <v>8</v>
      </c>
      <c r="W41" s="1561">
        <f t="shared" si="12"/>
        <v>100</v>
      </c>
      <c r="X41" s="1554"/>
      <c r="Y41" s="3410"/>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0"/>
      <c r="Q42" s="1559" t="str">
        <f t="shared" si="14"/>
        <v>临街宽度及深度</v>
      </c>
      <c r="R42" s="1560" t="s">
        <v>8</v>
      </c>
      <c r="S42" s="1561">
        <f t="shared" si="10"/>
        <v>100</v>
      </c>
      <c r="T42" s="1560" t="s">
        <v>8</v>
      </c>
      <c r="U42" s="1561">
        <f t="shared" si="11"/>
        <v>100</v>
      </c>
      <c r="V42" s="1560" t="s">
        <v>8</v>
      </c>
      <c r="W42" s="1561">
        <f t="shared" si="12"/>
        <v>100</v>
      </c>
      <c r="X42" s="1554"/>
      <c r="Y42" s="3410"/>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0"/>
      <c r="Q43" s="1559" t="str">
        <f t="shared" si="14"/>
        <v>宗地开发程度</v>
      </c>
      <c r="R43" s="1555" t="s">
        <v>8</v>
      </c>
      <c r="S43" s="1556">
        <f t="shared" si="10"/>
        <v>100</v>
      </c>
      <c r="T43" s="1555" t="s">
        <v>8</v>
      </c>
      <c r="U43" s="1556">
        <f t="shared" si="11"/>
        <v>100</v>
      </c>
      <c r="V43" s="1555" t="s">
        <v>8</v>
      </c>
      <c r="W43" s="1556">
        <f t="shared" si="12"/>
        <v>100</v>
      </c>
      <c r="X43" s="1557"/>
      <c r="Y43" s="3410"/>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0" t="s">
        <v>550</v>
      </c>
      <c r="Q44" s="1559" t="str">
        <f t="shared" si="14"/>
        <v>工程地质条件</v>
      </c>
      <c r="R44" s="1560" t="s">
        <v>8</v>
      </c>
      <c r="S44" s="1561">
        <f t="shared" si="10"/>
        <v>100</v>
      </c>
      <c r="T44" s="1560" t="s">
        <v>8</v>
      </c>
      <c r="U44" s="1561">
        <f t="shared" si="11"/>
        <v>100</v>
      </c>
      <c r="V44" s="1560" t="s">
        <v>8</v>
      </c>
      <c r="W44" s="1561">
        <f t="shared" si="12"/>
        <v>100</v>
      </c>
      <c r="X44" s="1554"/>
      <c r="Y44" s="3410"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0"/>
      <c r="Q45" s="1559">
        <f t="shared" si="14"/>
        <v>111</v>
      </c>
      <c r="R45" s="1560" t="s">
        <v>8</v>
      </c>
      <c r="S45" s="1561">
        <f t="shared" si="10"/>
        <v>100</v>
      </c>
      <c r="T45" s="1560" t="s">
        <v>8</v>
      </c>
      <c r="U45" s="1561">
        <f t="shared" si="11"/>
        <v>100</v>
      </c>
      <c r="V45" s="1560" t="s">
        <v>8</v>
      </c>
      <c r="W45" s="1561">
        <f t="shared" si="12"/>
        <v>100</v>
      </c>
      <c r="X45" s="1554"/>
      <c r="Y45" s="3410"/>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0"/>
      <c r="Q46" s="1559">
        <f t="shared" si="14"/>
        <v>111</v>
      </c>
      <c r="R46" s="1560" t="s">
        <v>8</v>
      </c>
      <c r="S46" s="1561">
        <f t="shared" si="10"/>
        <v>100</v>
      </c>
      <c r="T46" s="1560" t="s">
        <v>8</v>
      </c>
      <c r="U46" s="1561">
        <f t="shared" si="11"/>
        <v>100</v>
      </c>
      <c r="V46" s="1560" t="s">
        <v>8</v>
      </c>
      <c r="W46" s="1561">
        <f t="shared" si="12"/>
        <v>100</v>
      </c>
      <c r="X46" s="1554"/>
      <c r="Y46" s="3410"/>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0"/>
      <c r="Q47" s="1559">
        <f t="shared" si="14"/>
        <v>111</v>
      </c>
      <c r="R47" s="1564" t="s">
        <v>8</v>
      </c>
      <c r="S47" s="1565">
        <f t="shared" si="10"/>
        <v>100</v>
      </c>
      <c r="T47" s="1564" t="s">
        <v>8</v>
      </c>
      <c r="U47" s="1565">
        <f t="shared" si="11"/>
        <v>100</v>
      </c>
      <c r="V47" s="1564" t="s">
        <v>8</v>
      </c>
      <c r="W47" s="1565">
        <f t="shared" si="12"/>
        <v>100</v>
      </c>
      <c r="X47" s="1566"/>
      <c r="Y47" s="3410"/>
      <c r="Z47" s="1567">
        <f t="shared" si="13"/>
        <v>111</v>
      </c>
      <c r="AA47" s="1563">
        <f t="shared" si="3"/>
        <v>1</v>
      </c>
      <c r="AB47" s="1563">
        <f t="shared" si="4"/>
        <v>1</v>
      </c>
      <c r="AC47" s="1563">
        <f t="shared" si="5"/>
        <v>1</v>
      </c>
    </row>
    <row r="48" spans="1:29" ht="20.25">
      <c r="A48" s="607" t="s">
        <v>556</v>
      </c>
      <c r="B48" s="608" t="s">
        <v>3121</v>
      </c>
      <c r="C48" s="609" t="s">
        <v>1</v>
      </c>
      <c r="D48" s="610"/>
      <c r="E48" s="611">
        <f>土地案例!K2</f>
        <v>1000</v>
      </c>
      <c r="F48" s="612"/>
      <c r="G48" s="613">
        <f>土地案例!K12</f>
        <v>1292.75</v>
      </c>
      <c r="H48" s="614"/>
      <c r="I48" s="611">
        <f>土地案例!K14</f>
        <v>995.01</v>
      </c>
      <c r="J48" s="614"/>
      <c r="K48" s="1336"/>
      <c r="L48" s="2130"/>
      <c r="M48" s="2118"/>
      <c r="N48" s="2118"/>
      <c r="O48" s="2131"/>
      <c r="P48" s="3372" t="str">
        <f>A48</f>
        <v>成交单价</v>
      </c>
      <c r="Q48" s="3372"/>
      <c r="R48" s="3373">
        <f>E48</f>
        <v>1000</v>
      </c>
      <c r="S48" s="3373"/>
      <c r="T48" s="3373">
        <f>G48</f>
        <v>1292.75</v>
      </c>
      <c r="U48" s="3373"/>
      <c r="V48" s="3373">
        <f>I48</f>
        <v>995.01</v>
      </c>
      <c r="W48" s="3373"/>
      <c r="X48" s="1546"/>
      <c r="Y48" s="1568"/>
      <c r="Z48" s="1546"/>
      <c r="AA48" s="1546"/>
      <c r="AB48" s="1546"/>
      <c r="AC48" s="1546"/>
    </row>
    <row r="49" spans="1:29" ht="21" thickBot="1">
      <c r="A49" s="615" t="s">
        <v>2693</v>
      </c>
      <c r="B49" s="616"/>
      <c r="C49" s="617">
        <f>R50</f>
        <v>957</v>
      </c>
      <c r="D49" s="618"/>
      <c r="E49" s="617">
        <f>R49</f>
        <v>842</v>
      </c>
      <c r="F49" s="619"/>
      <c r="G49" s="620">
        <f>T49</f>
        <v>1134</v>
      </c>
      <c r="H49" s="618"/>
      <c r="I49" s="617">
        <f>V49</f>
        <v>896</v>
      </c>
      <c r="J49" s="618"/>
      <c r="K49" s="1337"/>
      <c r="L49" s="2130"/>
      <c r="M49" s="2118"/>
      <c r="N49" s="2118"/>
      <c r="O49" s="2131"/>
      <c r="P49" s="3372" t="str">
        <f>A49</f>
        <v>比较价格（元/平方米）</v>
      </c>
      <c r="Q49" s="3372"/>
      <c r="R49" s="3374">
        <f>ROUND(PRODUCT(R48,AA9:AA47),0)</f>
        <v>842</v>
      </c>
      <c r="S49" s="3374"/>
      <c r="T49" s="3374">
        <f>ROUND(PRODUCT(T48,AB9:AB47),0)</f>
        <v>1134</v>
      </c>
      <c r="U49" s="3374"/>
      <c r="V49" s="3374">
        <f>ROUND(PRODUCT(V48,AC9:AC47),0)</f>
        <v>896</v>
      </c>
      <c r="W49" s="3374"/>
      <c r="X49" s="1546"/>
      <c r="Y49" s="1546"/>
      <c r="Z49" s="1546"/>
      <c r="AA49" s="1546"/>
      <c r="AB49" s="1546"/>
      <c r="AC49" s="1546"/>
    </row>
    <row r="50" spans="1:29" ht="21" thickBot="1">
      <c r="A50" s="621" t="s">
        <v>2937</v>
      </c>
      <c r="B50" s="622"/>
      <c r="C50" s="623">
        <f>R50</f>
        <v>957</v>
      </c>
      <c r="D50" s="623"/>
      <c r="E50" s="623"/>
      <c r="F50" s="623"/>
      <c r="G50" s="623"/>
      <c r="H50" s="623"/>
      <c r="I50" s="623"/>
      <c r="J50" s="623"/>
      <c r="K50" s="1338"/>
      <c r="L50" s="2130"/>
      <c r="M50" s="2118"/>
      <c r="N50" s="2118"/>
      <c r="O50" s="2131"/>
      <c r="P50" s="3369" t="str">
        <f>A50</f>
        <v>估价对象XX用房的比较价格（楼面单价，元/平方米）</v>
      </c>
      <c r="Q50" s="3370"/>
      <c r="R50" s="3371">
        <f>ROUND(AVERAGE(R49:V49),0)</f>
        <v>957</v>
      </c>
      <c r="S50" s="3371"/>
      <c r="T50" s="3371"/>
      <c r="U50" s="3371"/>
      <c r="V50" s="3371"/>
      <c r="W50" s="337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0.18764845605700708</v>
      </c>
      <c r="F53" s="627" t="str">
        <f>IF(OR(E53&gt;=0.3,E53&lt;=-0.3),"超过30%","")</f>
        <v/>
      </c>
      <c r="G53" s="626">
        <f>IF(G48&lt;G49,G49/G48-1,G48/G49-1)</f>
        <v>0.1399911816578483</v>
      </c>
      <c r="H53" s="627" t="str">
        <f>IF(OR(G53&gt;=0.3,G53&lt;=-0.3),"超过30%","")</f>
        <v/>
      </c>
      <c r="I53" s="626">
        <f>IF(I48&lt;I49,I49/I48-1,I48/I49-1)</f>
        <v>0.11050223214285704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0.34679334916864613</v>
      </c>
      <c r="F54" s="627" t="str">
        <f>IF(OR(E54&gt;=0.2,E54&lt;=-0.2),"超过20%","")</f>
        <v>超过20%</v>
      </c>
      <c r="G54" s="626">
        <f>IF(G49&lt;I49,I49/G49-1,G49/I49-1)</f>
        <v>0.265625</v>
      </c>
      <c r="H54" s="627" t="str">
        <f>IF(OR(G54&gt;=0.2,G54&lt;=-0.2),"超过20%","")</f>
        <v>超过20%</v>
      </c>
      <c r="I54" s="626">
        <f>IF(I49&lt;E49,E49/I49-1,I49/E49-1)</f>
        <v>6.4133016627078376E-2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0.29275000000000007</v>
      </c>
      <c r="F55" s="627" t="str">
        <f>IF(OR(E55&gt;=0.3,E55&lt;=-0.3),"超过30%","")</f>
        <v/>
      </c>
      <c r="G55" s="626">
        <f>IF(G48&lt;I48,I48/G48-1,G48/I48-1)</f>
        <v>0.29923317353594436</v>
      </c>
      <c r="H55" s="627" t="str">
        <f>IF(OR(G55&gt;=0.3,G55&lt;=-0.3),"超过30%","")</f>
        <v/>
      </c>
      <c r="I55" s="626">
        <f>IF(I48&lt;E48,E48/I48-1,I48/E48-1)</f>
        <v>5.0150249746234721E-3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9" t="s">
        <v>2281</v>
      </c>
      <c r="H57" s="3400"/>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957</v>
      </c>
      <c r="C58" s="635">
        <v>1</v>
      </c>
      <c r="D58" s="2214">
        <v>1</v>
      </c>
      <c r="E58" s="635">
        <f>'数据-汇总表'!E8+'数据-汇总表'!E9</f>
        <v>699876.6</v>
      </c>
      <c r="F58" s="636">
        <f t="shared" ref="F58:F67" si="15">ROUND(B58*E58/10000,0)</f>
        <v>66978</v>
      </c>
      <c r="G58" s="3401"/>
      <c r="H58" s="340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3"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699876.6</v>
      </c>
      <c r="F68" s="644">
        <f>IF(B48="楼面地价",SUM(F58:F67),ROUND(C50*E68/10000,0))</f>
        <v>66978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v>99.5</v>
      </c>
      <c r="E73" s="730">
        <v>99.5</v>
      </c>
      <c r="F73" s="3190">
        <v>99</v>
      </c>
      <c r="G73" s="730">
        <v>99</v>
      </c>
      <c r="H73" s="3190">
        <v>97.5</v>
      </c>
      <c r="I73" s="730">
        <v>97</v>
      </c>
      <c r="J73" s="730">
        <v>96.5</v>
      </c>
      <c r="K73" s="3190">
        <v>96</v>
      </c>
      <c r="L73" s="730">
        <v>95.5</v>
      </c>
      <c r="M73" s="319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9" t="s">
        <v>3084</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8" t="s">
        <v>3079</v>
      </c>
      <c r="D108" s="3188" t="s">
        <v>3080</v>
      </c>
      <c r="E108" s="3188" t="s">
        <v>3081</v>
      </c>
      <c r="F108" s="3188" t="s">
        <v>3082</v>
      </c>
      <c r="G108" s="3188"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v>
      </c>
      <c r="D118" s="704" t="str">
        <f t="shared" si="25"/>
        <v>5000(含)-10000</v>
      </c>
      <c r="E118" s="704" t="str">
        <f t="shared" si="25"/>
        <v>10000(含)-30000</v>
      </c>
      <c r="F118" s="704" t="str">
        <f t="shared" si="25"/>
        <v>30000(含)-50000</v>
      </c>
      <c r="G118" s="704" t="str">
        <f t="shared" si="25"/>
        <v>50000(含)-100000</v>
      </c>
      <c r="H118" s="704" t="str">
        <f t="shared" si="25"/>
        <v>100000(含)-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3187">
        <v>0</v>
      </c>
      <c r="D119" s="3187">
        <v>5000</v>
      </c>
      <c r="E119" s="3187">
        <v>10000</v>
      </c>
      <c r="F119" s="3187">
        <v>30000</v>
      </c>
      <c r="G119" s="3187">
        <v>50000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90</v>
      </c>
      <c r="D120" s="726">
        <v>92</v>
      </c>
      <c r="E120" s="726">
        <v>94</v>
      </c>
      <c r="F120" s="726">
        <v>96</v>
      </c>
      <c r="G120" s="726">
        <v>98</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t="s">
        <v>3075</v>
      </c>
      <c r="D121" s="718" t="s">
        <v>3076</v>
      </c>
      <c r="E121" s="718" t="s">
        <v>3073</v>
      </c>
      <c r="F121" s="718" t="s">
        <v>3077</v>
      </c>
      <c r="G121" s="718" t="s">
        <v>3078</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8" t="s">
        <v>522</v>
      </c>
      <c r="D6" s="3379"/>
      <c r="E6" s="3413" t="s">
        <v>523</v>
      </c>
      <c r="F6" s="3414"/>
      <c r="G6" s="3378" t="s">
        <v>524</v>
      </c>
      <c r="H6" s="3379"/>
      <c r="I6" s="3378" t="s">
        <v>525</v>
      </c>
      <c r="J6" s="3379"/>
      <c r="K6" s="514" t="s">
        <v>526</v>
      </c>
      <c r="L6" s="2119"/>
      <c r="M6" s="2120"/>
      <c r="N6" s="2120"/>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29" ht="15">
      <c r="A7" s="515"/>
      <c r="B7" s="516"/>
      <c r="C7" s="3394" t="s">
        <v>2931</v>
      </c>
      <c r="D7" s="3395"/>
      <c r="E7" s="3415" t="s">
        <v>2932</v>
      </c>
      <c r="F7" s="3416"/>
      <c r="G7" s="3394" t="s">
        <v>2933</v>
      </c>
      <c r="H7" s="3395"/>
      <c r="I7" s="3394" t="s">
        <v>2934</v>
      </c>
      <c r="J7" s="3395"/>
      <c r="K7" s="514"/>
      <c r="L7" s="2119"/>
      <c r="M7" s="2120"/>
      <c r="N7" s="2120"/>
      <c r="O7" s="2120"/>
      <c r="P7" s="3382"/>
      <c r="Q7" s="3383"/>
      <c r="R7" s="3388"/>
      <c r="S7" s="3389"/>
      <c r="T7" s="3388"/>
      <c r="U7" s="3389"/>
      <c r="V7" s="3373"/>
      <c r="W7" s="3373"/>
      <c r="X7" s="1554"/>
      <c r="Y7" s="3388"/>
      <c r="Z7" s="3389"/>
      <c r="AA7" s="3376"/>
      <c r="AB7" s="3376"/>
      <c r="AC7" s="3376"/>
    </row>
    <row r="8" spans="1:29" ht="15.75" thickBot="1">
      <c r="A8" s="517"/>
      <c r="B8" s="518"/>
      <c r="C8" s="3392" t="s">
        <v>2935</v>
      </c>
      <c r="D8" s="3393"/>
      <c r="E8" s="3411" t="s">
        <v>2935</v>
      </c>
      <c r="F8" s="3412"/>
      <c r="G8" s="3392" t="s">
        <v>2935</v>
      </c>
      <c r="H8" s="3393"/>
      <c r="I8" s="3392" t="s">
        <v>2935</v>
      </c>
      <c r="J8" s="3393"/>
      <c r="K8" s="514" t="s">
        <v>528</v>
      </c>
      <c r="L8" s="2119"/>
      <c r="M8" s="2120"/>
      <c r="N8" s="2120"/>
      <c r="O8" s="2120"/>
      <c r="P8" s="3384"/>
      <c r="Q8" s="3385"/>
      <c r="R8" s="3388"/>
      <c r="S8" s="3389"/>
      <c r="T8" s="3390"/>
      <c r="U8" s="3391"/>
      <c r="V8" s="3373"/>
      <c r="W8" s="3373"/>
      <c r="X8" s="1554"/>
      <c r="Y8" s="3390"/>
      <c r="Z8" s="3391"/>
      <c r="AA8" s="3377"/>
      <c r="AB8" s="3377"/>
      <c r="AC8" s="3377"/>
    </row>
    <row r="9" spans="1:29" s="1216" customFormat="1" ht="15.75" thickBot="1">
      <c r="A9" s="2868"/>
      <c r="B9" s="2875" t="s">
        <v>529</v>
      </c>
      <c r="C9" s="519">
        <f>'数据-取费表'!B2</f>
        <v>43679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4" t="s">
        <v>530</v>
      </c>
      <c r="Q9" s="3406"/>
      <c r="R9" s="1555" t="s">
        <v>8</v>
      </c>
      <c r="S9" s="1556">
        <f t="shared" ref="S9:S17" si="0">F9</f>
        <v>0</v>
      </c>
      <c r="T9" s="1555" t="s">
        <v>8</v>
      </c>
      <c r="U9" s="1556">
        <f t="shared" ref="U9:U17" si="1">H9</f>
        <v>0</v>
      </c>
      <c r="V9" s="1555" t="s">
        <v>8</v>
      </c>
      <c r="W9" s="1556">
        <f t="shared" ref="W9:W17" si="2">J9</f>
        <v>0</v>
      </c>
      <c r="X9" s="1557"/>
      <c r="Y9" s="3404" t="s">
        <v>530</v>
      </c>
      <c r="Z9" s="340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4" t="s">
        <v>533</v>
      </c>
      <c r="Q10" s="3405"/>
      <c r="R10" s="1555" t="s">
        <v>8</v>
      </c>
      <c r="S10" s="1556">
        <f t="shared" si="0"/>
        <v>0</v>
      </c>
      <c r="T10" s="1555" t="s">
        <v>8</v>
      </c>
      <c r="U10" s="1556">
        <f t="shared" si="1"/>
        <v>0</v>
      </c>
      <c r="V10" s="1555" t="s">
        <v>8</v>
      </c>
      <c r="W10" s="1556">
        <f t="shared" si="2"/>
        <v>0</v>
      </c>
      <c r="X10" s="1557"/>
      <c r="Y10" s="3404" t="s">
        <v>533</v>
      </c>
      <c r="Z10" s="3405"/>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72"/>
      <c r="Q12" s="1147" t="str">
        <f t="shared" si="6"/>
        <v>土地使用年限（年）</v>
      </c>
      <c r="R12" s="1555" t="s">
        <v>8</v>
      </c>
      <c r="S12" s="1556">
        <f t="shared" si="0"/>
        <v>106</v>
      </c>
      <c r="T12" s="1555" t="s">
        <v>8</v>
      </c>
      <c r="U12" s="1556">
        <f t="shared" si="1"/>
        <v>106</v>
      </c>
      <c r="V12" s="1555" t="s">
        <v>8</v>
      </c>
      <c r="W12" s="1556">
        <f t="shared" si="2"/>
        <v>106</v>
      </c>
      <c r="X12" s="1557"/>
      <c r="Y12" s="3318"/>
      <c r="Z12" s="1146" t="str">
        <f t="shared" si="7"/>
        <v>土地使用年限（年）</v>
      </c>
      <c r="AA12" s="1558">
        <f t="shared" si="3"/>
        <v>0.94339622641509435</v>
      </c>
      <c r="AB12" s="1558">
        <f t="shared" si="4"/>
        <v>0.94339622641509435</v>
      </c>
      <c r="AC12" s="1558">
        <f t="shared" si="5"/>
        <v>0.94339622641509435</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1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7" t="s">
        <v>540</v>
      </c>
      <c r="Q17" s="1559" t="str">
        <f t="shared" si="6"/>
        <v>产业集聚程度</v>
      </c>
      <c r="R17" s="1560" t="s">
        <v>8</v>
      </c>
      <c r="S17" s="1561">
        <f t="shared" si="0"/>
        <v>100</v>
      </c>
      <c r="T17" s="1560" t="s">
        <v>8</v>
      </c>
      <c r="U17" s="1561">
        <f t="shared" si="1"/>
        <v>100</v>
      </c>
      <c r="V17" s="1560" t="s">
        <v>8</v>
      </c>
      <c r="W17" s="1561">
        <f t="shared" si="2"/>
        <v>100</v>
      </c>
      <c r="X17" s="1554"/>
      <c r="Y17" s="340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8"/>
      <c r="Q18" s="1559"/>
      <c r="R18" s="1560"/>
      <c r="S18" s="1561"/>
      <c r="T18" s="1560"/>
      <c r="U18" s="1561"/>
      <c r="V18" s="1560"/>
      <c r="W18" s="1561"/>
      <c r="X18" s="1554"/>
      <c r="Y18" s="340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8"/>
      <c r="Q19" s="1559" t="str">
        <f>B19</f>
        <v>交通便捷度</v>
      </c>
      <c r="R19" s="1560" t="s">
        <v>8</v>
      </c>
      <c r="S19" s="1561">
        <f>F19</f>
        <v>100</v>
      </c>
      <c r="T19" s="1560" t="s">
        <v>8</v>
      </c>
      <c r="U19" s="1561">
        <f>H19</f>
        <v>100</v>
      </c>
      <c r="V19" s="1560" t="s">
        <v>8</v>
      </c>
      <c r="W19" s="1561">
        <f>J19</f>
        <v>100</v>
      </c>
      <c r="X19" s="1554"/>
      <c r="Y19" s="340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8"/>
      <c r="Q21" s="1559" t="str">
        <f t="shared" ref="Q21:Q35" si="8">B21</f>
        <v>区域土地利用方向</v>
      </c>
      <c r="R21" s="1560" t="s">
        <v>8</v>
      </c>
      <c r="S21" s="1561">
        <f>F21</f>
        <v>100</v>
      </c>
      <c r="T21" s="1560" t="s">
        <v>8</v>
      </c>
      <c r="U21" s="1561">
        <f>H21</f>
        <v>100</v>
      </c>
      <c r="V21" s="1560" t="s">
        <v>8</v>
      </c>
      <c r="W21" s="1561">
        <f>J21</f>
        <v>100</v>
      </c>
      <c r="X21" s="1554"/>
      <c r="Y21" s="340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8"/>
      <c r="Q22" s="1559"/>
      <c r="R22" s="1560"/>
      <c r="S22" s="1561"/>
      <c r="T22" s="1560"/>
      <c r="U22" s="1561"/>
      <c r="V22" s="1560"/>
      <c r="W22" s="1561"/>
      <c r="X22" s="1554"/>
      <c r="Y22" s="340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8"/>
      <c r="Q23" s="1559" t="str">
        <f t="shared" si="8"/>
        <v>环境状况</v>
      </c>
      <c r="R23" s="1560" t="s">
        <v>8</v>
      </c>
      <c r="S23" s="1561">
        <f>F23</f>
        <v>100</v>
      </c>
      <c r="T23" s="1560" t="s">
        <v>8</v>
      </c>
      <c r="U23" s="1561">
        <f>H23</f>
        <v>100</v>
      </c>
      <c r="V23" s="1560" t="s">
        <v>8</v>
      </c>
      <c r="W23" s="1561">
        <f>J23</f>
        <v>100</v>
      </c>
      <c r="X23" s="1554"/>
      <c r="Y23" s="340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8"/>
      <c r="Q24" s="1559"/>
      <c r="R24" s="1560"/>
      <c r="S24" s="1561"/>
      <c r="T24" s="1560"/>
      <c r="U24" s="1561"/>
      <c r="V24" s="1560"/>
      <c r="W24" s="1561"/>
      <c r="X24" s="1554"/>
      <c r="Y24" s="3408"/>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8"/>
      <c r="Q25" s="1147" t="str">
        <f t="shared" si="8"/>
        <v>公共配套设施</v>
      </c>
      <c r="R25" s="1555" t="s">
        <v>8</v>
      </c>
      <c r="S25" s="1556">
        <f>F25</f>
        <v>100</v>
      </c>
      <c r="T25" s="1555" t="s">
        <v>8</v>
      </c>
      <c r="U25" s="1556">
        <f>H25</f>
        <v>100</v>
      </c>
      <c r="V25" s="1555" t="s">
        <v>8</v>
      </c>
      <c r="W25" s="1556">
        <f>J25</f>
        <v>100</v>
      </c>
      <c r="X25" s="1557"/>
      <c r="Y25" s="340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8"/>
      <c r="Q26" s="1147"/>
      <c r="R26" s="1555"/>
      <c r="S26" s="1556"/>
      <c r="T26" s="1555"/>
      <c r="U26" s="1556"/>
      <c r="V26" s="1555"/>
      <c r="W26" s="1556"/>
      <c r="X26" s="1557"/>
      <c r="Y26" s="3408"/>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8"/>
      <c r="Q27" s="2543" t="str">
        <f t="shared" ref="Q27" si="9">B27</f>
        <v>基础设施水平</v>
      </c>
      <c r="R27" s="1555" t="s">
        <v>8</v>
      </c>
      <c r="S27" s="1556">
        <f>F27</f>
        <v>100</v>
      </c>
      <c r="T27" s="1555" t="s">
        <v>8</v>
      </c>
      <c r="U27" s="1556">
        <f>H27</f>
        <v>100</v>
      </c>
      <c r="V27" s="1555" t="s">
        <v>8</v>
      </c>
      <c r="W27" s="1556">
        <f>J27</f>
        <v>100</v>
      </c>
      <c r="X27" s="1557"/>
      <c r="Y27" s="340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8"/>
      <c r="Q28" s="2543"/>
      <c r="R28" s="1555"/>
      <c r="S28" s="1556"/>
      <c r="T28" s="1555"/>
      <c r="U28" s="1556"/>
      <c r="V28" s="1555"/>
      <c r="W28" s="1556"/>
      <c r="X28" s="1557"/>
      <c r="Y28" s="340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8"/>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8"/>
      <c r="Q30" s="1559" t="str">
        <f t="shared" si="8"/>
        <v>毗邻道路的类型与等级</v>
      </c>
      <c r="R30" s="1560" t="s">
        <v>8</v>
      </c>
      <c r="S30" s="1561">
        <f t="shared" si="10"/>
        <v>100</v>
      </c>
      <c r="T30" s="1560" t="s">
        <v>8</v>
      </c>
      <c r="U30" s="1561">
        <f t="shared" si="11"/>
        <v>100</v>
      </c>
      <c r="V30" s="1560" t="s">
        <v>8</v>
      </c>
      <c r="W30" s="1561">
        <f t="shared" si="12"/>
        <v>100</v>
      </c>
      <c r="X30" s="1554"/>
      <c r="Y30" s="340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8"/>
      <c r="Q31" s="1559"/>
      <c r="R31" s="1560"/>
      <c r="S31" s="1561"/>
      <c r="T31" s="1560"/>
      <c r="U31" s="1561"/>
      <c r="V31" s="1560"/>
      <c r="W31" s="1561"/>
      <c r="X31" s="1554"/>
      <c r="Y31" s="340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8"/>
      <c r="Q32" s="1559" t="str">
        <f t="shared" si="8"/>
        <v>土地级别</v>
      </c>
      <c r="R32" s="1560" t="s">
        <v>8</v>
      </c>
      <c r="S32" s="1561">
        <f t="shared" si="10"/>
        <v>100</v>
      </c>
      <c r="T32" s="1560" t="s">
        <v>8</v>
      </c>
      <c r="U32" s="1561">
        <f t="shared" si="11"/>
        <v>100</v>
      </c>
      <c r="V32" s="1560" t="s">
        <v>8</v>
      </c>
      <c r="W32" s="1561">
        <f t="shared" si="12"/>
        <v>100</v>
      </c>
      <c r="X32" s="1554"/>
      <c r="Y32" s="340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8"/>
      <c r="Q33" s="1559">
        <f t="shared" si="8"/>
        <v>111</v>
      </c>
      <c r="R33" s="1560" t="s">
        <v>8</v>
      </c>
      <c r="S33" s="1561">
        <f t="shared" si="10"/>
        <v>100</v>
      </c>
      <c r="T33" s="1560" t="s">
        <v>8</v>
      </c>
      <c r="U33" s="1561">
        <f t="shared" si="11"/>
        <v>100</v>
      </c>
      <c r="V33" s="1560" t="s">
        <v>8</v>
      </c>
      <c r="W33" s="1561">
        <f t="shared" si="12"/>
        <v>100</v>
      </c>
      <c r="X33" s="1554"/>
      <c r="Y33" s="340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9" t="s">
        <v>550</v>
      </c>
      <c r="Q34" s="1559">
        <f t="shared" si="8"/>
        <v>111</v>
      </c>
      <c r="R34" s="1560" t="s">
        <v>8</v>
      </c>
      <c r="S34" s="1561">
        <f t="shared" si="10"/>
        <v>100</v>
      </c>
      <c r="T34" s="1560" t="s">
        <v>8</v>
      </c>
      <c r="U34" s="1561">
        <f t="shared" si="11"/>
        <v>100</v>
      </c>
      <c r="V34" s="1560" t="s">
        <v>8</v>
      </c>
      <c r="W34" s="1561">
        <f t="shared" si="12"/>
        <v>100</v>
      </c>
      <c r="X34" s="1554"/>
      <c r="Y34" s="3410"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0"/>
      <c r="Q35" s="1559">
        <f t="shared" si="8"/>
        <v>111</v>
      </c>
      <c r="R35" s="1564" t="s">
        <v>8</v>
      </c>
      <c r="S35" s="1565">
        <f t="shared" si="10"/>
        <v>100</v>
      </c>
      <c r="T35" s="1564" t="s">
        <v>8</v>
      </c>
      <c r="U35" s="1565">
        <f t="shared" si="11"/>
        <v>100</v>
      </c>
      <c r="V35" s="1564" t="s">
        <v>8</v>
      </c>
      <c r="W35" s="1565">
        <f t="shared" si="12"/>
        <v>100</v>
      </c>
      <c r="X35" s="1566"/>
      <c r="Y35" s="3410"/>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0"/>
      <c r="Q36" s="1559" t="str">
        <f>B36</f>
        <v>宗地面积</v>
      </c>
      <c r="R36" s="1560" t="s">
        <v>8</v>
      </c>
      <c r="S36" s="1561" t="e">
        <f t="shared" si="10"/>
        <v>#N/A</v>
      </c>
      <c r="T36" s="1560" t="s">
        <v>8</v>
      </c>
      <c r="U36" s="1561" t="e">
        <f t="shared" si="11"/>
        <v>#N/A</v>
      </c>
      <c r="V36" s="1560" t="s">
        <v>8</v>
      </c>
      <c r="W36" s="1561" t="e">
        <f t="shared" si="12"/>
        <v>#N/A</v>
      </c>
      <c r="X36" s="1554"/>
      <c r="Y36" s="341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0"/>
      <c r="Q37" s="1559" t="str">
        <f t="shared" ref="Q37:Q42" si="14">B37</f>
        <v>宗地形状</v>
      </c>
      <c r="R37" s="1560" t="s">
        <v>8</v>
      </c>
      <c r="S37" s="1561">
        <f t="shared" si="10"/>
        <v>100</v>
      </c>
      <c r="T37" s="1560" t="s">
        <v>8</v>
      </c>
      <c r="U37" s="1561">
        <f t="shared" si="11"/>
        <v>100</v>
      </c>
      <c r="V37" s="1560" t="s">
        <v>8</v>
      </c>
      <c r="W37" s="1561">
        <f t="shared" si="12"/>
        <v>100</v>
      </c>
      <c r="X37" s="1554"/>
      <c r="Y37" s="3410"/>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0"/>
      <c r="Q38" s="1559" t="str">
        <f t="shared" si="14"/>
        <v>宗地开发程度</v>
      </c>
      <c r="R38" s="1555" t="s">
        <v>8</v>
      </c>
      <c r="S38" s="1556">
        <f t="shared" si="10"/>
        <v>100</v>
      </c>
      <c r="T38" s="1555" t="s">
        <v>8</v>
      </c>
      <c r="U38" s="1556">
        <f t="shared" si="11"/>
        <v>100</v>
      </c>
      <c r="V38" s="1555" t="s">
        <v>8</v>
      </c>
      <c r="W38" s="1556">
        <f t="shared" si="12"/>
        <v>100</v>
      </c>
      <c r="X38" s="1557"/>
      <c r="Y38" s="341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0" t="s">
        <v>601</v>
      </c>
      <c r="Q39" s="1559" t="str">
        <f t="shared" si="14"/>
        <v>工程地质条件</v>
      </c>
      <c r="R39" s="1560" t="s">
        <v>8</v>
      </c>
      <c r="S39" s="1561">
        <f t="shared" si="10"/>
        <v>100</v>
      </c>
      <c r="T39" s="1560" t="s">
        <v>8</v>
      </c>
      <c r="U39" s="1561">
        <f t="shared" si="11"/>
        <v>100</v>
      </c>
      <c r="V39" s="1560" t="s">
        <v>8</v>
      </c>
      <c r="W39" s="1561">
        <f t="shared" si="12"/>
        <v>100</v>
      </c>
      <c r="X39" s="1554"/>
      <c r="Y39" s="341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0"/>
      <c r="Q40" s="1559">
        <f t="shared" si="14"/>
        <v>111</v>
      </c>
      <c r="R40" s="1560" t="s">
        <v>8</v>
      </c>
      <c r="S40" s="1561">
        <f t="shared" si="10"/>
        <v>100</v>
      </c>
      <c r="T40" s="1560" t="s">
        <v>8</v>
      </c>
      <c r="U40" s="1561">
        <f t="shared" si="11"/>
        <v>100</v>
      </c>
      <c r="V40" s="1560" t="s">
        <v>8</v>
      </c>
      <c r="W40" s="1561">
        <f t="shared" si="12"/>
        <v>100</v>
      </c>
      <c r="X40" s="1554"/>
      <c r="Y40" s="341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0"/>
      <c r="Q41" s="1559">
        <f t="shared" si="14"/>
        <v>111</v>
      </c>
      <c r="R41" s="1560" t="s">
        <v>8</v>
      </c>
      <c r="S41" s="1561">
        <f t="shared" si="10"/>
        <v>100</v>
      </c>
      <c r="T41" s="1560" t="s">
        <v>8</v>
      </c>
      <c r="U41" s="1561">
        <f t="shared" si="11"/>
        <v>100</v>
      </c>
      <c r="V41" s="1560" t="s">
        <v>8</v>
      </c>
      <c r="W41" s="1561">
        <f t="shared" si="12"/>
        <v>100</v>
      </c>
      <c r="X41" s="1554"/>
      <c r="Y41" s="341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0"/>
      <c r="Q42" s="1559">
        <f t="shared" si="14"/>
        <v>111</v>
      </c>
      <c r="R42" s="1564" t="s">
        <v>8</v>
      </c>
      <c r="S42" s="1565">
        <f t="shared" si="10"/>
        <v>100</v>
      </c>
      <c r="T42" s="1564" t="s">
        <v>8</v>
      </c>
      <c r="U42" s="1565">
        <f t="shared" si="11"/>
        <v>100</v>
      </c>
      <c r="V42" s="1564" t="s">
        <v>8</v>
      </c>
      <c r="W42" s="1565">
        <f t="shared" si="12"/>
        <v>100</v>
      </c>
      <c r="X42" s="1566"/>
      <c r="Y42" s="3410"/>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2" t="str">
        <f>A43</f>
        <v>成交单价</v>
      </c>
      <c r="Q43" s="3372"/>
      <c r="R43" s="3373">
        <f>E43</f>
        <v>0</v>
      </c>
      <c r="S43" s="3373"/>
      <c r="T43" s="3373">
        <f>G43</f>
        <v>0</v>
      </c>
      <c r="U43" s="3373"/>
      <c r="V43" s="3373">
        <f>I43</f>
        <v>0</v>
      </c>
      <c r="W43" s="337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74" t="e">
        <f>ROUND(PRODUCT(R43,AA9:AA42),0)</f>
        <v>#DIV/0!</v>
      </c>
      <c r="S44" s="3374"/>
      <c r="T44" s="3374" t="e">
        <f>ROUND(PRODUCT(T43,AB9:AB42),0)</f>
        <v>#DIV/0!</v>
      </c>
      <c r="U44" s="3374"/>
      <c r="V44" s="3374" t="e">
        <f>ROUND(PRODUCT(V43,AC9:AC42),0)</f>
        <v>#DIV/0!</v>
      </c>
      <c r="W44" s="3374"/>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69" t="str">
        <f>A45</f>
        <v>估价对象XX用房的比较价格（楼面单价，元/平方米）</v>
      </c>
      <c r="Q45" s="3370"/>
      <c r="R45" s="3371" t="e">
        <f>ROUND(AVERAGE(R44:V44),0)</f>
        <v>#DIV/0!</v>
      </c>
      <c r="S45" s="3371"/>
      <c r="T45" s="3371"/>
      <c r="U45" s="3371"/>
      <c r="V45" s="3371"/>
      <c r="W45" s="337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7" t="s">
        <v>2284</v>
      </c>
      <c r="H52" s="3418"/>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699876.6</v>
      </c>
      <c r="F53" s="1936" t="e">
        <f t="shared" ref="F53:F62" si="15">ROUND(B53*E53/10000,0)</f>
        <v>#DIV/0!</v>
      </c>
      <c r="G53" s="3419"/>
      <c r="H53" s="342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1"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233292.2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3</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3"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3</v>
      </c>
      <c r="AA7" s="2178"/>
      <c r="AB7" s="2178"/>
      <c r="AC7" s="2179"/>
      <c r="AD7" s="2885"/>
      <c r="AE7" s="2885"/>
      <c r="AF7" s="2885"/>
      <c r="AG7" s="2885"/>
      <c r="AH7" s="2885"/>
      <c r="AI7" s="2885"/>
      <c r="AJ7" s="2886"/>
    </row>
    <row r="8" spans="1:39" ht="15">
      <c r="A8" s="3434"/>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3" t="s">
        <v>2783</v>
      </c>
      <c r="X8" s="3424"/>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34"/>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2"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4"/>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4"/>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2" t="s">
        <v>2781</v>
      </c>
      <c r="X11" s="1048" t="s">
        <v>2766</v>
      </c>
      <c r="Y11" s="1639">
        <f>$G$3</f>
        <v>3</v>
      </c>
      <c r="Z11" s="1639">
        <f t="shared" ref="Z11:AJ11" si="3">$G$3</f>
        <v>3</v>
      </c>
      <c r="AA11" s="1639">
        <f t="shared" si="3"/>
        <v>3</v>
      </c>
      <c r="AB11" s="1639">
        <f t="shared" si="3"/>
        <v>3</v>
      </c>
      <c r="AC11" s="1639">
        <f t="shared" si="3"/>
        <v>3</v>
      </c>
      <c r="AD11" s="1639">
        <f t="shared" si="3"/>
        <v>3</v>
      </c>
      <c r="AE11" s="1639">
        <f t="shared" si="3"/>
        <v>3</v>
      </c>
      <c r="AF11" s="1639">
        <f t="shared" si="3"/>
        <v>3</v>
      </c>
      <c r="AG11" s="1639">
        <f t="shared" si="3"/>
        <v>3</v>
      </c>
      <c r="AH11" s="1639">
        <f t="shared" si="3"/>
        <v>3</v>
      </c>
      <c r="AI11" s="1639">
        <f t="shared" si="3"/>
        <v>3</v>
      </c>
      <c r="AJ11" s="1639">
        <f t="shared" si="3"/>
        <v>3</v>
      </c>
    </row>
    <row r="12" spans="1:39" ht="25.5" thickBot="1">
      <c r="A12" s="3433"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2"/>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5"/>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22"/>
      <c r="X13" s="2890"/>
      <c r="Y13" s="2889">
        <f>(-0.163*(Y12^2)-0.59*Y12+7617)*(10^(-4))/Y11</f>
        <v>0.25390000000000001</v>
      </c>
      <c r="Z13" s="2889">
        <f t="shared" ref="Z13:AJ13" si="5">(-0.163*(Z12^2)-0.59*Z12+7617)*(10^(-4))/Z11</f>
        <v>0.25390000000000001</v>
      </c>
      <c r="AA13" s="2889">
        <f t="shared" si="5"/>
        <v>0.25390000000000001</v>
      </c>
      <c r="AB13" s="2889">
        <f t="shared" si="5"/>
        <v>0.25390000000000001</v>
      </c>
      <c r="AC13" s="2889">
        <f t="shared" si="5"/>
        <v>0.25390000000000001</v>
      </c>
      <c r="AD13" s="2889">
        <f t="shared" si="5"/>
        <v>0.25390000000000001</v>
      </c>
      <c r="AE13" s="2889">
        <f t="shared" si="5"/>
        <v>0.25390000000000001</v>
      </c>
      <c r="AF13" s="2889">
        <f t="shared" si="5"/>
        <v>0.25390000000000001</v>
      </c>
      <c r="AG13" s="2889">
        <f t="shared" si="5"/>
        <v>0.25390000000000001</v>
      </c>
      <c r="AH13" s="2889">
        <f t="shared" si="5"/>
        <v>0.25390000000000001</v>
      </c>
      <c r="AI13" s="2889">
        <f t="shared" si="5"/>
        <v>0.25390000000000001</v>
      </c>
      <c r="AJ13" s="2889">
        <f t="shared" si="5"/>
        <v>0.25390000000000001</v>
      </c>
    </row>
    <row r="14" spans="1:39" ht="12.75" customHeight="1">
      <c r="A14" s="3435"/>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6"/>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3" t="s">
        <v>1838</v>
      </c>
      <c r="B16" s="1424" t="s">
        <v>950</v>
      </c>
      <c r="C16" s="1052" t="e">
        <f>ROUND(IF(F17="与级别开发程度一致",0,(G17-E17)/C17),0)</f>
        <v>#DIV/0!</v>
      </c>
      <c r="D16" s="3430" t="s">
        <v>954</v>
      </c>
      <c r="E16" s="3431"/>
      <c r="F16" s="3430" t="s">
        <v>951</v>
      </c>
      <c r="G16" s="3431"/>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7"/>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43679</v>
      </c>
      <c r="H19" s="1464"/>
      <c r="I19" s="2741" t="str">
        <f>IF(H19="季度增幅（自定义）",SUMIF(N21:N24,E2,O21:O24),"")</f>
        <v/>
      </c>
      <c r="J19" s="1460"/>
      <c r="K19" s="3155"/>
      <c r="L19" s="2993" t="s">
        <v>2841</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3</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0"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8" t="s">
        <v>1633</v>
      </c>
      <c r="B90" s="3438"/>
      <c r="C90" s="3438"/>
      <c r="D90" s="3438"/>
      <c r="E90" s="3438"/>
      <c r="F90" s="3438"/>
      <c r="G90" s="3438"/>
      <c r="H90" s="3438"/>
      <c r="I90" s="3438"/>
      <c r="J90" s="3438"/>
      <c r="K90" s="2415"/>
      <c r="L90" s="2415"/>
      <c r="M90" s="2415"/>
      <c r="N90" s="2415"/>
    </row>
    <row r="91" spans="1:40">
      <c r="A91" s="3439" t="s">
        <v>1443</v>
      </c>
      <c r="B91" s="3439" t="s">
        <v>1634</v>
      </c>
      <c r="C91" s="1136" t="s">
        <v>1635</v>
      </c>
      <c r="D91" s="1137"/>
      <c r="E91" s="1137"/>
      <c r="F91" s="1137"/>
      <c r="G91" s="1137"/>
      <c r="H91" s="1137"/>
      <c r="I91" s="1137"/>
      <c r="J91" s="1138"/>
      <c r="K91" s="1130"/>
      <c r="L91" s="1130"/>
      <c r="M91" s="1130"/>
      <c r="N91" s="1130"/>
    </row>
    <row r="92" spans="1:40">
      <c r="A92" s="3439"/>
      <c r="B92" s="343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5"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5" t="s">
        <v>1637</v>
      </c>
      <c r="B101" s="1143" t="s">
        <v>906</v>
      </c>
      <c r="C101" s="1144">
        <f>$G$3</f>
        <v>3</v>
      </c>
      <c r="D101" s="1144">
        <f t="shared" ref="D101:N101" si="31">$G$3</f>
        <v>3</v>
      </c>
      <c r="E101" s="1144">
        <f t="shared" si="31"/>
        <v>3</v>
      </c>
      <c r="F101" s="1144">
        <f t="shared" si="31"/>
        <v>3</v>
      </c>
      <c r="G101" s="1144">
        <f t="shared" si="31"/>
        <v>3</v>
      </c>
      <c r="H101" s="1144">
        <f t="shared" si="31"/>
        <v>3</v>
      </c>
      <c r="I101" s="1144">
        <f t="shared" si="31"/>
        <v>3</v>
      </c>
      <c r="J101" s="1144">
        <f t="shared" si="31"/>
        <v>3</v>
      </c>
      <c r="K101" s="1144">
        <f t="shared" si="31"/>
        <v>3</v>
      </c>
      <c r="L101" s="1144">
        <f t="shared" si="31"/>
        <v>3</v>
      </c>
      <c r="M101" s="1144">
        <f t="shared" si="31"/>
        <v>3</v>
      </c>
      <c r="N101" s="1144">
        <f t="shared" si="31"/>
        <v>3</v>
      </c>
    </row>
    <row r="102" spans="1:14">
      <c r="A102" s="3426"/>
      <c r="B102" s="1139">
        <v>1</v>
      </c>
      <c r="C102" s="1140">
        <f>1.9362/C101</f>
        <v>0.64539999999999997</v>
      </c>
      <c r="D102" s="1140">
        <f>1.9362/D101</f>
        <v>0.64539999999999997</v>
      </c>
      <c r="E102" s="1140">
        <f>1.8629/E101</f>
        <v>0.62096666666666667</v>
      </c>
      <c r="F102" s="1140">
        <f>1.8629/F101</f>
        <v>0.62096666666666667</v>
      </c>
      <c r="G102" s="1140">
        <f>1.8629/G101</f>
        <v>0.62096666666666667</v>
      </c>
      <c r="H102" s="1140">
        <f>1.8629/H101</f>
        <v>0.62096666666666667</v>
      </c>
      <c r="I102" s="1140">
        <f>1.8629/I101</f>
        <v>0.62096666666666667</v>
      </c>
      <c r="J102" s="1140">
        <f>1.942/J101</f>
        <v>0.64733333333333332</v>
      </c>
      <c r="K102" s="1140">
        <f>1.942/K101</f>
        <v>0.64733333333333332</v>
      </c>
      <c r="L102" s="1140">
        <f>1.942/L101</f>
        <v>0.64733333333333332</v>
      </c>
      <c r="M102" s="1140">
        <f>1.942/M101</f>
        <v>0.64733333333333332</v>
      </c>
      <c r="N102" s="1140">
        <f>1.942/N101</f>
        <v>0.64733333333333332</v>
      </c>
    </row>
    <row r="103" spans="1:14">
      <c r="A103" s="3426"/>
      <c r="B103" s="1139">
        <v>2</v>
      </c>
      <c r="C103" s="1140">
        <f>1.4198/C101</f>
        <v>0.47326666666666667</v>
      </c>
      <c r="D103" s="1140">
        <f>1.4198/D101</f>
        <v>0.47326666666666667</v>
      </c>
      <c r="E103" s="1140">
        <f>1.3372/E101</f>
        <v>0.44573333333333331</v>
      </c>
      <c r="F103" s="1140">
        <f>1.3372/F101</f>
        <v>0.44573333333333331</v>
      </c>
      <c r="G103" s="1140">
        <f>1.3372/G101</f>
        <v>0.44573333333333331</v>
      </c>
      <c r="H103" s="1140">
        <f>1.3372/H101</f>
        <v>0.44573333333333331</v>
      </c>
      <c r="I103" s="1140">
        <f>1.3372/I101</f>
        <v>0.44573333333333331</v>
      </c>
      <c r="J103" s="1140">
        <f>1.2799/J101</f>
        <v>0.42663333333333336</v>
      </c>
      <c r="K103" s="1140">
        <f>1.2799/K101</f>
        <v>0.42663333333333336</v>
      </c>
      <c r="L103" s="1140">
        <f>1.2799/L101</f>
        <v>0.42663333333333336</v>
      </c>
      <c r="M103" s="1140">
        <f>1.2799/M101</f>
        <v>0.42663333333333336</v>
      </c>
      <c r="N103" s="1140">
        <f>1.2799/N101</f>
        <v>0.42663333333333336</v>
      </c>
    </row>
    <row r="104" spans="1:14">
      <c r="A104" s="3426"/>
      <c r="B104" s="1139">
        <v>3</v>
      </c>
      <c r="C104" s="1140">
        <f>1.1594/C101</f>
        <v>0.38646666666666668</v>
      </c>
      <c r="D104" s="1140">
        <f>1.1594/D101</f>
        <v>0.38646666666666668</v>
      </c>
      <c r="E104" s="1140">
        <f>1.0788/E101</f>
        <v>0.35959999999999998</v>
      </c>
      <c r="F104" s="1140">
        <f>1.0788/F101</f>
        <v>0.35959999999999998</v>
      </c>
      <c r="G104" s="1140">
        <f>1.0788/G101</f>
        <v>0.35959999999999998</v>
      </c>
      <c r="H104" s="1140">
        <f>1.0788/H101</f>
        <v>0.35959999999999998</v>
      </c>
      <c r="I104" s="1140">
        <f>1.0788/I101</f>
        <v>0.35959999999999998</v>
      </c>
      <c r="J104" s="1140">
        <f>1.0072/J101</f>
        <v>0.33573333333333338</v>
      </c>
      <c r="K104" s="1140">
        <f>1.0072/K101</f>
        <v>0.33573333333333338</v>
      </c>
      <c r="L104" s="1140">
        <f>1.0072/L101</f>
        <v>0.33573333333333338</v>
      </c>
      <c r="M104" s="1140">
        <f>1.0072/M101</f>
        <v>0.33573333333333338</v>
      </c>
      <c r="N104" s="1140">
        <f>1.0072/N101</f>
        <v>0.33573333333333338</v>
      </c>
    </row>
    <row r="105" spans="1:14">
      <c r="A105" s="3426"/>
      <c r="B105" s="1139">
        <v>4</v>
      </c>
      <c r="C105" s="1140">
        <f>0.9622/C101</f>
        <v>0.32073333333333337</v>
      </c>
      <c r="D105" s="1140">
        <f>0.9622/D101</f>
        <v>0.32073333333333337</v>
      </c>
      <c r="E105" s="1140">
        <f>0.8656/E101</f>
        <v>0.28853333333333336</v>
      </c>
      <c r="F105" s="1140">
        <f>0.8656/F101</f>
        <v>0.28853333333333336</v>
      </c>
      <c r="G105" s="1140">
        <f>0.8656/G101</f>
        <v>0.28853333333333336</v>
      </c>
      <c r="H105" s="1140">
        <f>0.8656/H101</f>
        <v>0.28853333333333336</v>
      </c>
      <c r="I105" s="1140">
        <f>0.8656/I101</f>
        <v>0.28853333333333336</v>
      </c>
      <c r="J105" s="1140">
        <f>0.7525/J101</f>
        <v>0.2508333333333333</v>
      </c>
      <c r="K105" s="1140">
        <f>0.7525/K101</f>
        <v>0.2508333333333333</v>
      </c>
      <c r="L105" s="1140">
        <f>0.7525/L101</f>
        <v>0.2508333333333333</v>
      </c>
      <c r="M105" s="1140">
        <f>0.7525/M101</f>
        <v>0.2508333333333333</v>
      </c>
      <c r="N105" s="1140">
        <f>0.7525/N101</f>
        <v>0.2508333333333333</v>
      </c>
    </row>
    <row r="106" spans="1:14">
      <c r="A106" s="3426"/>
      <c r="B106" s="1139">
        <v>5</v>
      </c>
      <c r="C106" s="1140">
        <f>0.8417/C101</f>
        <v>0.28056666666666669</v>
      </c>
      <c r="D106" s="1140">
        <f>0.8417/D101</f>
        <v>0.28056666666666669</v>
      </c>
      <c r="E106" s="1140">
        <f>0.7371/E101</f>
        <v>0.2457</v>
      </c>
      <c r="F106" s="1140">
        <f>0.7371/F101</f>
        <v>0.2457</v>
      </c>
      <c r="G106" s="1140">
        <f>0.7371/G101</f>
        <v>0.2457</v>
      </c>
      <c r="H106" s="1140">
        <f>0.7371/H101</f>
        <v>0.2457</v>
      </c>
      <c r="I106" s="1140">
        <f>0.7371/I101</f>
        <v>0.2457</v>
      </c>
      <c r="J106" s="1140">
        <f>0.5659/J101</f>
        <v>0.18863333333333332</v>
      </c>
      <c r="K106" s="1140">
        <f>0.5659/K101</f>
        <v>0.18863333333333332</v>
      </c>
      <c r="L106" s="1140">
        <f>0.5659/L101</f>
        <v>0.18863333333333332</v>
      </c>
      <c r="M106" s="1140">
        <f>0.5659/M101</f>
        <v>0.18863333333333332</v>
      </c>
      <c r="N106" s="1140">
        <f>0.5659/N101</f>
        <v>0.18863333333333332</v>
      </c>
    </row>
    <row r="107" spans="1:14">
      <c r="A107" s="3426"/>
      <c r="B107" s="1139">
        <v>6</v>
      </c>
      <c r="C107" s="1140">
        <f>0.7608/C101</f>
        <v>0.25359999999999999</v>
      </c>
      <c r="D107" s="1140">
        <f>0.7608/D101</f>
        <v>0.25359999999999999</v>
      </c>
      <c r="E107" s="1140">
        <f>0.6482/E101</f>
        <v>0.21606666666666666</v>
      </c>
      <c r="F107" s="1140">
        <f>0.6482/F101</f>
        <v>0.21606666666666666</v>
      </c>
      <c r="G107" s="1140">
        <f>0.6482/G101</f>
        <v>0.21606666666666666</v>
      </c>
      <c r="H107" s="1140">
        <f>0.6482/H101</f>
        <v>0.21606666666666666</v>
      </c>
      <c r="I107" s="1140">
        <f>0.6482/I101</f>
        <v>0.21606666666666666</v>
      </c>
      <c r="J107" s="1140">
        <f>0.4525/J101</f>
        <v>0.15083333333333335</v>
      </c>
      <c r="K107" s="1140">
        <f>0.4525/K101</f>
        <v>0.15083333333333335</v>
      </c>
      <c r="L107" s="1140">
        <f>0.4525/L101</f>
        <v>0.15083333333333335</v>
      </c>
      <c r="M107" s="1140">
        <f>0.4525/M101</f>
        <v>0.15083333333333335</v>
      </c>
      <c r="N107" s="1140">
        <f>0.4525/N101</f>
        <v>0.15083333333333335</v>
      </c>
    </row>
    <row r="108" spans="1:14">
      <c r="A108" s="3426"/>
      <c r="B108" s="342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7"/>
      <c r="B109" s="3429"/>
      <c r="C109" s="1142">
        <f>(-0.163*(C108^2)-0.59*C108+7617)*(10^(-4))/C101</f>
        <v>0.25339493333333335</v>
      </c>
      <c r="D109" s="1142">
        <f>(-0.163*(D108^2)-0.59*D108+7617)*(10^(-4))/D101</f>
        <v>0.25339493333333335</v>
      </c>
      <c r="E109" s="1142">
        <f>(-0.161*(E108^2)-7.509*E108+6533)*(10^(-4))/E101</f>
        <v>0.2154208</v>
      </c>
      <c r="F109" s="1142">
        <f>(-0.161*(F108^2)-7.509*F108+6533)*(10^(-4))/F101</f>
        <v>0.2154208</v>
      </c>
      <c r="G109" s="1142">
        <f>(-0.161*(G108^2)-7.509*G108+6533)*(10^(-4))/G101</f>
        <v>0.2154208</v>
      </c>
      <c r="H109" s="1142">
        <f>(-0.161*(H108^2)-7.509*H108+6533)*(10^(-4))/H101</f>
        <v>0.2154208</v>
      </c>
      <c r="I109" s="1142">
        <f>(-0.161*(I108^2)-7.509*I108+6533)*(10^(-4))/I101</f>
        <v>0.2154208</v>
      </c>
      <c r="J109" s="1142">
        <f>(-0.214*(J108^2)-21.991*J108+4665)*(10^(-4))/J101</f>
        <v>0.14917920000000001</v>
      </c>
      <c r="K109" s="1142">
        <f>(-0.214*(K108^2)-21.991*K108+4665)*(10^(-4))/K101</f>
        <v>0.14917920000000001</v>
      </c>
      <c r="L109" s="1142">
        <f>(-0.214*(L108^2)-21.991*L108+4665)*(10^(-4))/L101</f>
        <v>0.14917920000000001</v>
      </c>
      <c r="M109" s="1142">
        <f>(-0.214*(M108^2)-21.991*M108+4665)*(10^(-4))/M101</f>
        <v>0.14917920000000001</v>
      </c>
      <c r="N109" s="1142">
        <f>(-0.214*(N108^2)-21.991*N108+4665)*(10^(-4))/N101</f>
        <v>0.14917920000000001</v>
      </c>
    </row>
    <row r="110" spans="1:14">
      <c r="A110" s="3432" t="s">
        <v>1639</v>
      </c>
      <c r="B110" s="3432"/>
      <c r="C110" s="3432"/>
      <c r="D110" s="3432"/>
      <c r="E110" s="3432"/>
      <c r="F110" s="3432"/>
      <c r="G110" s="3432"/>
      <c r="H110" s="3432"/>
      <c r="I110" s="3432"/>
      <c r="J110" s="3432"/>
      <c r="K110" s="2413"/>
      <c r="L110" s="2413"/>
      <c r="M110" s="2413"/>
      <c r="N110" s="2413"/>
    </row>
    <row r="112" spans="1:14" ht="12.75" thickBot="1"/>
    <row r="113" spans="1:13" ht="25.5" thickBot="1">
      <c r="A113" s="1016" t="s">
        <v>896</v>
      </c>
      <c r="B113" s="2416">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9" t="s">
        <v>1007</v>
      </c>
      <c r="B18" s="1150" t="s">
        <v>1446</v>
      </c>
      <c r="C18" s="1127" t="s">
        <v>1447</v>
      </c>
      <c r="D18" s="1128"/>
      <c r="E18" s="1150">
        <v>1</v>
      </c>
      <c r="F18" s="1129" t="s">
        <v>1448</v>
      </c>
      <c r="G18" s="1130"/>
      <c r="H18" s="1101"/>
      <c r="I18" s="1101"/>
    </row>
    <row r="19" spans="1:9" s="1585" customFormat="1" ht="19.5" customHeight="1">
      <c r="A19" s="3439"/>
      <c r="B19" s="3439" t="s">
        <v>1449</v>
      </c>
      <c r="C19" s="1127" t="s">
        <v>1450</v>
      </c>
      <c r="D19" s="1128"/>
      <c r="E19" s="1150">
        <v>0.9</v>
      </c>
      <c r="F19" s="1129" t="s">
        <v>1451</v>
      </c>
      <c r="G19" s="1130"/>
      <c r="H19" s="1101"/>
      <c r="I19" s="1101"/>
    </row>
    <row r="20" spans="1:9" s="1585" customFormat="1" ht="19.5" customHeight="1">
      <c r="A20" s="3439"/>
      <c r="B20" s="3439"/>
      <c r="C20" s="1127" t="s">
        <v>1452</v>
      </c>
      <c r="D20" s="1128"/>
      <c r="E20" s="1150">
        <v>1.1000000000000001</v>
      </c>
      <c r="F20" s="1129" t="s">
        <v>1453</v>
      </c>
      <c r="G20" s="1130"/>
      <c r="H20" s="1101"/>
      <c r="I20" s="1101"/>
    </row>
    <row r="21" spans="1:9" s="1585" customFormat="1" ht="19.5" customHeight="1">
      <c r="A21" s="3439"/>
      <c r="B21" s="3439"/>
      <c r="C21" s="1127" t="s">
        <v>1454</v>
      </c>
      <c r="D21" s="1128"/>
      <c r="E21" s="1150">
        <v>0.8</v>
      </c>
      <c r="F21" s="1129" t="s">
        <v>1455</v>
      </c>
      <c r="G21" s="1130"/>
      <c r="H21" s="1101"/>
      <c r="I21" s="1101"/>
    </row>
    <row r="22" spans="1:9" s="1585" customFormat="1" ht="19.5" customHeight="1">
      <c r="A22" s="3439"/>
      <c r="B22" s="3439"/>
      <c r="C22" s="1127" t="s">
        <v>1456</v>
      </c>
      <c r="D22" s="1128"/>
      <c r="E22" s="1150">
        <v>0.5</v>
      </c>
      <c r="F22" s="1129"/>
      <c r="G22" s="1130"/>
      <c r="H22" s="1101"/>
      <c r="I22" s="1101"/>
    </row>
    <row r="23" spans="1:9" s="1585" customFormat="1" ht="19.5" customHeight="1">
      <c r="A23" s="3439" t="s">
        <v>1029</v>
      </c>
      <c r="B23" s="1150" t="s">
        <v>1446</v>
      </c>
      <c r="C23" s="1127" t="s">
        <v>1457</v>
      </c>
      <c r="D23" s="1128"/>
      <c r="E23" s="1150">
        <v>1</v>
      </c>
      <c r="F23" s="1129" t="s">
        <v>1458</v>
      </c>
      <c r="G23" s="1130"/>
      <c r="H23" s="1101"/>
      <c r="I23" s="1101"/>
    </row>
    <row r="24" spans="1:9" s="1585" customFormat="1" ht="19.5" customHeight="1">
      <c r="A24" s="3439"/>
      <c r="B24" s="3439" t="s">
        <v>1449</v>
      </c>
      <c r="C24" s="1127" t="s">
        <v>1459</v>
      </c>
      <c r="D24" s="1128"/>
      <c r="E24" s="1150">
        <v>0.5</v>
      </c>
      <c r="F24" s="1129"/>
      <c r="G24" s="1130"/>
      <c r="H24" s="1101"/>
      <c r="I24" s="1101"/>
    </row>
    <row r="25" spans="1:9" s="1585" customFormat="1" ht="19.5" customHeight="1">
      <c r="A25" s="3439"/>
      <c r="B25" s="3439"/>
      <c r="C25" s="1127" t="s">
        <v>1460</v>
      </c>
      <c r="D25" s="1128"/>
      <c r="E25" s="1150">
        <v>1.1000000000000001</v>
      </c>
      <c r="F25" s="1129"/>
      <c r="G25" s="1130"/>
      <c r="H25" s="1101"/>
      <c r="I25" s="1101"/>
    </row>
    <row r="26" spans="1:9" s="1585" customFormat="1" ht="19.5" customHeight="1">
      <c r="A26" s="3439"/>
      <c r="B26" s="3439"/>
      <c r="C26" s="1127" t="s">
        <v>1461</v>
      </c>
      <c r="D26" s="1128"/>
      <c r="E26" s="1150">
        <v>1.1000000000000001</v>
      </c>
      <c r="F26" s="1129"/>
      <c r="G26" s="1130"/>
      <c r="H26" s="1101"/>
      <c r="I26" s="1101"/>
    </row>
    <row r="27" spans="1:9" s="1585" customFormat="1" ht="19.5" customHeight="1">
      <c r="A27" s="3439"/>
      <c r="B27" s="3439"/>
      <c r="C27" s="1127" t="s">
        <v>1462</v>
      </c>
      <c r="D27" s="1128"/>
      <c r="E27" s="1150">
        <v>0.9</v>
      </c>
      <c r="F27" s="1129" t="s">
        <v>1463</v>
      </c>
      <c r="G27" s="1130"/>
      <c r="H27" s="1101"/>
      <c r="I27" s="1101"/>
    </row>
    <row r="28" spans="1:9" s="1585" customFormat="1" ht="19.5" customHeight="1">
      <c r="A28" s="3439"/>
      <c r="B28" s="3439"/>
      <c r="C28" s="1127" t="s">
        <v>1464</v>
      </c>
      <c r="D28" s="1128"/>
      <c r="E28" s="1150">
        <v>0.9</v>
      </c>
      <c r="F28" s="1129" t="s">
        <v>1465</v>
      </c>
      <c r="G28" s="1130"/>
      <c r="H28" s="1101"/>
      <c r="I28" s="1101"/>
    </row>
    <row r="29" spans="1:9" s="1585" customFormat="1" ht="19.5" customHeight="1">
      <c r="A29" s="3439"/>
      <c r="B29" s="3439"/>
      <c r="C29" s="1127" t="s">
        <v>1466</v>
      </c>
      <c r="D29" s="1128"/>
      <c r="E29" s="1150">
        <v>0.9</v>
      </c>
      <c r="F29" s="1129" t="s">
        <v>1467</v>
      </c>
      <c r="G29" s="1130"/>
      <c r="H29" s="1101"/>
      <c r="I29" s="1101"/>
    </row>
    <row r="30" spans="1:9" s="1585" customFormat="1" ht="19.5" customHeight="1">
      <c r="A30" s="3439"/>
      <c r="B30" s="3439"/>
      <c r="C30" s="1127" t="s">
        <v>1468</v>
      </c>
      <c r="D30" s="1128"/>
      <c r="E30" s="1150">
        <v>0.9</v>
      </c>
      <c r="F30" s="1129" t="s">
        <v>1469</v>
      </c>
      <c r="G30" s="1130"/>
      <c r="H30" s="1101"/>
      <c r="I30" s="1101"/>
    </row>
    <row r="31" spans="1:9" s="1585" customFormat="1" ht="19.5" customHeight="1">
      <c r="A31" s="3439"/>
      <c r="B31" s="3439"/>
      <c r="C31" s="1127" t="s">
        <v>1470</v>
      </c>
      <c r="D31" s="1128"/>
      <c r="E31" s="1150">
        <v>0.8</v>
      </c>
      <c r="F31" s="1129" t="s">
        <v>1471</v>
      </c>
      <c r="G31" s="1130"/>
      <c r="H31" s="1101"/>
      <c r="I31" s="1101"/>
    </row>
    <row r="32" spans="1:9" s="1585" customFormat="1" ht="19.5" customHeight="1">
      <c r="A32" s="3439"/>
      <c r="B32" s="3439"/>
      <c r="C32" s="1127" t="s">
        <v>1472</v>
      </c>
      <c r="D32" s="1128"/>
      <c r="E32" s="1150">
        <v>0.8</v>
      </c>
      <c r="F32" s="1129" t="s">
        <v>1473</v>
      </c>
      <c r="G32" s="1130"/>
      <c r="H32" s="1101"/>
      <c r="I32" s="1101"/>
    </row>
    <row r="33" spans="1:9" s="1585" customFormat="1" ht="19.5" customHeight="1">
      <c r="A33" s="3439" t="s">
        <v>1474</v>
      </c>
      <c r="B33" s="1150" t="s">
        <v>1446</v>
      </c>
      <c r="C33" s="1127" t="s">
        <v>1475</v>
      </c>
      <c r="D33" s="1128"/>
      <c r="E33" s="1150">
        <v>1</v>
      </c>
      <c r="F33" s="1129" t="s">
        <v>1476</v>
      </c>
      <c r="G33" s="1130"/>
      <c r="H33" s="1101"/>
      <c r="I33" s="1101"/>
    </row>
    <row r="34" spans="1:9" s="1585" customFormat="1" ht="19.5" customHeight="1">
      <c r="A34" s="3439"/>
      <c r="B34" s="1150" t="s">
        <v>1449</v>
      </c>
      <c r="C34" s="1127" t="s">
        <v>1477</v>
      </c>
      <c r="D34" s="1128"/>
      <c r="E34" s="1150">
        <v>1.5</v>
      </c>
      <c r="F34" s="1129" t="s">
        <v>1478</v>
      </c>
      <c r="G34" s="1130"/>
      <c r="H34" s="1101"/>
      <c r="I34" s="1101"/>
    </row>
    <row r="35" spans="1:9" s="1585" customFormat="1" ht="19.5" customHeight="1">
      <c r="A35" s="3439" t="s">
        <v>1432</v>
      </c>
      <c r="B35" s="1150" t="s">
        <v>1446</v>
      </c>
      <c r="C35" s="1127" t="s">
        <v>1479</v>
      </c>
      <c r="D35" s="1128"/>
      <c r="E35" s="1150">
        <v>1</v>
      </c>
      <c r="F35" s="1129" t="s">
        <v>1480</v>
      </c>
      <c r="G35" s="1130"/>
      <c r="H35" s="1101"/>
      <c r="I35" s="1101"/>
    </row>
    <row r="36" spans="1:9" s="1585" customFormat="1" ht="19.5" customHeight="1">
      <c r="A36" s="3439"/>
      <c r="B36" s="3439" t="s">
        <v>1449</v>
      </c>
      <c r="C36" s="1127" t="s">
        <v>1481</v>
      </c>
      <c r="D36" s="1128"/>
      <c r="E36" s="1150">
        <v>1</v>
      </c>
      <c r="F36" s="1129" t="s">
        <v>1482</v>
      </c>
      <c r="G36" s="1130"/>
      <c r="H36" s="1101"/>
      <c r="I36" s="1101"/>
    </row>
    <row r="37" spans="1:9" s="1585" customFormat="1" ht="19.5" customHeight="1">
      <c r="A37" s="3439"/>
      <c r="B37" s="3439"/>
      <c r="C37" s="1127" t="s">
        <v>1483</v>
      </c>
      <c r="D37" s="1128"/>
      <c r="E37" s="1150">
        <v>1.5</v>
      </c>
      <c r="F37" s="1129" t="s">
        <v>1484</v>
      </c>
      <c r="G37" s="1130"/>
      <c r="H37" s="1101"/>
      <c r="I37" s="1101"/>
    </row>
    <row r="38" spans="1:9" s="1585" customFormat="1" ht="19.5" customHeight="1">
      <c r="A38" s="3439"/>
      <c r="B38" s="3439"/>
      <c r="C38" s="1127" t="s">
        <v>1485</v>
      </c>
      <c r="D38" s="1128"/>
      <c r="E38" s="1150">
        <v>1</v>
      </c>
      <c r="F38" s="1129" t="s">
        <v>1486</v>
      </c>
      <c r="G38" s="1130"/>
      <c r="H38" s="1101"/>
      <c r="I38" s="1101"/>
    </row>
    <row r="39" spans="1:9" s="1585" customFormat="1" ht="19.5" customHeight="1">
      <c r="A39" s="3439"/>
      <c r="B39" s="343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9" t="s">
        <v>1501</v>
      </c>
      <c r="C61" s="1064" t="s">
        <v>1502</v>
      </c>
      <c r="D61" s="1064" t="s">
        <v>1503</v>
      </c>
      <c r="E61" s="1135">
        <v>0.5</v>
      </c>
      <c r="F61" s="1150">
        <v>80</v>
      </c>
      <c r="H61" s="1101">
        <f>SUMIF(C59:C119,基准地价!C8,E59:E119)</f>
        <v>0</v>
      </c>
    </row>
    <row r="62" spans="1:8" s="1101" customFormat="1" ht="24">
      <c r="A62" s="1150">
        <v>2</v>
      </c>
      <c r="B62" s="3439"/>
      <c r="C62" s="1064" t="s">
        <v>1504</v>
      </c>
      <c r="D62" s="1064" t="s">
        <v>1505</v>
      </c>
      <c r="E62" s="1135">
        <v>0.5</v>
      </c>
      <c r="F62" s="1150">
        <v>80</v>
      </c>
    </row>
    <row r="63" spans="1:8" s="1101" customFormat="1" ht="36">
      <c r="A63" s="1150">
        <v>3</v>
      </c>
      <c r="B63" s="3439"/>
      <c r="C63" s="1064" t="s">
        <v>1506</v>
      </c>
      <c r="D63" s="1064" t="s">
        <v>1507</v>
      </c>
      <c r="E63" s="1135">
        <v>0.5</v>
      </c>
      <c r="F63" s="1150">
        <v>80</v>
      </c>
    </row>
    <row r="64" spans="1:8" s="1101" customFormat="1" ht="36">
      <c r="A64" s="1150">
        <v>4</v>
      </c>
      <c r="B64" s="3439"/>
      <c r="C64" s="1064" t="s">
        <v>1508</v>
      </c>
      <c r="D64" s="1064" t="s">
        <v>1509</v>
      </c>
      <c r="E64" s="1135">
        <v>0.4</v>
      </c>
      <c r="F64" s="1150">
        <v>60</v>
      </c>
    </row>
    <row r="65" spans="1:6" s="1101" customFormat="1" ht="36">
      <c r="A65" s="1150">
        <v>5</v>
      </c>
      <c r="B65" s="3439"/>
      <c r="C65" s="1064" t="s">
        <v>1510</v>
      </c>
      <c r="D65" s="1064" t="s">
        <v>1511</v>
      </c>
      <c r="E65" s="1135">
        <v>0.2</v>
      </c>
      <c r="F65" s="1150">
        <v>30</v>
      </c>
    </row>
    <row r="66" spans="1:6" s="1101" customFormat="1" ht="36">
      <c r="A66" s="1150">
        <v>6</v>
      </c>
      <c r="B66" s="3439"/>
      <c r="C66" s="1064" t="s">
        <v>1512</v>
      </c>
      <c r="D66" s="1064" t="s">
        <v>1513</v>
      </c>
      <c r="E66" s="1135">
        <v>0.3</v>
      </c>
      <c r="F66" s="1150">
        <v>50</v>
      </c>
    </row>
    <row r="67" spans="1:6" s="1101" customFormat="1" ht="36">
      <c r="A67" s="1150">
        <v>7</v>
      </c>
      <c r="B67" s="3439"/>
      <c r="C67" s="1064" t="s">
        <v>1514</v>
      </c>
      <c r="D67" s="1064" t="s">
        <v>1515</v>
      </c>
      <c r="E67" s="1135">
        <v>0.2</v>
      </c>
      <c r="F67" s="1150">
        <v>30</v>
      </c>
    </row>
    <row r="68" spans="1:6" s="1101" customFormat="1" ht="36">
      <c r="A68" s="1150">
        <v>8</v>
      </c>
      <c r="B68" s="3439"/>
      <c r="C68" s="1064" t="s">
        <v>1516</v>
      </c>
      <c r="D68" s="1064" t="s">
        <v>1517</v>
      </c>
      <c r="E68" s="1135">
        <v>0.2</v>
      </c>
      <c r="F68" s="1150">
        <v>30</v>
      </c>
    </row>
    <row r="69" spans="1:6" s="1101" customFormat="1" ht="36">
      <c r="A69" s="1150">
        <v>9</v>
      </c>
      <c r="B69" s="3439"/>
      <c r="C69" s="1064" t="s">
        <v>1518</v>
      </c>
      <c r="D69" s="1064" t="s">
        <v>1519</v>
      </c>
      <c r="E69" s="1135">
        <v>0.2</v>
      </c>
      <c r="F69" s="1150">
        <v>30</v>
      </c>
    </row>
    <row r="70" spans="1:6" s="1101" customFormat="1" ht="48">
      <c r="A70" s="1150">
        <v>10</v>
      </c>
      <c r="B70" s="3439"/>
      <c r="C70" s="1064" t="s">
        <v>1520</v>
      </c>
      <c r="D70" s="1064" t="s">
        <v>1521</v>
      </c>
      <c r="E70" s="1135">
        <v>0.2</v>
      </c>
      <c r="F70" s="1150">
        <v>30</v>
      </c>
    </row>
    <row r="71" spans="1:6" s="1101" customFormat="1" ht="48">
      <c r="A71" s="1150">
        <v>11</v>
      </c>
      <c r="B71" s="3439"/>
      <c r="C71" s="1064" t="s">
        <v>1522</v>
      </c>
      <c r="D71" s="1064" t="s">
        <v>1523</v>
      </c>
      <c r="E71" s="1135">
        <v>0.2</v>
      </c>
      <c r="F71" s="1150">
        <v>30</v>
      </c>
    </row>
    <row r="72" spans="1:6" s="1101" customFormat="1" ht="36">
      <c r="A72" s="1150">
        <v>12</v>
      </c>
      <c r="B72" s="3439"/>
      <c r="C72" s="1064" t="s">
        <v>1524</v>
      </c>
      <c r="D72" s="1064" t="s">
        <v>1525</v>
      </c>
      <c r="E72" s="1135">
        <v>0.5</v>
      </c>
      <c r="F72" s="1150">
        <v>80</v>
      </c>
    </row>
    <row r="73" spans="1:6" s="1101" customFormat="1" ht="24">
      <c r="A73" s="1150">
        <v>13</v>
      </c>
      <c r="B73" s="3439"/>
      <c r="C73" s="1064" t="s">
        <v>1526</v>
      </c>
      <c r="D73" s="1064" t="s">
        <v>1527</v>
      </c>
      <c r="E73" s="1135">
        <v>0.4</v>
      </c>
      <c r="F73" s="1150">
        <v>60</v>
      </c>
    </row>
    <row r="74" spans="1:6" s="1101" customFormat="1" ht="24">
      <c r="A74" s="1150">
        <v>14</v>
      </c>
      <c r="B74" s="3439"/>
      <c r="C74" s="1064" t="s">
        <v>1528</v>
      </c>
      <c r="D74" s="1064" t="s">
        <v>1529</v>
      </c>
      <c r="E74" s="1135">
        <v>0.2</v>
      </c>
      <c r="F74" s="1150">
        <v>30</v>
      </c>
    </row>
    <row r="75" spans="1:6" s="1101" customFormat="1" ht="24">
      <c r="A75" s="1150">
        <v>15</v>
      </c>
      <c r="B75" s="3439"/>
      <c r="C75" s="1064" t="s">
        <v>1530</v>
      </c>
      <c r="D75" s="1064" t="s">
        <v>1531</v>
      </c>
      <c r="E75" s="1135">
        <v>0.2</v>
      </c>
      <c r="F75" s="1150">
        <v>30</v>
      </c>
    </row>
    <row r="76" spans="1:6" s="1101" customFormat="1" ht="24">
      <c r="A76" s="1150">
        <v>16</v>
      </c>
      <c r="B76" s="3439" t="s">
        <v>1532</v>
      </c>
      <c r="C76" s="1064" t="s">
        <v>1533</v>
      </c>
      <c r="D76" s="1064" t="s">
        <v>1534</v>
      </c>
      <c r="E76" s="1135">
        <v>0.5</v>
      </c>
      <c r="F76" s="1150">
        <v>80</v>
      </c>
    </row>
    <row r="77" spans="1:6" s="1101" customFormat="1" ht="24">
      <c r="A77" s="1150">
        <v>17</v>
      </c>
      <c r="B77" s="3439"/>
      <c r="C77" s="1064" t="s">
        <v>1535</v>
      </c>
      <c r="D77" s="1064" t="s">
        <v>1536</v>
      </c>
      <c r="E77" s="1135">
        <v>0.5</v>
      </c>
      <c r="F77" s="1150">
        <v>80</v>
      </c>
    </row>
    <row r="78" spans="1:6" s="1101" customFormat="1" ht="24">
      <c r="A78" s="1150">
        <v>18</v>
      </c>
      <c r="B78" s="3439"/>
      <c r="C78" s="1064" t="s">
        <v>1537</v>
      </c>
      <c r="D78" s="1064" t="s">
        <v>1538</v>
      </c>
      <c r="E78" s="1135">
        <v>0.2</v>
      </c>
      <c r="F78" s="1150">
        <v>30</v>
      </c>
    </row>
    <row r="79" spans="1:6" s="1101" customFormat="1" ht="24">
      <c r="A79" s="1150">
        <v>19</v>
      </c>
      <c r="B79" s="3439"/>
      <c r="C79" s="1064" t="s">
        <v>1539</v>
      </c>
      <c r="D79" s="1064" t="s">
        <v>1540</v>
      </c>
      <c r="E79" s="1135">
        <v>0.5</v>
      </c>
      <c r="F79" s="1150">
        <v>80</v>
      </c>
    </row>
    <row r="80" spans="1:6" s="1101" customFormat="1" ht="36">
      <c r="A80" s="1150">
        <v>20</v>
      </c>
      <c r="B80" s="3439"/>
      <c r="C80" s="1064" t="s">
        <v>1541</v>
      </c>
      <c r="D80" s="1064" t="s">
        <v>1542</v>
      </c>
      <c r="E80" s="1135">
        <v>0.2</v>
      </c>
      <c r="F80" s="1150">
        <v>30</v>
      </c>
    </row>
    <row r="81" spans="1:6" s="1101" customFormat="1" ht="36">
      <c r="A81" s="1150">
        <v>21</v>
      </c>
      <c r="B81" s="3439"/>
      <c r="C81" s="1064" t="s">
        <v>1543</v>
      </c>
      <c r="D81" s="1064" t="s">
        <v>1544</v>
      </c>
      <c r="E81" s="1135">
        <v>0.2</v>
      </c>
      <c r="F81" s="1150">
        <v>30</v>
      </c>
    </row>
    <row r="82" spans="1:6" s="1101" customFormat="1" ht="48">
      <c r="A82" s="1150">
        <v>22</v>
      </c>
      <c r="B82" s="3439"/>
      <c r="C82" s="1064" t="s">
        <v>1545</v>
      </c>
      <c r="D82" s="1064" t="s">
        <v>1546</v>
      </c>
      <c r="E82" s="1135">
        <v>0.2</v>
      </c>
      <c r="F82" s="1150">
        <v>30</v>
      </c>
    </row>
    <row r="83" spans="1:6" s="1101" customFormat="1" ht="48">
      <c r="A83" s="1150">
        <v>23</v>
      </c>
      <c r="B83" s="3439"/>
      <c r="C83" s="1064" t="s">
        <v>1547</v>
      </c>
      <c r="D83" s="1064" t="s">
        <v>1548</v>
      </c>
      <c r="E83" s="1135">
        <v>0.2</v>
      </c>
      <c r="F83" s="1150">
        <v>30</v>
      </c>
    </row>
    <row r="84" spans="1:6" s="1101" customFormat="1" ht="36">
      <c r="A84" s="1150">
        <v>24</v>
      </c>
      <c r="B84" s="3439"/>
      <c r="C84" s="1064" t="s">
        <v>1549</v>
      </c>
      <c r="D84" s="1064" t="s">
        <v>1550</v>
      </c>
      <c r="E84" s="1135">
        <v>0.2</v>
      </c>
      <c r="F84" s="1150">
        <v>30</v>
      </c>
    </row>
    <row r="85" spans="1:6" s="1101" customFormat="1" ht="36">
      <c r="A85" s="1150">
        <v>25</v>
      </c>
      <c r="B85" s="3439"/>
      <c r="C85" s="1064" t="s">
        <v>1551</v>
      </c>
      <c r="D85" s="1064" t="s">
        <v>1552</v>
      </c>
      <c r="E85" s="1135">
        <v>0.5</v>
      </c>
      <c r="F85" s="1150">
        <v>80</v>
      </c>
    </row>
    <row r="86" spans="1:6" s="1101" customFormat="1" ht="36">
      <c r="A86" s="1150">
        <v>26</v>
      </c>
      <c r="B86" s="3439"/>
      <c r="C86" s="1064" t="s">
        <v>1553</v>
      </c>
      <c r="D86" s="1064" t="s">
        <v>1554</v>
      </c>
      <c r="E86" s="1135">
        <v>0.2</v>
      </c>
      <c r="F86" s="1150">
        <v>30</v>
      </c>
    </row>
    <row r="87" spans="1:6" s="1101" customFormat="1" ht="36">
      <c r="A87" s="1150">
        <v>27</v>
      </c>
      <c r="B87" s="3439"/>
      <c r="C87" s="1064" t="s">
        <v>1555</v>
      </c>
      <c r="D87" s="1064" t="s">
        <v>1556</v>
      </c>
      <c r="E87" s="1135">
        <v>0.2</v>
      </c>
      <c r="F87" s="1150">
        <v>30</v>
      </c>
    </row>
    <row r="88" spans="1:6" s="1101" customFormat="1" ht="36">
      <c r="A88" s="1150">
        <v>28</v>
      </c>
      <c r="B88" s="3439"/>
      <c r="C88" s="1064" t="s">
        <v>1557</v>
      </c>
      <c r="D88" s="1064" t="s">
        <v>1558</v>
      </c>
      <c r="E88" s="1135">
        <v>0.2</v>
      </c>
      <c r="F88" s="1150">
        <v>30</v>
      </c>
    </row>
    <row r="89" spans="1:6" s="1101" customFormat="1" ht="24">
      <c r="A89" s="1150">
        <v>29</v>
      </c>
      <c r="B89" s="3439"/>
      <c r="C89" s="1064" t="s">
        <v>1559</v>
      </c>
      <c r="D89" s="1064" t="s">
        <v>1560</v>
      </c>
      <c r="E89" s="1135">
        <v>0.2</v>
      </c>
      <c r="F89" s="1150">
        <v>30</v>
      </c>
    </row>
    <row r="90" spans="1:6" s="1101" customFormat="1" ht="24">
      <c r="A90" s="1150">
        <v>30</v>
      </c>
      <c r="B90" s="3439"/>
      <c r="C90" s="1064" t="s">
        <v>1561</v>
      </c>
      <c r="D90" s="1064" t="s">
        <v>1562</v>
      </c>
      <c r="E90" s="1135">
        <v>0.2</v>
      </c>
      <c r="F90" s="1150">
        <v>30</v>
      </c>
    </row>
    <row r="91" spans="1:6" s="1101" customFormat="1" ht="36">
      <c r="A91" s="1150">
        <v>31</v>
      </c>
      <c r="B91" s="3439"/>
      <c r="C91" s="1064" t="s">
        <v>1563</v>
      </c>
      <c r="D91" s="1064" t="s">
        <v>1564</v>
      </c>
      <c r="E91" s="1135">
        <v>0.2</v>
      </c>
      <c r="F91" s="1150">
        <v>30</v>
      </c>
    </row>
    <row r="92" spans="1:6" s="1101" customFormat="1" ht="24">
      <c r="A92" s="1150">
        <v>32</v>
      </c>
      <c r="B92" s="3439" t="s">
        <v>1565</v>
      </c>
      <c r="C92" s="1150" t="s">
        <v>1566</v>
      </c>
      <c r="D92" s="1064" t="s">
        <v>1567</v>
      </c>
      <c r="E92" s="1135">
        <v>0.2</v>
      </c>
      <c r="F92" s="1150">
        <v>30</v>
      </c>
    </row>
    <row r="93" spans="1:6" s="1101" customFormat="1" ht="36">
      <c r="A93" s="1150">
        <v>33</v>
      </c>
      <c r="B93" s="3439"/>
      <c r="C93" s="1150" t="s">
        <v>1568</v>
      </c>
      <c r="D93" s="1064" t="s">
        <v>1569</v>
      </c>
      <c r="E93" s="1135">
        <v>0.2</v>
      </c>
      <c r="F93" s="1150">
        <v>30</v>
      </c>
    </row>
    <row r="94" spans="1:6" s="1101" customFormat="1" ht="48">
      <c r="A94" s="1150">
        <v>34</v>
      </c>
      <c r="B94" s="3439"/>
      <c r="C94" s="1150" t="s">
        <v>1570</v>
      </c>
      <c r="D94" s="1064" t="s">
        <v>1571</v>
      </c>
      <c r="E94" s="1135">
        <v>0.2</v>
      </c>
      <c r="F94" s="1150">
        <v>30</v>
      </c>
    </row>
    <row r="95" spans="1:6" s="1101" customFormat="1" ht="36">
      <c r="A95" s="1150">
        <v>35</v>
      </c>
      <c r="B95" s="3439"/>
      <c r="C95" s="1150" t="s">
        <v>1572</v>
      </c>
      <c r="D95" s="1064" t="s">
        <v>1573</v>
      </c>
      <c r="E95" s="1135">
        <v>0.2</v>
      </c>
      <c r="F95" s="1150">
        <v>30</v>
      </c>
    </row>
    <row r="96" spans="1:6" s="1101" customFormat="1" ht="48">
      <c r="A96" s="1150">
        <v>36</v>
      </c>
      <c r="B96" s="3439"/>
      <c r="C96" s="1064" t="s">
        <v>1574</v>
      </c>
      <c r="D96" s="1064" t="s">
        <v>1575</v>
      </c>
      <c r="E96" s="1135">
        <v>0.2</v>
      </c>
      <c r="F96" s="1150">
        <v>30</v>
      </c>
    </row>
    <row r="97" spans="1:6" s="1101" customFormat="1" ht="36">
      <c r="A97" s="1150">
        <v>37</v>
      </c>
      <c r="B97" s="3439"/>
      <c r="C97" s="1150" t="s">
        <v>1576</v>
      </c>
      <c r="D97" s="1064" t="s">
        <v>1577</v>
      </c>
      <c r="E97" s="1135">
        <v>0.2</v>
      </c>
      <c r="F97" s="1150">
        <v>30</v>
      </c>
    </row>
    <row r="98" spans="1:6" s="1101" customFormat="1" ht="36">
      <c r="A98" s="1150">
        <v>38</v>
      </c>
      <c r="B98" s="3439"/>
      <c r="C98" s="1150" t="s">
        <v>1578</v>
      </c>
      <c r="D98" s="1064" t="s">
        <v>1579</v>
      </c>
      <c r="E98" s="1135">
        <v>0.2</v>
      </c>
      <c r="F98" s="1150">
        <v>30</v>
      </c>
    </row>
    <row r="99" spans="1:6" s="1101" customFormat="1" ht="36">
      <c r="A99" s="1150">
        <v>39</v>
      </c>
      <c r="B99" s="3439" t="s">
        <v>1580</v>
      </c>
      <c r="C99" s="1150" t="s">
        <v>1581</v>
      </c>
      <c r="D99" s="1064" t="s">
        <v>1582</v>
      </c>
      <c r="E99" s="1135">
        <v>0.3</v>
      </c>
      <c r="F99" s="1150">
        <v>50</v>
      </c>
    </row>
    <row r="100" spans="1:6" s="1101" customFormat="1" ht="24">
      <c r="A100" s="1150">
        <v>40</v>
      </c>
      <c r="B100" s="3439"/>
      <c r="C100" s="1150" t="s">
        <v>1583</v>
      </c>
      <c r="D100" s="1064" t="s">
        <v>1584</v>
      </c>
      <c r="E100" s="1135">
        <v>0.2</v>
      </c>
      <c r="F100" s="1150">
        <v>30</v>
      </c>
    </row>
    <row r="101" spans="1:6" s="1101" customFormat="1" ht="36">
      <c r="A101" s="1150">
        <v>41</v>
      </c>
      <c r="B101" s="343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9" t="s">
        <v>1595</v>
      </c>
      <c r="C105" s="1150" t="s">
        <v>1596</v>
      </c>
      <c r="D105" s="1064" t="s">
        <v>1597</v>
      </c>
      <c r="E105" s="1135">
        <v>0.2</v>
      </c>
      <c r="F105" s="1150">
        <v>30</v>
      </c>
    </row>
    <row r="106" spans="1:6" s="1101" customFormat="1" ht="36">
      <c r="A106" s="1150">
        <v>46</v>
      </c>
      <c r="B106" s="3439"/>
      <c r="C106" s="1150" t="s">
        <v>1598</v>
      </c>
      <c r="D106" s="1064" t="s">
        <v>1599</v>
      </c>
      <c r="E106" s="1135">
        <v>0.2</v>
      </c>
      <c r="F106" s="1150">
        <v>30</v>
      </c>
    </row>
    <row r="107" spans="1:6" s="1101" customFormat="1" ht="36">
      <c r="A107" s="1150">
        <v>47</v>
      </c>
      <c r="B107" s="3439" t="s">
        <v>1600</v>
      </c>
      <c r="C107" s="1150" t="s">
        <v>1601</v>
      </c>
      <c r="D107" s="1064" t="s">
        <v>1602</v>
      </c>
      <c r="E107" s="1135">
        <v>0.3</v>
      </c>
      <c r="F107" s="1150">
        <v>50</v>
      </c>
    </row>
    <row r="108" spans="1:6" s="1101" customFormat="1" ht="36">
      <c r="A108" s="1150">
        <v>48</v>
      </c>
      <c r="B108" s="343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9" t="s">
        <v>1611</v>
      </c>
      <c r="C111" s="1150" t="s">
        <v>1612</v>
      </c>
      <c r="D111" s="1064" t="s">
        <v>1613</v>
      </c>
      <c r="E111" s="1135">
        <v>0.2</v>
      </c>
      <c r="F111" s="1150">
        <v>30</v>
      </c>
    </row>
    <row r="112" spans="1:6" s="1101" customFormat="1" ht="24">
      <c r="A112" s="1150">
        <v>52</v>
      </c>
      <c r="B112" s="3439"/>
      <c r="C112" s="1150" t="s">
        <v>1614</v>
      </c>
      <c r="D112" s="1064" t="s">
        <v>1615</v>
      </c>
      <c r="E112" s="1135">
        <v>0.2</v>
      </c>
      <c r="F112" s="1150">
        <v>30</v>
      </c>
    </row>
    <row r="113" spans="1:14" s="1101" customFormat="1" ht="24">
      <c r="A113" s="1150">
        <v>53</v>
      </c>
      <c r="B113" s="343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9" t="s">
        <v>1624</v>
      </c>
      <c r="C116" s="1150" t="s">
        <v>1625</v>
      </c>
      <c r="D116" s="1064" t="s">
        <v>1626</v>
      </c>
      <c r="E116" s="1135">
        <v>0.2</v>
      </c>
      <c r="F116" s="1150">
        <v>30</v>
      </c>
    </row>
    <row r="117" spans="1:14" ht="36">
      <c r="A117" s="1150">
        <v>57</v>
      </c>
      <c r="B117" s="343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8" t="s">
        <v>1633</v>
      </c>
      <c r="B121" s="3438"/>
      <c r="C121" s="3438"/>
      <c r="D121" s="3438"/>
      <c r="E121" s="3438"/>
      <c r="F121" s="3438"/>
      <c r="G121" s="3438"/>
      <c r="H121" s="3438"/>
      <c r="I121" s="3438"/>
      <c r="J121" s="343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7" t="s">
        <v>2079</v>
      </c>
      <c r="B1" s="3447"/>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5" t="s">
        <v>2576</v>
      </c>
      <c r="C1" s="3455"/>
      <c r="D1" s="3455"/>
      <c r="E1" s="3455"/>
      <c r="F1" s="3455"/>
      <c r="G1" s="3454" t="s">
        <v>2577</v>
      </c>
      <c r="H1" s="3454"/>
      <c r="I1" s="3454"/>
      <c r="J1" s="3454"/>
      <c r="K1" s="3454"/>
      <c r="L1" s="3454"/>
      <c r="N1" s="3454" t="s">
        <v>2578</v>
      </c>
      <c r="O1" s="3454"/>
      <c r="P1" s="3454"/>
      <c r="Q1" s="3454"/>
      <c r="R1" s="2619"/>
      <c r="S1" s="3454" t="s">
        <v>2579</v>
      </c>
      <c r="T1" s="3454"/>
      <c r="U1" s="3454"/>
      <c r="V1" s="3454"/>
      <c r="X1" s="3453" t="s">
        <v>2639</v>
      </c>
      <c r="Y1" s="3454"/>
      <c r="Z1" s="3454"/>
      <c r="AA1" s="3454"/>
      <c r="AB1" s="3454"/>
      <c r="AD1" s="3453" t="s">
        <v>2643</v>
      </c>
      <c r="AE1" s="3454"/>
      <c r="AF1" s="3454"/>
      <c r="AG1" s="3454"/>
      <c r="AH1" s="3454"/>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9">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5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4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4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5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52"/>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51">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52"/>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51">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52"/>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5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5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5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51">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4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4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52"/>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51">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4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52">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51">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4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52">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51">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4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52">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51">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4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52">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51">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4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52">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51">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4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52">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51">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4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52">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51">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4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52">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51">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49">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49">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52">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51">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49">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49">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52">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60" t="s">
        <v>2463</v>
      </c>
      <c r="C8" s="1811">
        <f ca="1">ROUND(F8*F10*F9*(1-F11)/10000,0)</f>
        <v>0</v>
      </c>
      <c r="D8" s="1808" t="s">
        <v>2534</v>
      </c>
      <c r="E8" s="61" t="s">
        <v>637</v>
      </c>
      <c r="F8" s="785">
        <f ca="1">INDIRECT("'数据-取费表'!u"&amp;$G$1)</f>
        <v>0</v>
      </c>
      <c r="G8" s="1579"/>
      <c r="H8" s="2469" t="s">
        <v>1824</v>
      </c>
      <c r="I8" s="3460" t="s">
        <v>2463</v>
      </c>
      <c r="J8" s="783">
        <f ca="1">ROUND(M8*M10*M9*(1-M11)/10000,0)</f>
        <v>0</v>
      </c>
      <c r="K8" s="341" t="s">
        <v>2534</v>
      </c>
      <c r="L8" s="784" t="s">
        <v>1738</v>
      </c>
      <c r="M8" s="785">
        <f ca="1">INDIRECT("'数据-取费表'!z"&amp;$G$1)</f>
        <v>0</v>
      </c>
    </row>
    <row r="9" spans="1:25" ht="18" customHeight="1">
      <c r="A9" s="2465"/>
      <c r="B9" s="3461"/>
      <c r="C9" s="1812"/>
      <c r="D9" s="1809"/>
      <c r="E9" s="61" t="s">
        <v>638</v>
      </c>
      <c r="F9" s="785">
        <f ca="1">IF(INDIRECT("'数据-取费表'!ah"&amp;$G$1)="",INDIRECT("'数据-取费表'!k"&amp;$G$1),INDIRECT("'数据-取费表'!ah"&amp;$G$1))</f>
        <v>0</v>
      </c>
      <c r="G9" s="1579"/>
      <c r="H9" s="2454"/>
      <c r="I9" s="3461"/>
      <c r="J9" s="788"/>
      <c r="K9" s="789"/>
      <c r="L9" s="784" t="s">
        <v>1739</v>
      </c>
      <c r="M9" s="785">
        <f ca="1">F9</f>
        <v>0</v>
      </c>
    </row>
    <row r="10" spans="1:25" ht="18" customHeight="1">
      <c r="A10" s="2458"/>
      <c r="B10" s="3462"/>
      <c r="C10" s="1812"/>
      <c r="D10" s="1809"/>
      <c r="E10" s="61" t="s">
        <v>639</v>
      </c>
      <c r="F10" s="785">
        <f ca="1">INDIRECT("'数据-取费表'!ai"&amp;$G$1)</f>
        <v>0</v>
      </c>
      <c r="G10" s="1579"/>
      <c r="H10" s="2454"/>
      <c r="I10" s="3462"/>
      <c r="J10" s="788"/>
      <c r="K10" s="789"/>
      <c r="L10" s="784" t="s">
        <v>1740</v>
      </c>
      <c r="M10" s="785">
        <f ca="1">INDIRECT("'数据-取费表'!ai"&amp;$G$1)</f>
        <v>0</v>
      </c>
    </row>
    <row r="11" spans="1:25" ht="18" customHeight="1">
      <c r="A11" s="786"/>
      <c r="B11" s="3463"/>
      <c r="C11" s="1812"/>
      <c r="D11" s="1809"/>
      <c r="E11" s="61" t="s">
        <v>640</v>
      </c>
      <c r="F11" s="794">
        <f ca="1">INDIRECT("'数据-取费表'!w"&amp;$G$1)</f>
        <v>0</v>
      </c>
      <c r="G11" s="1579"/>
      <c r="H11" s="2470"/>
      <c r="I11" s="3462"/>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5.5500000000000001E-2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5.9999999999999995E-4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5.2900000000000003E-2</v>
      </c>
      <c r="D30" s="812" t="s">
        <v>709</v>
      </c>
      <c r="E30" s="784" t="s">
        <v>649</v>
      </c>
      <c r="F30" s="809">
        <f>'数据-取费表'!B41</f>
        <v>5.5500000000000001E-2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5.5500000000000001E-2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59"/>
      <c r="J36" s="2065"/>
      <c r="K36" s="2066"/>
      <c r="L36" s="2065"/>
      <c r="M36" s="2065"/>
    </row>
    <row r="37" spans="1:18" ht="18" customHeight="1">
      <c r="A37" s="815"/>
      <c r="B37" s="793"/>
      <c r="C37" s="69"/>
      <c r="D37" s="816"/>
      <c r="E37" s="784" t="s">
        <v>674</v>
      </c>
      <c r="F37" s="785">
        <f ca="1">INDIRECT("'数据-取费表'!r"&amp;$G$1)</f>
        <v>0</v>
      </c>
      <c r="G37" s="2048"/>
      <c r="H37" s="2051"/>
      <c r="I37" s="345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-2.5</v>
      </c>
      <c r="K54" s="3464"/>
      <c r="L54" s="3465"/>
      <c r="O54" s="2366" t="s">
        <v>2388</v>
      </c>
      <c r="P54" s="2364" t="s">
        <v>2389</v>
      </c>
      <c r="Q54" s="2365">
        <f ca="1">J54</f>
        <v>-2.5</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9"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受贵公司委托，我公司对江苏省盐城市大丰港区海辉路北侧出让国有建设用地使用权抵押价格进行了预评估。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大丰港区海辉路北侧出让国有建设用地使用权。根据《国有土地使用证》[]，估价对象（分摊）出让国有建设用地使用权面积为233292.2平方米。根据《建设工程规划许可证》[]、《出让合同》[]，估价对象规划建筑面积为699876.6平方米。</v>
      </c>
    </row>
    <row r="7" spans="1:4" ht="56.25">
      <c r="A7" s="1781" t="s">
        <v>2747</v>
      </c>
    </row>
    <row r="8" spans="1:4" ht="18.75">
      <c r="A8" s="1780" t="s">
        <v>1906</v>
      </c>
    </row>
    <row r="9" spans="1:4" ht="75">
      <c r="A9" s="1782" t="str">
        <f>IF(项目基本情况!B8="抵押",IF(项目基本情况!B5=项目基本情况!B6,定义!C51,定义!B51),定义!D51)</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根据《国有土地使用证》[]，估价对象（分摊）出让国有建设用地使用权面积为233292.2平方米。根据《建设工程规划许可证》[]、《出让合同》[]，估价对象规划建筑面积为699876.6平方米。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本次估价对象为出让国有建设用地使用权，《国有土地使用证》[]证载土地终止日期为住宅2079年9月14日、商业2049年9月14日。截至估价期日，出让国有建设用地使用权剩余土地使用年限为。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3061</v>
      </c>
      <c r="D1" s="3078" t="s">
        <v>952</v>
      </c>
      <c r="E1" s="2352" t="s">
        <v>2374</v>
      </c>
      <c r="F1" s="2353">
        <f ca="1">J53</f>
        <v>30.13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63069</v>
      </c>
      <c r="C2" s="2043"/>
      <c r="D2" s="2041"/>
      <c r="E2" s="2042"/>
      <c r="F2" s="2042"/>
      <c r="G2" s="1577"/>
      <c r="H2" s="2043"/>
      <c r="I2" s="2043"/>
      <c r="J2" s="2043"/>
      <c r="K2" s="2044"/>
      <c r="L2" s="2043"/>
      <c r="M2" s="2043"/>
    </row>
    <row r="3" spans="1:33" ht="18" customHeight="1" thickBot="1">
      <c r="A3" s="833" t="s">
        <v>1727</v>
      </c>
      <c r="B3" s="834">
        <f ca="1">IF(ISERROR(B2*10000/F43),0,ROUND(B2*10000/F43,0))</f>
        <v>3004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4905</v>
      </c>
      <c r="D5" s="2461" t="s">
        <v>2461</v>
      </c>
      <c r="E5" s="2455"/>
      <c r="F5" s="2456"/>
      <c r="G5" s="1579"/>
      <c r="H5" s="781">
        <v>1</v>
      </c>
      <c r="I5" s="782" t="s">
        <v>2458</v>
      </c>
      <c r="J5" s="55">
        <f ca="1">J6+J10+J12</f>
        <v>0</v>
      </c>
      <c r="K5" s="2461" t="s">
        <v>2461</v>
      </c>
      <c r="L5" s="2455"/>
      <c r="M5" s="2456"/>
    </row>
    <row r="6" spans="1:33" ht="18" customHeight="1">
      <c r="A6" s="1816" t="s">
        <v>1824</v>
      </c>
      <c r="B6" s="3460" t="s">
        <v>2463</v>
      </c>
      <c r="C6" s="783">
        <f ca="1">ROUND(F6*F8*F7*(1-F9)/10000,0)</f>
        <v>4905</v>
      </c>
      <c r="D6" s="2462" t="s">
        <v>2462</v>
      </c>
      <c r="E6" s="784" t="s">
        <v>1738</v>
      </c>
      <c r="F6" s="785">
        <f ca="1">INDIRECT("'数据-取费表'!u"&amp;$G$1)</f>
        <v>0.8</v>
      </c>
      <c r="G6" s="1579"/>
      <c r="H6" s="2469" t="s">
        <v>2468</v>
      </c>
      <c r="I6" s="3460" t="s">
        <v>2463</v>
      </c>
      <c r="J6" s="783">
        <f ca="1">ROUND(M6*M8*M7*(1-M9)/10000,0)</f>
        <v>0</v>
      </c>
      <c r="K6" s="341" t="s">
        <v>1737</v>
      </c>
      <c r="L6" s="784" t="s">
        <v>1738</v>
      </c>
      <c r="M6" s="785">
        <f ca="1">INDIRECT("'数据-取费表'!z"&amp;$G$1)</f>
        <v>0</v>
      </c>
    </row>
    <row r="7" spans="1:33" ht="18" customHeight="1">
      <c r="A7" s="2465"/>
      <c r="B7" s="3461"/>
      <c r="C7" s="788"/>
      <c r="D7" s="789"/>
      <c r="E7" s="784" t="s">
        <v>1739</v>
      </c>
      <c r="F7" s="785">
        <f ca="1">IF(INDIRECT("'数据-取费表'!ah"&amp;$G$1)="",INDIRECT("'数据-取费表'!k"&amp;$G$1),INDIRECT("'数据-取费表'!ah"&amp;$G$1))</f>
        <v>209962.98</v>
      </c>
      <c r="G7" s="1579"/>
      <c r="H7" s="2454"/>
      <c r="I7" s="3461"/>
      <c r="J7" s="788"/>
      <c r="K7" s="789"/>
      <c r="L7" s="784" t="s">
        <v>1739</v>
      </c>
      <c r="M7" s="785">
        <f ca="1">F7</f>
        <v>209962.98</v>
      </c>
    </row>
    <row r="8" spans="1:33" ht="18" customHeight="1">
      <c r="A8" s="2458"/>
      <c r="B8" s="3462"/>
      <c r="C8" s="788"/>
      <c r="D8" s="789"/>
      <c r="E8" s="784" t="s">
        <v>1740</v>
      </c>
      <c r="F8" s="785">
        <f ca="1">INDIRECT("'数据-取费表'!ai"&amp;$G$1)</f>
        <v>365</v>
      </c>
      <c r="G8" s="1579"/>
      <c r="H8" s="2454"/>
      <c r="I8" s="3462"/>
      <c r="J8" s="788"/>
      <c r="K8" s="789"/>
      <c r="L8" s="784" t="s">
        <v>1740</v>
      </c>
      <c r="M8" s="785">
        <f ca="1">INDIRECT("'数据-取费表'!ai"&amp;$G$1)</f>
        <v>365</v>
      </c>
    </row>
    <row r="9" spans="1:33" ht="18" customHeight="1">
      <c r="A9" s="786"/>
      <c r="B9" s="3463"/>
      <c r="C9" s="788"/>
      <c r="D9" s="789"/>
      <c r="E9" s="784" t="s">
        <v>1741</v>
      </c>
      <c r="F9" s="794">
        <f ca="1">INDIRECT("'数据-取费表'!w"&amp;$G$1)</f>
        <v>0.2</v>
      </c>
      <c r="G9" s="1579"/>
      <c r="H9" s="2470"/>
      <c r="I9" s="3462"/>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2976</v>
      </c>
      <c r="E10" s="2463" t="s">
        <v>2464</v>
      </c>
      <c r="F10" s="2586"/>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37793</v>
      </c>
      <c r="D14" s="1965" t="s">
        <v>1745</v>
      </c>
      <c r="E14" s="1966"/>
      <c r="F14" s="805"/>
      <c r="G14" s="1579"/>
      <c r="H14" s="1635" t="s">
        <v>1830</v>
      </c>
      <c r="I14" s="2217" t="s">
        <v>2826</v>
      </c>
      <c r="J14" s="53">
        <f ca="1">C29</f>
        <v>57097</v>
      </c>
      <c r="K14" s="26"/>
      <c r="L14" s="801"/>
      <c r="M14" s="802"/>
    </row>
    <row r="15" spans="1:33" s="2050" customFormat="1" ht="18" customHeight="1" thickBot="1">
      <c r="A15" s="1634" t="s">
        <v>1885</v>
      </c>
      <c r="B15" s="784" t="s">
        <v>647</v>
      </c>
      <c r="C15" s="53">
        <f ca="1">ROUND(C14*F15,0)</f>
        <v>1134</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5680</v>
      </c>
      <c r="K16" s="1807" t="s">
        <v>1750</v>
      </c>
      <c r="L16" s="2451"/>
      <c r="M16" s="2456"/>
    </row>
    <row r="17" spans="1:33" s="2050" customFormat="1" ht="18" customHeight="1">
      <c r="A17" s="1634" t="s">
        <v>1887</v>
      </c>
      <c r="B17" s="784" t="s">
        <v>653</v>
      </c>
      <c r="C17" s="53">
        <f ca="1">ROUND(F17*(F43+INDIRECT("'数据-取费表'!S"&amp;$G$1))/10000,0)</f>
        <v>4199</v>
      </c>
      <c r="D17" s="784" t="s">
        <v>1751</v>
      </c>
      <c r="E17" s="784" t="s">
        <v>1752</v>
      </c>
      <c r="F17" s="56">
        <f>'数据-取费表'!B35</f>
        <v>200</v>
      </c>
      <c r="G17" s="1580"/>
      <c r="H17" s="1635" t="s">
        <v>1830</v>
      </c>
      <c r="I17" s="784" t="s">
        <v>656</v>
      </c>
      <c r="J17" s="53">
        <f ca="1">ROUND(IF(项目基本情况!B11="自然人",J5*M17,J18+J19+J20),0)</f>
        <v>4824</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567</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5.5500000000000001E-2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43693</v>
      </c>
      <c r="D19" s="261" t="s">
        <v>1757</v>
      </c>
      <c r="E19" s="1968"/>
      <c r="F19" s="56"/>
      <c r="G19" s="1579"/>
      <c r="H19" s="1634" t="s">
        <v>1885</v>
      </c>
      <c r="I19" s="784" t="s">
        <v>1758</v>
      </c>
      <c r="J19" s="53">
        <f ca="1">IF(K19="按租金收入计税",ROUND(J5*M19,1),ROUND(C29*F33*0.7,1))</f>
        <v>4796.1000000000004</v>
      </c>
      <c r="K19" s="811" t="s">
        <v>665</v>
      </c>
      <c r="L19" s="784" t="s">
        <v>1747</v>
      </c>
      <c r="M19" s="809">
        <f>IF(K19="按租金收入计税",'数据-取费表'!B51,'数据-取费表'!B50)</f>
        <v>1.2E-2</v>
      </c>
    </row>
    <row r="20" spans="1:33" s="2050" customFormat="1" ht="18" customHeight="1">
      <c r="A20" s="1635" t="s">
        <v>1889</v>
      </c>
      <c r="B20" s="784" t="s">
        <v>666</v>
      </c>
      <c r="C20" s="53">
        <f ca="1">ROUND(C19*F20,0)</f>
        <v>437</v>
      </c>
      <c r="D20" s="812" t="s">
        <v>1759</v>
      </c>
      <c r="E20" s="784" t="s">
        <v>1747</v>
      </c>
      <c r="F20" s="809">
        <f>'数据-取费表'!B37</f>
        <v>0.01</v>
      </c>
      <c r="G20" s="1580"/>
      <c r="H20" s="1637" t="s">
        <v>1880</v>
      </c>
      <c r="I20" s="341" t="s">
        <v>1760</v>
      </c>
      <c r="J20" s="54">
        <f ca="1">ROUND(M20*M21/10000,0)</f>
        <v>28</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0.01</v>
      </c>
      <c r="G21" s="1580"/>
      <c r="H21" s="2471"/>
      <c r="I21" s="793"/>
      <c r="J21" s="69"/>
      <c r="K21" s="816"/>
      <c r="L21" s="784" t="s">
        <v>1766</v>
      </c>
      <c r="M21" s="785">
        <f ca="1">INDIRECT("'数据-取费表'!r"&amp;$G$1)</f>
        <v>69987.66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856</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2636</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5.9999999999999995E-4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-5680</v>
      </c>
      <c r="K25" s="2513" t="s">
        <v>1777</v>
      </c>
      <c r="L25" s="2514"/>
      <c r="M25" s="2515"/>
    </row>
    <row r="26" spans="1:33" ht="18" customHeight="1">
      <c r="A26" s="1634" t="s">
        <v>1831</v>
      </c>
      <c r="B26" s="784" t="s">
        <v>2438</v>
      </c>
      <c r="C26" s="53">
        <f ca="1">ROUND((C19+C20)*F26,0)</f>
        <v>6620</v>
      </c>
      <c r="D26" s="812" t="s">
        <v>1778</v>
      </c>
      <c r="E26" s="795" t="s">
        <v>1779</v>
      </c>
      <c r="F26" s="794">
        <f ca="1">INDIRECT("'数据-取费表'!q"&amp;$G$1)</f>
        <v>0.15</v>
      </c>
      <c r="G26" s="1579"/>
      <c r="H26" s="2467" t="s">
        <v>1780</v>
      </c>
      <c r="I26" s="2218" t="s">
        <v>2827</v>
      </c>
      <c r="J26" s="783">
        <f ca="1">IF(J5&lt;&gt;0,ROUND(J25*(1-((1+M28)/(1+M26))^M27)/(M26-M28),0),0)</f>
        <v>0</v>
      </c>
      <c r="K26" s="814" t="s">
        <v>1781</v>
      </c>
      <c r="L26" s="784" t="s">
        <v>2419</v>
      </c>
      <c r="M26" s="794">
        <f ca="1">INDIRECT("'数据-取费表'!I"&amp;$G$1)</f>
        <v>0.05</v>
      </c>
    </row>
    <row r="27" spans="1:33" ht="18" customHeight="1">
      <c r="A27" s="1634" t="s">
        <v>1832</v>
      </c>
      <c r="B27" s="784" t="s">
        <v>686</v>
      </c>
      <c r="C27" s="53">
        <f ca="1">ROUND(F21*F26,4)</f>
        <v>1.5E-3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5.2900000000000003E-2</v>
      </c>
      <c r="D28" s="812" t="s">
        <v>2299</v>
      </c>
      <c r="E28" s="784" t="s">
        <v>1785</v>
      </c>
      <c r="F28" s="809">
        <f>'数据-取费表'!B41</f>
        <v>5.5500000000000001E-2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57097</v>
      </c>
      <c r="D29" s="2510"/>
      <c r="E29" s="2511"/>
      <c r="F29" s="2512"/>
      <c r="G29" s="1580"/>
      <c r="H29" s="823" t="s">
        <v>1787</v>
      </c>
      <c r="I29" s="824" t="s">
        <v>1788</v>
      </c>
      <c r="J29" s="825">
        <f ca="1">ROUND(J26/(1+F40)^F41,0)</f>
        <v>0</v>
      </c>
      <c r="K29" s="826" t="s">
        <v>1789</v>
      </c>
      <c r="L29" s="827"/>
      <c r="M29" s="828">
        <f ca="1">INDIRECT("'数据-取费表'!k"&amp;$G$1)</f>
        <v>209962.98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1782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875.9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259.3</v>
      </c>
      <c r="D32" s="1963" t="s">
        <v>1795</v>
      </c>
      <c r="E32" s="784" t="s">
        <v>1796</v>
      </c>
      <c r="F32" s="809">
        <f>'数据-取费表'!B41</f>
        <v>5.5500000000000001E-2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588.6</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28</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69987.66</v>
      </c>
      <c r="G35" s="2048"/>
      <c r="H35" s="2051"/>
      <c r="I35" s="837" t="s">
        <v>1814</v>
      </c>
      <c r="J35" s="838">
        <f ca="1">ROUND(C13*J36,0)</f>
        <v>0</v>
      </c>
      <c r="K35" s="2064"/>
      <c r="L35" s="2063"/>
      <c r="M35" s="2063"/>
    </row>
    <row r="36" spans="1:18" ht="18" customHeight="1">
      <c r="A36" s="1635" t="s">
        <v>1889</v>
      </c>
      <c r="B36" s="784" t="s">
        <v>1802</v>
      </c>
      <c r="C36" s="53">
        <f ca="1">ROUND(C29*F36,1)</f>
        <v>856.5</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0</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49.1</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3123</v>
      </c>
      <c r="D39" s="2513" t="s">
        <v>1806</v>
      </c>
      <c r="E39" s="2514"/>
      <c r="F39" s="2515"/>
      <c r="G39" s="2048"/>
      <c r="H39" s="2063"/>
      <c r="I39" s="837" t="s">
        <v>1818</v>
      </c>
      <c r="J39" s="845">
        <f ca="1">ROUND(J35/C39,3)</f>
        <v>0</v>
      </c>
      <c r="K39" s="2069"/>
      <c r="L39" s="2063"/>
      <c r="M39" s="2063"/>
    </row>
    <row r="40" spans="1:18" ht="18" customHeight="1">
      <c r="A40" s="781" t="s">
        <v>1895</v>
      </c>
      <c r="B40" s="2218" t="s">
        <v>2301</v>
      </c>
      <c r="C40" s="783">
        <f ca="1">ROUND(C39*(1-((1+F42)/(1+F40))^F41)/(F40-F42),0)</f>
        <v>60635</v>
      </c>
      <c r="D40" s="814" t="s">
        <v>1807</v>
      </c>
      <c r="E40" s="784" t="s">
        <v>2419</v>
      </c>
      <c r="F40" s="794">
        <f ca="1">INDIRECT("'数据-取费表'!I"&amp;$G$1)</f>
        <v>0.05</v>
      </c>
      <c r="G40" s="2048"/>
      <c r="H40" s="2048"/>
      <c r="I40" s="837" t="s">
        <v>1819</v>
      </c>
      <c r="J40" s="845">
        <f ca="1">1-J39</f>
        <v>1</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30.13</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v>
      </c>
      <c r="K42" s="2068"/>
      <c r="L42" s="1974"/>
      <c r="M42" s="1974"/>
    </row>
    <row r="43" spans="1:18" ht="18" customHeight="1" thickBot="1">
      <c r="A43" s="823" t="s">
        <v>1787</v>
      </c>
      <c r="B43" s="824" t="s">
        <v>1810</v>
      </c>
      <c r="C43" s="825">
        <f ca="1">ROUND(C40*10000/F43,0)</f>
        <v>2888</v>
      </c>
      <c r="D43" s="826" t="s">
        <v>1811</v>
      </c>
      <c r="E43" s="827" t="s">
        <v>1812</v>
      </c>
      <c r="F43" s="828">
        <f ca="1">INDIRECT("'数据-取费表'!k"&amp;$G$1)</f>
        <v>209962.98</v>
      </c>
      <c r="G43" s="2048"/>
      <c r="H43" s="1974"/>
      <c r="I43" s="847" t="s">
        <v>1822</v>
      </c>
      <c r="J43" s="848">
        <f ca="1">1-J42</f>
        <v>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-74266</v>
      </c>
      <c r="D46" s="2071"/>
      <c r="E46" s="2071"/>
      <c r="F46" s="2071"/>
      <c r="I46" s="2343" t="s">
        <v>2343</v>
      </c>
      <c r="J46" s="2344"/>
      <c r="K46" s="2345"/>
      <c r="L46" s="3110">
        <f ca="1">IF(OR(M47="住宅",D1="土地（套用方法）"),0,IF(L48&gt;J51,L60,J60))</f>
        <v>2434</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3087</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30.13</v>
      </c>
      <c r="O48" s="2363" t="s">
        <v>2379</v>
      </c>
      <c r="P48" s="2364" t="s">
        <v>2405</v>
      </c>
      <c r="Q48" s="2365">
        <f ca="1">C40+J29</f>
        <v>60635</v>
      </c>
      <c r="R48" s="2364" t="s">
        <v>2380</v>
      </c>
    </row>
    <row r="49" spans="1:18" s="2045" customFormat="1" ht="18" customHeight="1" thickBot="1">
      <c r="A49" s="786"/>
      <c r="B49" s="787"/>
      <c r="C49" s="788"/>
      <c r="D49" s="789"/>
      <c r="E49" s="784" t="s">
        <v>1739</v>
      </c>
      <c r="F49" s="785">
        <f ca="1">F7</f>
        <v>209962.98</v>
      </c>
      <c r="G49" s="2076"/>
      <c r="H49" s="2079"/>
      <c r="I49" s="3079" t="s">
        <v>2346</v>
      </c>
      <c r="J49" s="2348"/>
      <c r="K49" s="3109" t="s">
        <v>2352</v>
      </c>
      <c r="L49" s="2349"/>
      <c r="O49" s="2363" t="s">
        <v>2381</v>
      </c>
      <c r="P49" s="2364" t="s">
        <v>2406</v>
      </c>
      <c r="Q49" s="2365">
        <f ca="1">J60</f>
        <v>2434</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57097</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2">
        <f ca="1">ROUND(-PV(INDIRECT("'数据-取费表'!h"&amp;$G$1),L48,(C39-C13*J36),0),0)</f>
        <v>50976</v>
      </c>
      <c r="O51" s="2366" t="s">
        <v>2384</v>
      </c>
      <c r="P51" s="2364" t="s">
        <v>2385</v>
      </c>
      <c r="Q51" s="2367">
        <f ca="1">J58</f>
        <v>0.498</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30.13</v>
      </c>
      <c r="K53" s="3466" t="s">
        <v>2968</v>
      </c>
      <c r="L53" s="3467"/>
      <c r="O53" s="2366" t="s">
        <v>2388</v>
      </c>
      <c r="P53" s="2364" t="s">
        <v>2389</v>
      </c>
      <c r="Q53" s="2365">
        <f ca="1">J53</f>
        <v>30.13</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63069</v>
      </c>
      <c r="R54" s="2368" t="s">
        <v>2392</v>
      </c>
    </row>
    <row r="55" spans="1:18" s="2045" customFormat="1" ht="18" customHeight="1" thickTop="1" thickBot="1">
      <c r="A55" s="797">
        <v>2</v>
      </c>
      <c r="B55" s="798" t="s">
        <v>644</v>
      </c>
      <c r="C55" s="799">
        <f ca="1">C13</f>
        <v>0</v>
      </c>
      <c r="D55" s="795"/>
      <c r="E55" s="795"/>
      <c r="F55" s="800"/>
      <c r="I55" s="3115" t="s">
        <v>2355</v>
      </c>
      <c r="J55" s="3054">
        <f ca="1">ROUND(IF(J47="钢混",J57/J50,1-(1-2%)*(J50-J57)/J50),3)</f>
        <v>0.498</v>
      </c>
      <c r="K55" s="3116" t="s">
        <v>2356</v>
      </c>
      <c r="L55" s="2351"/>
      <c r="O55" s="2369" t="s">
        <v>2411</v>
      </c>
      <c r="P55" s="1579"/>
      <c r="Q55" s="1590"/>
      <c r="R55" s="1579"/>
    </row>
    <row r="56" spans="1:18" s="2045" customFormat="1" ht="42.75" customHeight="1" thickBot="1">
      <c r="A56" s="1636"/>
      <c r="B56" s="2217" t="s">
        <v>2302</v>
      </c>
      <c r="C56" s="53">
        <f ca="1">C29</f>
        <v>57097</v>
      </c>
      <c r="D56" s="2604"/>
      <c r="E56" s="784"/>
      <c r="F56" s="809"/>
      <c r="I56" s="3117" t="s">
        <v>2357</v>
      </c>
      <c r="J56" s="3127" t="s">
        <v>3088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885</v>
      </c>
      <c r="D57" s="26" t="s">
        <v>1750</v>
      </c>
      <c r="E57" s="2605"/>
      <c r="F57" s="56"/>
      <c r="I57" s="3118" t="s">
        <v>2358</v>
      </c>
      <c r="J57" s="3119">
        <f ca="1">IF(OR(M47="住宅",J51&lt;L48,J56="是"),"——",J51-L48)</f>
        <v>29.87</v>
      </c>
      <c r="K57" s="3079" t="s">
        <v>2363</v>
      </c>
      <c r="L57" s="1894" t="str">
        <f ca="1">IF(L48&lt;J51,"——",IF(L55="比较法",L49,IF(L55="基准地价",L50,L51)))</f>
        <v>——</v>
      </c>
      <c r="O57" s="2363" t="s">
        <v>2379</v>
      </c>
      <c r="P57" s="2364" t="s">
        <v>2409</v>
      </c>
      <c r="Q57" s="2365">
        <f ca="1">C40+J29</f>
        <v>60635</v>
      </c>
      <c r="R57" s="2364" t="s">
        <v>2380</v>
      </c>
    </row>
    <row r="58" spans="1:18" s="2045" customFormat="1" ht="28.5" customHeight="1" thickBot="1">
      <c r="A58" s="1635" t="s">
        <v>1824</v>
      </c>
      <c r="B58" s="784" t="s">
        <v>656</v>
      </c>
      <c r="C58" s="53">
        <f ca="1">ROUND(IF(项目基本情况!B11="自然人",C47*F58,C59+C60+C61),1)</f>
        <v>28</v>
      </c>
      <c r="D58" s="2603" t="s">
        <v>657</v>
      </c>
      <c r="E58" s="2604" t="s">
        <v>690</v>
      </c>
      <c r="F58" s="810" t="str">
        <f ca="1">IF(项目基本情况!B11="企业","",IF(INDIRECT("'数据-取费表'!c"&amp;$G$1)="住宅",5%,IF(F48*F49*F50/12/(1+'数据-取费表'!C42)&gt;20000,12%,7%)))</f>
        <v/>
      </c>
      <c r="I58" s="3118" t="s">
        <v>2359</v>
      </c>
      <c r="J58" s="3055">
        <f ca="1">IF(J55&lt;0.4,0.4,J55)</f>
        <v>0.498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5.5500000000000001E-2</v>
      </c>
      <c r="I59" s="3118" t="s">
        <v>2360</v>
      </c>
      <c r="J59" s="3119">
        <f ca="1">IF(OR(M47="住宅",J51&lt;L48,J56="是"),"——",ROUND(C29*J58,0))</f>
        <v>28434</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f ca="1">IF(OR(M47="住宅",J51&lt;L48,J56="是"),"0",ROUND(J59/(1+J52)^J53,0))</f>
        <v>2434</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28</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69987.66</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856.5</v>
      </c>
      <c r="D63" s="2604" t="s">
        <v>1803</v>
      </c>
      <c r="E63" s="784" t="s">
        <v>1747</v>
      </c>
      <c r="F63" s="817">
        <f t="shared" ca="1" si="0"/>
        <v>1.4999999999999999E-2</v>
      </c>
      <c r="I63" s="3123" t="s">
        <v>2370</v>
      </c>
      <c r="J63" s="3124">
        <v>70</v>
      </c>
      <c r="K63" s="3124">
        <v>50</v>
      </c>
      <c r="L63" s="3124">
        <v>80</v>
      </c>
      <c r="M63" s="3126">
        <v>0.02</v>
      </c>
      <c r="O63" s="2363" t="s">
        <v>2391</v>
      </c>
      <c r="P63" s="2364" t="s">
        <v>2408</v>
      </c>
      <c r="Q63" s="2365">
        <f ca="1">Q57+Q58</f>
        <v>60635</v>
      </c>
      <c r="R63" s="2368" t="s">
        <v>2392</v>
      </c>
    </row>
    <row r="64" spans="1:18" s="2045" customFormat="1" ht="16.5" thickBot="1">
      <c r="A64" s="1635" t="s">
        <v>1890</v>
      </c>
      <c r="B64" s="784" t="s">
        <v>679</v>
      </c>
      <c r="C64" s="53">
        <f ca="1">ROUND(C55*F64,1)</f>
        <v>0</v>
      </c>
      <c r="D64" s="2604" t="s">
        <v>680</v>
      </c>
      <c r="E64" s="784" t="s">
        <v>1747</v>
      </c>
      <c r="F64" s="818">
        <f t="shared" ca="1" si="0"/>
        <v>1.5E-3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-885</v>
      </c>
      <c r="D66" s="2603" t="s">
        <v>700</v>
      </c>
      <c r="E66" s="2602"/>
      <c r="F66" s="820"/>
      <c r="K66" s="2072"/>
      <c r="O66" s="2363" t="s">
        <v>2379</v>
      </c>
      <c r="P66" s="2364" t="s">
        <v>2409</v>
      </c>
      <c r="Q66" s="2365">
        <f ca="1">C40+J29</f>
        <v>60635</v>
      </c>
      <c r="R66" s="2364" t="s">
        <v>2380</v>
      </c>
    </row>
    <row r="67" spans="1:18" s="2045" customFormat="1" ht="20.25" thickBot="1">
      <c r="A67" s="781" t="s">
        <v>1780</v>
      </c>
      <c r="B67" s="2218" t="s">
        <v>2301</v>
      </c>
      <c r="C67" s="783">
        <f ca="1">ROUND(C66*(1-((1+F69)/(1+F67))^F68)/(F67-F69),0)</f>
        <v>-13631</v>
      </c>
      <c r="D67" s="814" t="s">
        <v>704</v>
      </c>
      <c r="E67" s="784" t="s">
        <v>705</v>
      </c>
      <c r="F67" s="794">
        <f ca="1">F40</f>
        <v>0.05</v>
      </c>
      <c r="K67" s="2072"/>
      <c r="O67" s="2363" t="s">
        <v>2381</v>
      </c>
      <c r="P67" s="2364" t="s">
        <v>2412</v>
      </c>
      <c r="Q67" s="2365">
        <f ca="1">L60</f>
        <v>0</v>
      </c>
      <c r="R67" s="2368" t="s">
        <v>2414</v>
      </c>
    </row>
    <row r="68" spans="1:18" ht="21.75" thickBot="1">
      <c r="A68" s="786"/>
      <c r="B68" s="787"/>
      <c r="C68" s="788"/>
      <c r="D68" s="821" t="s">
        <v>1808</v>
      </c>
      <c r="E68" s="784" t="s">
        <v>1784</v>
      </c>
      <c r="F68" s="822">
        <f ca="1">F41</f>
        <v>30.13</v>
      </c>
      <c r="O68" s="2366" t="s">
        <v>2383</v>
      </c>
      <c r="P68" s="2364" t="s">
        <v>2413</v>
      </c>
      <c r="Q68" s="2370">
        <f ca="1">L51</f>
        <v>50976</v>
      </c>
      <c r="R68" s="2371" t="s">
        <v>2416</v>
      </c>
    </row>
    <row r="69" spans="1:18" ht="20.25" thickBot="1">
      <c r="A69" s="790"/>
      <c r="B69" s="791"/>
      <c r="C69" s="792"/>
      <c r="D69" s="816"/>
      <c r="E69" s="784" t="s">
        <v>710</v>
      </c>
      <c r="F69" s="2336"/>
      <c r="O69" s="2366" t="s">
        <v>2384</v>
      </c>
      <c r="P69" s="2372" t="s">
        <v>2398</v>
      </c>
      <c r="Q69" s="2365">
        <f ca="1">ROUND(Q70-Q71*Q72,0)</f>
        <v>3123</v>
      </c>
      <c r="R69" s="2368"/>
    </row>
    <row r="70" spans="1:18" ht="15.75" thickBot="1">
      <c r="A70" s="823" t="s">
        <v>1787</v>
      </c>
      <c r="B70" s="824" t="s">
        <v>1810</v>
      </c>
      <c r="C70" s="825">
        <f ca="1">ROUND(C67*10000/F70,0)</f>
        <v>-649</v>
      </c>
      <c r="D70" s="826" t="s">
        <v>1811</v>
      </c>
      <c r="E70" s="827" t="s">
        <v>1812</v>
      </c>
      <c r="F70" s="828">
        <f ca="1">F43</f>
        <v>209962.98</v>
      </c>
      <c r="O70" s="2366" t="s">
        <v>2399</v>
      </c>
      <c r="P70" s="2372" t="s">
        <v>2400</v>
      </c>
      <c r="Q70" s="2365">
        <f ca="1">C39</f>
        <v>3123</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60635</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2471</v>
      </c>
      <c r="B1" s="3469"/>
      <c r="C1" s="3470"/>
      <c r="D1" s="3471">
        <f>SUM(I10,I15,I20,I21,I23)</f>
        <v>0</v>
      </c>
      <c r="E1" s="3471"/>
      <c r="F1" s="3471"/>
      <c r="G1" s="3471"/>
      <c r="H1" s="3471"/>
      <c r="I1" s="3472"/>
    </row>
    <row r="2" spans="1:9">
      <c r="A2" s="3473" t="s">
        <v>2472</v>
      </c>
      <c r="B2" s="3474" t="s">
        <v>2473</v>
      </c>
      <c r="C2" s="3474"/>
      <c r="D2" s="2472" t="s">
        <v>2474</v>
      </c>
      <c r="E2" s="2472" t="s">
        <v>2475</v>
      </c>
      <c r="F2" s="2472" t="s">
        <v>2476</v>
      </c>
      <c r="G2" s="2472" t="s">
        <v>2477</v>
      </c>
      <c r="H2" s="2472" t="s">
        <v>2478</v>
      </c>
      <c r="I2" s="2473" t="s">
        <v>2479</v>
      </c>
    </row>
    <row r="3" spans="1:9">
      <c r="A3" s="3473"/>
      <c r="B3" s="3474" t="s">
        <v>2480</v>
      </c>
      <c r="C3" s="3474"/>
      <c r="D3" s="2474"/>
      <c r="E3" s="2472"/>
      <c r="F3" s="2475"/>
      <c r="G3" s="2475"/>
      <c r="H3" s="2476"/>
      <c r="I3" s="2477">
        <f>ROUND(D3*E3*F3*G3*H3/10000,0)</f>
        <v>0</v>
      </c>
    </row>
    <row r="4" spans="1:9">
      <c r="A4" s="3473"/>
      <c r="B4" s="3474" t="s">
        <v>2481</v>
      </c>
      <c r="C4" s="3474"/>
      <c r="D4" s="2474"/>
      <c r="E4" s="2472"/>
      <c r="F4" s="2475"/>
      <c r="G4" s="2475"/>
      <c r="H4" s="2476"/>
      <c r="I4" s="2477">
        <f t="shared" ref="I4:I9" si="0">ROUND(D4*E4*F4*G4*H4/10000,0)</f>
        <v>0</v>
      </c>
    </row>
    <row r="5" spans="1:9">
      <c r="A5" s="3473"/>
      <c r="B5" s="3474" t="s">
        <v>2482</v>
      </c>
      <c r="C5" s="3474"/>
      <c r="D5" s="2474"/>
      <c r="E5" s="2472"/>
      <c r="F5" s="2475"/>
      <c r="G5" s="2475"/>
      <c r="H5" s="2476"/>
      <c r="I5" s="2477">
        <f t="shared" si="0"/>
        <v>0</v>
      </c>
    </row>
    <row r="6" spans="1:9">
      <c r="A6" s="3473"/>
      <c r="B6" s="3474" t="s">
        <v>2483</v>
      </c>
      <c r="C6" s="3474"/>
      <c r="D6" s="2474"/>
      <c r="E6" s="2472"/>
      <c r="F6" s="2475"/>
      <c r="G6" s="2475"/>
      <c r="H6" s="2476"/>
      <c r="I6" s="2477">
        <f t="shared" si="0"/>
        <v>0</v>
      </c>
    </row>
    <row r="7" spans="1:9">
      <c r="A7" s="3473"/>
      <c r="B7" s="3474" t="s">
        <v>2484</v>
      </c>
      <c r="C7" s="3474"/>
      <c r="D7" s="2474"/>
      <c r="E7" s="2472"/>
      <c r="F7" s="2475"/>
      <c r="G7" s="2475"/>
      <c r="H7" s="2476"/>
      <c r="I7" s="2477">
        <f t="shared" si="0"/>
        <v>0</v>
      </c>
    </row>
    <row r="8" spans="1:9">
      <c r="A8" s="3473"/>
      <c r="B8" s="3474" t="s">
        <v>2485</v>
      </c>
      <c r="C8" s="3474"/>
      <c r="D8" s="2474"/>
      <c r="E8" s="2472"/>
      <c r="F8" s="2475"/>
      <c r="G8" s="2475"/>
      <c r="H8" s="2476"/>
      <c r="I8" s="2477">
        <f t="shared" si="0"/>
        <v>0</v>
      </c>
    </row>
    <row r="9" spans="1:9">
      <c r="A9" s="3473"/>
      <c r="B9" s="3474" t="s">
        <v>2486</v>
      </c>
      <c r="C9" s="3474"/>
      <c r="D9" s="2474"/>
      <c r="E9" s="2472"/>
      <c r="F9" s="2475"/>
      <c r="G9" s="2475"/>
      <c r="H9" s="2476"/>
      <c r="I9" s="2477">
        <f t="shared" si="0"/>
        <v>0</v>
      </c>
    </row>
    <row r="10" spans="1:9">
      <c r="A10" s="3473"/>
      <c r="B10" s="3475" t="s">
        <v>2487</v>
      </c>
      <c r="C10" s="3475"/>
      <c r="D10" s="2478">
        <v>527</v>
      </c>
      <c r="E10" s="2478" t="e">
        <f>ROUND(D1*10000/D10/H9,0)</f>
        <v>#DIV/0!</v>
      </c>
      <c r="F10" s="2479"/>
      <c r="G10" s="2479"/>
      <c r="H10" s="2480"/>
      <c r="I10" s="2481">
        <f>SUM(I3:I9)</f>
        <v>0</v>
      </c>
    </row>
    <row r="11" spans="1:9" ht="14.25">
      <c r="A11" s="3473" t="s">
        <v>2488</v>
      </c>
      <c r="B11" s="3474" t="s">
        <v>2489</v>
      </c>
      <c r="C11" s="3474"/>
      <c r="D11" s="2474" t="s">
        <v>2490</v>
      </c>
      <c r="E11" s="2474" t="s">
        <v>2491</v>
      </c>
      <c r="F11" s="2475" t="s">
        <v>2492</v>
      </c>
      <c r="G11" s="2475" t="s">
        <v>2493</v>
      </c>
      <c r="H11" s="2482" t="s">
        <v>2494</v>
      </c>
      <c r="I11" s="2473" t="s">
        <v>2495</v>
      </c>
    </row>
    <row r="12" spans="1:9">
      <c r="A12" s="3473"/>
      <c r="B12" s="3474" t="s">
        <v>2496</v>
      </c>
      <c r="C12" s="3474"/>
      <c r="D12" s="2474"/>
      <c r="E12" s="2474"/>
      <c r="F12" s="2475"/>
      <c r="G12" s="2476"/>
      <c r="H12" s="2483"/>
      <c r="I12" s="2473">
        <f>ROUND(D12*E12*F12*G12/10000,0)</f>
        <v>0</v>
      </c>
    </row>
    <row r="13" spans="1:9">
      <c r="A13" s="3473"/>
      <c r="B13" s="3474" t="s">
        <v>2497</v>
      </c>
      <c r="C13" s="3474"/>
      <c r="D13" s="2474"/>
      <c r="E13" s="2474"/>
      <c r="F13" s="2475"/>
      <c r="G13" s="2476"/>
      <c r="H13" s="2483"/>
      <c r="I13" s="2473">
        <f>ROUND(D13*E13*F13*G13/10000,0)</f>
        <v>0</v>
      </c>
    </row>
    <row r="14" spans="1:9">
      <c r="A14" s="3473"/>
      <c r="B14" s="3474" t="s">
        <v>2498</v>
      </c>
      <c r="C14" s="3474"/>
      <c r="D14" s="2474"/>
      <c r="E14" s="2474"/>
      <c r="F14" s="2475"/>
      <c r="G14" s="2476"/>
      <c r="H14" s="2483"/>
      <c r="I14" s="2473">
        <f>ROUND(D14*E14*F14*G14/10000,0)</f>
        <v>0</v>
      </c>
    </row>
    <row r="15" spans="1:9">
      <c r="A15" s="3473"/>
      <c r="B15" s="3475" t="s">
        <v>2487</v>
      </c>
      <c r="C15" s="3475"/>
      <c r="D15" s="2478"/>
      <c r="E15" s="2478">
        <f>SUM(E12:E14)</f>
        <v>0</v>
      </c>
      <c r="F15" s="2479"/>
      <c r="G15" s="2476"/>
      <c r="H15" s="2483"/>
      <c r="I15" s="2484">
        <f>SUM(I12:I14)</f>
        <v>0</v>
      </c>
    </row>
    <row r="16" spans="1:9" ht="24">
      <c r="A16" s="3473" t="s">
        <v>2499</v>
      </c>
      <c r="B16" s="3474" t="s">
        <v>2500</v>
      </c>
      <c r="C16" s="3474"/>
      <c r="D16" s="2474" t="s">
        <v>2501</v>
      </c>
      <c r="E16" s="2485" t="s">
        <v>2502</v>
      </c>
      <c r="F16" s="2475" t="s">
        <v>2503</v>
      </c>
      <c r="G16" s="2476" t="s">
        <v>2493</v>
      </c>
      <c r="H16" s="2482" t="s">
        <v>2494</v>
      </c>
      <c r="I16" s="2473" t="s">
        <v>2495</v>
      </c>
    </row>
    <row r="17" spans="1:9" ht="14.25">
      <c r="A17" s="3473"/>
      <c r="B17" s="3474" t="s">
        <v>2504</v>
      </c>
      <c r="C17" s="3474"/>
      <c r="D17" s="2474"/>
      <c r="E17" s="2474"/>
      <c r="F17" s="2475"/>
      <c r="G17" s="2476"/>
      <c r="H17" s="2486"/>
      <c r="I17" s="2487">
        <f>ROUND(D17*E17*F17*G17/10000,0)</f>
        <v>0</v>
      </c>
    </row>
    <row r="18" spans="1:9" ht="14.25">
      <c r="A18" s="3473"/>
      <c r="B18" s="3474" t="s">
        <v>2505</v>
      </c>
      <c r="C18" s="3474"/>
      <c r="D18" s="2474"/>
      <c r="E18" s="2474"/>
      <c r="F18" s="2475"/>
      <c r="G18" s="2476"/>
      <c r="H18" s="2486"/>
      <c r="I18" s="2487">
        <f>ROUND(D18*E18*F18*G18/10000,0)</f>
        <v>0</v>
      </c>
    </row>
    <row r="19" spans="1:9" ht="14.25">
      <c r="A19" s="3473"/>
      <c r="B19" s="3474" t="s">
        <v>2506</v>
      </c>
      <c r="C19" s="3474"/>
      <c r="D19" s="2474"/>
      <c r="E19" s="2474"/>
      <c r="F19" s="2475"/>
      <c r="G19" s="2476"/>
      <c r="H19" s="2486"/>
      <c r="I19" s="2487">
        <f>ROUND(D19*E19*F19*G19/10000,0)</f>
        <v>0</v>
      </c>
    </row>
    <row r="20" spans="1:9">
      <c r="A20" s="3473"/>
      <c r="B20" s="3475" t="s">
        <v>2487</v>
      </c>
      <c r="C20" s="3475"/>
      <c r="D20" s="2478">
        <f>SUM(D17:D19)</f>
        <v>0</v>
      </c>
      <c r="E20" s="2478"/>
      <c r="F20" s="2479"/>
      <c r="G20" s="2476"/>
      <c r="H20" s="2483"/>
      <c r="I20" s="2484">
        <f>SUM(I17:I19)</f>
        <v>0</v>
      </c>
    </row>
    <row r="21" spans="1:9">
      <c r="A21" s="3473" t="s">
        <v>2507</v>
      </c>
      <c r="B21" s="3477"/>
      <c r="C21" s="3477"/>
      <c r="D21" s="3477"/>
      <c r="E21" s="3477"/>
      <c r="F21" s="3477"/>
      <c r="G21" s="3477"/>
      <c r="H21" s="2488">
        <v>0.1</v>
      </c>
      <c r="I21" s="2481">
        <f>ROUND(I10*H21,0)</f>
        <v>0</v>
      </c>
    </row>
    <row r="22" spans="1:9" ht="14.25">
      <c r="A22" s="3478" t="s">
        <v>2508</v>
      </c>
      <c r="B22" s="3479"/>
      <c r="C22" s="3480"/>
      <c r="D22" s="2489" t="s">
        <v>2509</v>
      </c>
      <c r="E22" s="2489" t="s">
        <v>2510</v>
      </c>
      <c r="F22" s="2490" t="s">
        <v>2511</v>
      </c>
      <c r="G22" s="2490" t="s">
        <v>2512</v>
      </c>
      <c r="H22" s="2482" t="s">
        <v>2513</v>
      </c>
      <c r="I22" s="2473" t="s">
        <v>2514</v>
      </c>
    </row>
    <row r="23" spans="1:9" ht="14.25" thickBot="1">
      <c r="A23" s="3481"/>
      <c r="B23" s="3482"/>
      <c r="C23" s="3483"/>
      <c r="D23" s="2491"/>
      <c r="E23" s="2491"/>
      <c r="F23" s="2491"/>
      <c r="G23" s="2492"/>
      <c r="H23" s="2493"/>
      <c r="I23" s="2494">
        <f>ROUND(E23*D23*F23*(1-G23)/10000,0)</f>
        <v>0</v>
      </c>
    </row>
    <row r="26" spans="1:9">
      <c r="A26" s="2495" t="s">
        <v>2515</v>
      </c>
      <c r="B26" s="2495"/>
      <c r="C26" s="2495"/>
      <c r="D26" s="2495"/>
      <c r="E26" s="3484">
        <f>C27-C30-C31-C32</f>
        <v>0</v>
      </c>
      <c r="F26" s="3484"/>
      <c r="G26" s="3484"/>
      <c r="H26" s="2996" t="s">
        <v>2843</v>
      </c>
    </row>
    <row r="27" spans="1:9">
      <c r="A27" s="2496">
        <v>1</v>
      </c>
      <c r="B27" s="2497" t="s">
        <v>2516</v>
      </c>
      <c r="C27" s="2497"/>
      <c r="D27" s="2497"/>
      <c r="E27" s="3485"/>
      <c r="F27" s="3485"/>
      <c r="G27" s="3485"/>
    </row>
    <row r="28" spans="1:9">
      <c r="A28" s="2498" t="s">
        <v>2517</v>
      </c>
      <c r="B28" s="2497" t="s">
        <v>2518</v>
      </c>
      <c r="C28" s="2497"/>
      <c r="D28" s="2497"/>
      <c r="E28" s="3485"/>
      <c r="F28" s="3485"/>
      <c r="G28" s="3485"/>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6"/>
      <c r="F32" s="3476"/>
      <c r="G32" s="3476"/>
    </row>
    <row r="33" spans="1:7" hidden="1">
      <c r="A33" s="3486" t="s">
        <v>2526</v>
      </c>
      <c r="B33" s="3487"/>
      <c r="C33" s="3487"/>
      <c r="D33" s="3488"/>
      <c r="E33" s="3484"/>
      <c r="F33" s="3484"/>
      <c r="G33" s="3484"/>
    </row>
    <row r="34" spans="1:7" hidden="1">
      <c r="A34" s="2500">
        <v>1</v>
      </c>
      <c r="B34" s="2497" t="s">
        <v>2527</v>
      </c>
      <c r="C34" s="2497"/>
      <c r="D34" s="2497"/>
      <c r="E34" s="3485"/>
      <c r="F34" s="3485"/>
      <c r="G34" s="3485"/>
    </row>
    <row r="35" spans="1:7" hidden="1">
      <c r="A35" s="2500">
        <v>2</v>
      </c>
      <c r="B35" s="2497" t="s">
        <v>2528</v>
      </c>
      <c r="C35" s="2497"/>
      <c r="D35" s="2497"/>
      <c r="E35" s="3485"/>
      <c r="F35" s="3485"/>
      <c r="G35" s="3485"/>
    </row>
    <row r="36" spans="1:7" hidden="1">
      <c r="A36" s="2500">
        <v>3</v>
      </c>
      <c r="B36" s="2497" t="s">
        <v>2529</v>
      </c>
      <c r="C36" s="2497"/>
      <c r="D36" s="2497"/>
      <c r="E36" s="3485"/>
      <c r="F36" s="3485"/>
      <c r="G36" s="3485"/>
    </row>
    <row r="37" spans="1:7" hidden="1">
      <c r="A37" s="2500">
        <v>4</v>
      </c>
      <c r="B37" s="2497" t="s">
        <v>2530</v>
      </c>
      <c r="C37" s="2497"/>
      <c r="D37" s="2497"/>
      <c r="E37" s="3485"/>
      <c r="F37" s="3485"/>
      <c r="G37" s="3485"/>
    </row>
    <row r="38" spans="1:7" hidden="1">
      <c r="A38" s="3486" t="s">
        <v>2531</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699876.6</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3674</v>
      </c>
      <c r="D12" s="758">
        <f>'数据-汇总表'!E5</f>
        <v>489913.62</v>
      </c>
      <c r="E12" s="757">
        <f>'数据-取费表'!B27</f>
        <v>75</v>
      </c>
      <c r="F12" s="755"/>
      <c r="G12" s="759"/>
    </row>
    <row r="13" spans="1:25" s="2169" customFormat="1" ht="13.5" customHeight="1">
      <c r="A13" s="2441" t="s">
        <v>2447</v>
      </c>
      <c r="B13" s="756" t="s">
        <v>612</v>
      </c>
      <c r="C13" s="757">
        <f>ROUND(D13*E13/10000,0)</f>
        <v>1575</v>
      </c>
      <c r="D13" s="758">
        <f>'数据-汇总表'!E6</f>
        <v>209962.97999999998</v>
      </c>
      <c r="E13" s="757">
        <f>'数据-取费表'!B28</f>
        <v>75</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0.85399999999999998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I5" sqref="I5:J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3091</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177692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3627</v>
      </c>
      <c r="C3" s="852" t="s">
        <v>722</v>
      </c>
      <c r="D3" s="851">
        <f>SUMIF('数据-汇总表'!$C19:$C33,D1,'数据-汇总表'!$E19:$E33)</f>
        <v>489913.62</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8" t="s">
        <v>522</v>
      </c>
      <c r="D4" s="3379"/>
      <c r="E4" s="3413" t="s">
        <v>523</v>
      </c>
      <c r="F4" s="3414"/>
      <c r="G4" s="3378" t="s">
        <v>524</v>
      </c>
      <c r="H4" s="3379"/>
      <c r="I4" s="3378" t="s">
        <v>525</v>
      </c>
      <c r="J4" s="3379"/>
      <c r="K4" s="853"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2931</v>
      </c>
      <c r="D5" s="3395"/>
      <c r="E5" s="3492" t="s">
        <v>3070</v>
      </c>
      <c r="F5" s="3416"/>
      <c r="G5" s="3398" t="s">
        <v>3092</v>
      </c>
      <c r="H5" s="3395"/>
      <c r="I5" s="3398" t="s">
        <v>3093</v>
      </c>
      <c r="J5" s="3395"/>
      <c r="K5" s="85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411" t="s">
        <v>2935</v>
      </c>
      <c r="F6" s="3412"/>
      <c r="G6" s="3392" t="s">
        <v>2935</v>
      </c>
      <c r="H6" s="3393"/>
      <c r="I6" s="3392" t="s">
        <v>2935</v>
      </c>
      <c r="J6" s="3393"/>
      <c r="K6" s="85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43679</v>
      </c>
      <c r="D7" s="520">
        <v>100</v>
      </c>
      <c r="E7" s="521">
        <f>C7</f>
        <v>43679</v>
      </c>
      <c r="F7" s="522">
        <f>SUMIF(58:58,YEAR(E7)&amp;"-"&amp;MONTH(E7),59:59)</f>
        <v>100</v>
      </c>
      <c r="G7" s="523">
        <f>C7</f>
        <v>43679</v>
      </c>
      <c r="H7" s="520">
        <f>SUMIF(58:58,YEAR(G7)&amp;"-"&amp;MONTH(G7),59:59)</f>
        <v>100</v>
      </c>
      <c r="I7" s="523">
        <f>C7</f>
        <v>43679</v>
      </c>
      <c r="J7" s="520">
        <f>SUMIF(58:58,YEAR(I7)&amp;"-"&amp;MONTH(I7),59:59)</f>
        <v>100</v>
      </c>
      <c r="K7" s="855"/>
      <c r="L7" s="2121"/>
      <c r="M7" s="2122"/>
      <c r="N7" s="2122"/>
      <c r="O7" s="2122"/>
      <c r="P7" s="3404" t="s">
        <v>530</v>
      </c>
      <c r="Q7" s="3406"/>
      <c r="R7" s="1555" t="s">
        <v>13</v>
      </c>
      <c r="S7" s="1556">
        <f t="shared" ref="S7:S15" si="0">F7</f>
        <v>100</v>
      </c>
      <c r="T7" s="1555" t="s">
        <v>13</v>
      </c>
      <c r="U7" s="1556">
        <f t="shared" ref="U7:U15" si="1">H7</f>
        <v>100</v>
      </c>
      <c r="V7" s="1555" t="s">
        <v>13</v>
      </c>
      <c r="W7" s="1556">
        <f t="shared" ref="W7:W15" si="2">J7</f>
        <v>100</v>
      </c>
      <c r="X7" s="1557"/>
      <c r="Y7" s="3404" t="s">
        <v>530</v>
      </c>
      <c r="Z7" s="3405"/>
      <c r="AA7" s="1558">
        <f>D7/F7</f>
        <v>1</v>
      </c>
      <c r="AB7" s="1558">
        <f>D7/H7</f>
        <v>1</v>
      </c>
      <c r="AC7" s="1558">
        <f>D7/J7</f>
        <v>1</v>
      </c>
    </row>
    <row r="8" spans="1:29" s="1216" customFormat="1" ht="15.75" thickBot="1">
      <c r="A8" s="2869"/>
      <c r="B8" s="2876" t="s">
        <v>531</v>
      </c>
      <c r="C8" s="525" t="s">
        <v>576</v>
      </c>
      <c r="D8" s="520">
        <v>100</v>
      </c>
      <c r="E8" s="856" t="s">
        <v>3074</v>
      </c>
      <c r="F8" s="522">
        <f>SUMIF(61:61,E8,62:62)-SUMIF(61:61,C8,62:62)+100</f>
        <v>100</v>
      </c>
      <c r="G8" s="525" t="s">
        <v>3074</v>
      </c>
      <c r="H8" s="520">
        <f>SUMIF(61:61,G8,62:62)-SUMIF(61:61,C8,62:62)+100</f>
        <v>100</v>
      </c>
      <c r="I8" s="856" t="s">
        <v>3074</v>
      </c>
      <c r="J8" s="520">
        <f>SUMIF(61:61,I8,62:62)-SUMIF(61:61,C8,62:62)+100</f>
        <v>100</v>
      </c>
      <c r="K8" s="855"/>
      <c r="L8" s="2121"/>
      <c r="M8" s="2122"/>
      <c r="N8" s="2122"/>
      <c r="O8" s="2122"/>
      <c r="P8" s="3404" t="s">
        <v>533</v>
      </c>
      <c r="Q8" s="3405"/>
      <c r="R8" s="1555" t="s">
        <v>13</v>
      </c>
      <c r="S8" s="1556">
        <f t="shared" si="0"/>
        <v>100</v>
      </c>
      <c r="T8" s="1555" t="s">
        <v>13</v>
      </c>
      <c r="U8" s="1556">
        <f t="shared" si="1"/>
        <v>100</v>
      </c>
      <c r="V8" s="1555" t="s">
        <v>13</v>
      </c>
      <c r="W8" s="1556">
        <f t="shared" si="2"/>
        <v>100</v>
      </c>
      <c r="X8" s="1557"/>
      <c r="Y8" s="3404" t="s">
        <v>533</v>
      </c>
      <c r="Z8" s="3405"/>
      <c r="AA8" s="1558">
        <f t="shared" ref="AA8:AA46" si="3">D8/F8</f>
        <v>1</v>
      </c>
      <c r="AB8" s="1558">
        <f t="shared" ref="AB8:AB46" si="4">D8/H8</f>
        <v>1</v>
      </c>
      <c r="AC8" s="1558">
        <f t="shared" ref="AC8:AC46" si="5">D8/J8</f>
        <v>1</v>
      </c>
    </row>
    <row r="9" spans="1:29" s="1216" customFormat="1" ht="15">
      <c r="A9" s="2870"/>
      <c r="B9" s="2877" t="s">
        <v>2756</v>
      </c>
      <c r="C9" s="3194" t="s">
        <v>3115</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2757</v>
      </c>
      <c r="C10" s="861" t="s">
        <v>3116</v>
      </c>
      <c r="D10" s="255">
        <v>100</v>
      </c>
      <c r="E10" s="862" t="s">
        <v>3116</v>
      </c>
      <c r="F10" s="863">
        <f>SUMIF(65:65,E10,66:66)-SUMIF(65:65,C10,66:66)+100</f>
        <v>100</v>
      </c>
      <c r="G10" s="861" t="s">
        <v>3116</v>
      </c>
      <c r="H10" s="255">
        <f>SUMIF(65:65,G10,66:66)-SUMIF(65:65,C10,66:66)+100</f>
        <v>100</v>
      </c>
      <c r="I10" s="861" t="s">
        <v>3116</v>
      </c>
      <c r="J10" s="255">
        <f>SUMIF(65:65,I10,66:66)-SUMIF(65:65,C10,66:66)+100</f>
        <v>100</v>
      </c>
      <c r="K10" s="864">
        <v>2</v>
      </c>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2758</v>
      </c>
      <c r="C11" s="533">
        <v>3</v>
      </c>
      <c r="D11" s="255">
        <v>100</v>
      </c>
      <c r="E11" s="534">
        <v>1.4</v>
      </c>
      <c r="F11" s="863">
        <f>LOOKUP(E11,68:68,69:69)-LOOKUP(C11,68:68,69:69)+100</f>
        <v>104</v>
      </c>
      <c r="G11" s="533">
        <v>1.5</v>
      </c>
      <c r="H11" s="255">
        <f>LOOKUP(G11,68:68,69:69)-LOOKUP(C11,68:68,69:69)+100</f>
        <v>104</v>
      </c>
      <c r="I11" s="533">
        <v>1.5</v>
      </c>
      <c r="J11" s="255">
        <f>LOOKUP(I11,68:68,69:69)-LOOKUP(C11,68:68,69:69)+100</f>
        <v>104</v>
      </c>
      <c r="K11" s="864">
        <v>2</v>
      </c>
      <c r="L11" s="2126"/>
      <c r="M11" s="2120"/>
      <c r="N11" s="2120"/>
      <c r="O11" s="2127"/>
      <c r="P11" s="3372"/>
      <c r="Q11" s="1147" t="str">
        <f t="shared" si="6"/>
        <v>容积率</v>
      </c>
      <c r="R11" s="1555" t="s">
        <v>11</v>
      </c>
      <c r="S11" s="1556">
        <f t="shared" si="0"/>
        <v>104</v>
      </c>
      <c r="T11" s="1555" t="s">
        <v>11</v>
      </c>
      <c r="U11" s="1556">
        <f t="shared" si="1"/>
        <v>104</v>
      </c>
      <c r="V11" s="1555" t="s">
        <v>11</v>
      </c>
      <c r="W11" s="1556">
        <f t="shared" si="2"/>
        <v>104</v>
      </c>
      <c r="X11" s="1557"/>
      <c r="Y11" s="3318"/>
      <c r="Z11" s="1146" t="str">
        <f t="shared" si="7"/>
        <v>容积率</v>
      </c>
      <c r="AA11" s="1558">
        <f t="shared" si="3"/>
        <v>0.96153846153846156</v>
      </c>
      <c r="AB11" s="1558">
        <f t="shared" si="4"/>
        <v>0.96153846153846156</v>
      </c>
      <c r="AC11" s="1558">
        <f t="shared" si="5"/>
        <v>0.96153846153846156</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18"/>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07" t="s">
        <v>540</v>
      </c>
      <c r="Q15" s="1559" t="str">
        <f t="shared" si="6"/>
        <v>居住社区成熟度</v>
      </c>
      <c r="R15" s="1560" t="s">
        <v>11</v>
      </c>
      <c r="S15" s="1561">
        <f t="shared" si="0"/>
        <v>100</v>
      </c>
      <c r="T15" s="1560" t="s">
        <v>11</v>
      </c>
      <c r="U15" s="1561">
        <f t="shared" si="1"/>
        <v>100</v>
      </c>
      <c r="V15" s="1560" t="s">
        <v>11</v>
      </c>
      <c r="W15" s="1561">
        <f t="shared" si="2"/>
        <v>100</v>
      </c>
      <c r="X15" s="1554"/>
      <c r="Y15" s="3407" t="s">
        <v>540</v>
      </c>
      <c r="Z15" s="1562" t="str">
        <f t="shared" si="7"/>
        <v>居住社区成熟度</v>
      </c>
      <c r="AA15" s="1563">
        <f t="shared" si="3"/>
        <v>1</v>
      </c>
      <c r="AB15" s="1563">
        <f t="shared" si="4"/>
        <v>1</v>
      </c>
      <c r="AC15" s="1563">
        <f t="shared" si="5"/>
        <v>1</v>
      </c>
    </row>
    <row r="16" spans="1:29" ht="15">
      <c r="A16" s="532"/>
      <c r="B16" s="869"/>
      <c r="C16" s="576" t="s">
        <v>3122</v>
      </c>
      <c r="D16" s="555"/>
      <c r="E16" s="556" t="s">
        <v>3122</v>
      </c>
      <c r="F16" s="557"/>
      <c r="G16" s="558" t="s">
        <v>3122</v>
      </c>
      <c r="H16" s="559"/>
      <c r="I16" s="556" t="s">
        <v>3122</v>
      </c>
      <c r="J16" s="555"/>
      <c r="K16" s="870"/>
      <c r="L16" s="2128"/>
      <c r="M16" s="2120"/>
      <c r="N16" s="2120"/>
      <c r="O16" s="2127"/>
      <c r="P16" s="3408"/>
      <c r="Q16" s="1559"/>
      <c r="R16" s="1560"/>
      <c r="S16" s="1561"/>
      <c r="T16" s="1560"/>
      <c r="U16" s="1561"/>
      <c r="V16" s="1560"/>
      <c r="W16" s="1561"/>
      <c r="X16" s="1554"/>
      <c r="Y16" s="340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08"/>
      <c r="Q17" s="1559" t="str">
        <f>B17</f>
        <v>交通便捷度</v>
      </c>
      <c r="R17" s="1560" t="s">
        <v>11</v>
      </c>
      <c r="S17" s="1561">
        <f>F17</f>
        <v>100</v>
      </c>
      <c r="T17" s="1560" t="s">
        <v>11</v>
      </c>
      <c r="U17" s="1561">
        <f>H17</f>
        <v>100</v>
      </c>
      <c r="V17" s="1560" t="s">
        <v>11</v>
      </c>
      <c r="W17" s="1561">
        <f>J17</f>
        <v>100</v>
      </c>
      <c r="X17" s="1554"/>
      <c r="Y17" s="3408"/>
      <c r="Z17" s="1562" t="str">
        <f>Q17</f>
        <v>交通便捷度</v>
      </c>
      <c r="AA17" s="1563">
        <f t="shared" si="3"/>
        <v>1</v>
      </c>
      <c r="AB17" s="1563">
        <f t="shared" si="4"/>
        <v>1</v>
      </c>
      <c r="AC17" s="1563">
        <f t="shared" si="5"/>
        <v>1</v>
      </c>
    </row>
    <row r="18" spans="1:29" ht="15">
      <c r="A18" s="532"/>
      <c r="B18" s="595"/>
      <c r="C18" s="873" t="s">
        <v>3071</v>
      </c>
      <c r="D18" s="559"/>
      <c r="E18" s="568" t="s">
        <v>3071</v>
      </c>
      <c r="F18" s="563"/>
      <c r="G18" s="569" t="s">
        <v>3071</v>
      </c>
      <c r="H18" s="555"/>
      <c r="I18" s="568" t="s">
        <v>3071</v>
      </c>
      <c r="J18" s="555"/>
      <c r="K18" s="870"/>
      <c r="L18" s="2128"/>
      <c r="M18" s="2120"/>
      <c r="N18" s="2120"/>
      <c r="O18" s="2127"/>
      <c r="P18" s="3408"/>
      <c r="Q18" s="1559"/>
      <c r="R18" s="1560"/>
      <c r="S18" s="1561"/>
      <c r="T18" s="1560"/>
      <c r="U18" s="1561"/>
      <c r="V18" s="1560"/>
      <c r="W18" s="1561"/>
      <c r="X18" s="1554"/>
      <c r="Y18" s="3408"/>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08"/>
      <c r="Q19" s="1559" t="str">
        <f>B19</f>
        <v>公共配套设施</v>
      </c>
      <c r="R19" s="1560" t="s">
        <v>11</v>
      </c>
      <c r="S19" s="1561">
        <f>F19</f>
        <v>100</v>
      </c>
      <c r="T19" s="1560" t="s">
        <v>11</v>
      </c>
      <c r="U19" s="1561">
        <f>H19</f>
        <v>100</v>
      </c>
      <c r="V19" s="1560" t="s">
        <v>11</v>
      </c>
      <c r="W19" s="1561">
        <f>J19</f>
        <v>100</v>
      </c>
      <c r="X19" s="1554"/>
      <c r="Y19" s="3408"/>
      <c r="Z19" s="1562" t="str">
        <f>Q19</f>
        <v>公共配套设施</v>
      </c>
      <c r="AA19" s="1563">
        <f t="shared" si="3"/>
        <v>1</v>
      </c>
      <c r="AB19" s="1563">
        <f t="shared" si="4"/>
        <v>1</v>
      </c>
      <c r="AC19" s="1563">
        <f t="shared" si="5"/>
        <v>1</v>
      </c>
    </row>
    <row r="20" spans="1:29" ht="15">
      <c r="A20" s="532"/>
      <c r="B20" s="595"/>
      <c r="C20" s="576" t="s">
        <v>3122</v>
      </c>
      <c r="D20" s="555"/>
      <c r="E20" s="556" t="s">
        <v>3122</v>
      </c>
      <c r="F20" s="557"/>
      <c r="G20" s="558" t="s">
        <v>3122</v>
      </c>
      <c r="H20" s="555"/>
      <c r="I20" s="556" t="s">
        <v>3122</v>
      </c>
      <c r="J20" s="555"/>
      <c r="K20" s="870"/>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8"/>
      <c r="Q21" s="2544" t="str">
        <f>B21</f>
        <v>基础设施水平</v>
      </c>
      <c r="R21" s="1560" t="s">
        <v>11</v>
      </c>
      <c r="S21" s="1561">
        <f>F21</f>
        <v>100</v>
      </c>
      <c r="T21" s="1560" t="s">
        <v>11</v>
      </c>
      <c r="U21" s="1561">
        <f>H21</f>
        <v>100</v>
      </c>
      <c r="V21" s="1560" t="s">
        <v>11</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4"/>
      <c r="L22" s="2128"/>
      <c r="M22" s="2120"/>
      <c r="N22" s="2120"/>
      <c r="O22" s="2127"/>
      <c r="P22" s="3408"/>
      <c r="Q22" s="2544"/>
      <c r="R22" s="1560"/>
      <c r="S22" s="1561"/>
      <c r="T22" s="1560"/>
      <c r="U22" s="1561"/>
      <c r="V22" s="1560"/>
      <c r="W22" s="1561"/>
      <c r="X22" s="2546"/>
      <c r="Y22" s="3408"/>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08"/>
      <c r="Q23" s="1559" t="str">
        <f>B23</f>
        <v>自然及人文环境</v>
      </c>
      <c r="R23" s="1560" t="s">
        <v>11</v>
      </c>
      <c r="S23" s="1561">
        <f>F23</f>
        <v>100</v>
      </c>
      <c r="T23" s="1560" t="s">
        <v>11</v>
      </c>
      <c r="U23" s="1561">
        <f>H23</f>
        <v>100</v>
      </c>
      <c r="V23" s="1560" t="s">
        <v>11</v>
      </c>
      <c r="W23" s="1561">
        <f>J23</f>
        <v>100</v>
      </c>
      <c r="X23" s="1554"/>
      <c r="Y23" s="3408"/>
      <c r="Z23" s="1562" t="str">
        <f>Q23</f>
        <v>自然及人文环境</v>
      </c>
      <c r="AA23" s="1563">
        <f t="shared" si="3"/>
        <v>1</v>
      </c>
      <c r="AB23" s="1563">
        <f t="shared" si="4"/>
        <v>1</v>
      </c>
      <c r="AC23" s="1563">
        <f t="shared" si="5"/>
        <v>1</v>
      </c>
    </row>
    <row r="24" spans="1:29" ht="15">
      <c r="A24" s="532"/>
      <c r="B24" s="595"/>
      <c r="C24" s="576" t="s">
        <v>3071</v>
      </c>
      <c r="D24" s="555"/>
      <c r="E24" s="556" t="s">
        <v>3071</v>
      </c>
      <c r="F24" s="557"/>
      <c r="G24" s="558" t="s">
        <v>3071</v>
      </c>
      <c r="H24" s="555"/>
      <c r="I24" s="556" t="s">
        <v>3071</v>
      </c>
      <c r="J24" s="555"/>
      <c r="K24" s="870"/>
      <c r="L24" s="2128"/>
      <c r="M24" s="2120"/>
      <c r="N24" s="2120"/>
      <c r="O24" s="2127"/>
      <c r="P24" s="3408"/>
      <c r="Q24" s="1559"/>
      <c r="R24" s="1560"/>
      <c r="S24" s="1561"/>
      <c r="T24" s="1560"/>
      <c r="U24" s="1561"/>
      <c r="V24" s="1560"/>
      <c r="W24" s="1561"/>
      <c r="X24" s="1554"/>
      <c r="Y24" s="3408"/>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8"/>
      <c r="Q25" s="1559" t="str">
        <f t="shared" ref="Q25:Q46" si="11">B25</f>
        <v>楼层-1</v>
      </c>
      <c r="R25" s="1560" t="s">
        <v>11</v>
      </c>
      <c r="S25" s="1561">
        <f>F25</f>
        <v>100</v>
      </c>
      <c r="T25" s="1560" t="s">
        <v>11</v>
      </c>
      <c r="U25" s="1561">
        <f>H25</f>
        <v>100</v>
      </c>
      <c r="V25" s="1560" t="s">
        <v>11</v>
      </c>
      <c r="W25" s="1561">
        <f>J25</f>
        <v>100</v>
      </c>
      <c r="X25" s="1554"/>
      <c r="Y25" s="340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8"/>
      <c r="Q26" s="1559" t="str">
        <f t="shared" si="11"/>
        <v>朝向</v>
      </c>
      <c r="R26" s="1560" t="s">
        <v>11</v>
      </c>
      <c r="S26" s="1561">
        <f>F26</f>
        <v>100</v>
      </c>
      <c r="T26" s="1560" t="s">
        <v>11</v>
      </c>
      <c r="U26" s="1561">
        <f>H26</f>
        <v>100</v>
      </c>
      <c r="V26" s="1560" t="s">
        <v>11</v>
      </c>
      <c r="W26" s="1561">
        <f>J26</f>
        <v>100</v>
      </c>
      <c r="X26" s="1554"/>
      <c r="Y26" s="340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8"/>
      <c r="Q27" s="1147" t="str">
        <f t="shared" si="11"/>
        <v>道路级别</v>
      </c>
      <c r="R27" s="1555" t="s">
        <v>11</v>
      </c>
      <c r="S27" s="1556">
        <f>F27</f>
        <v>100</v>
      </c>
      <c r="T27" s="1555" t="s">
        <v>11</v>
      </c>
      <c r="U27" s="1556">
        <f>H27</f>
        <v>100</v>
      </c>
      <c r="V27" s="1555" t="s">
        <v>11</v>
      </c>
      <c r="W27" s="1556">
        <f>J27</f>
        <v>100</v>
      </c>
      <c r="X27" s="1557"/>
      <c r="Y27" s="340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8"/>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8"/>
      <c r="Q29" s="1559">
        <f t="shared" si="11"/>
        <v>111</v>
      </c>
      <c r="R29" s="1560" t="s">
        <v>11</v>
      </c>
      <c r="S29" s="1561">
        <f t="shared" si="12"/>
        <v>100</v>
      </c>
      <c r="T29" s="1560" t="s">
        <v>11</v>
      </c>
      <c r="U29" s="1561">
        <f t="shared" si="13"/>
        <v>100</v>
      </c>
      <c r="V29" s="1560" t="s">
        <v>11</v>
      </c>
      <c r="W29" s="1561">
        <f t="shared" si="14"/>
        <v>100</v>
      </c>
      <c r="X29" s="1554"/>
      <c r="Y29" s="340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8"/>
      <c r="Q30" s="1559">
        <f t="shared" si="11"/>
        <v>111</v>
      </c>
      <c r="R30" s="1560" t="s">
        <v>11</v>
      </c>
      <c r="S30" s="1561">
        <f t="shared" si="12"/>
        <v>100</v>
      </c>
      <c r="T30" s="1560" t="s">
        <v>11</v>
      </c>
      <c r="U30" s="1561">
        <f t="shared" si="13"/>
        <v>100</v>
      </c>
      <c r="V30" s="1560" t="s">
        <v>11</v>
      </c>
      <c r="W30" s="1561">
        <f t="shared" si="14"/>
        <v>100</v>
      </c>
      <c r="X30" s="1554"/>
      <c r="Y30" s="3408"/>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8"/>
      <c r="Q31" s="1559">
        <f t="shared" si="11"/>
        <v>111</v>
      </c>
      <c r="R31" s="1560" t="s">
        <v>11</v>
      </c>
      <c r="S31" s="1561">
        <f t="shared" si="12"/>
        <v>100</v>
      </c>
      <c r="T31" s="1560" t="s">
        <v>11</v>
      </c>
      <c r="U31" s="1561">
        <f t="shared" si="13"/>
        <v>100</v>
      </c>
      <c r="V31" s="1560" t="s">
        <v>11</v>
      </c>
      <c r="W31" s="1561">
        <f t="shared" si="14"/>
        <v>100</v>
      </c>
      <c r="X31" s="1554"/>
      <c r="Y31" s="3408"/>
      <c r="Z31" s="1562">
        <f t="shared" si="15"/>
        <v>111</v>
      </c>
      <c r="AA31" s="1563">
        <f t="shared" si="3"/>
        <v>1</v>
      </c>
      <c r="AB31" s="1563">
        <f t="shared" si="4"/>
        <v>1</v>
      </c>
      <c r="AC31" s="1563">
        <f t="shared" si="5"/>
        <v>1</v>
      </c>
    </row>
    <row r="32" spans="1:29" ht="15">
      <c r="A32" s="2863" t="s">
        <v>2755</v>
      </c>
      <c r="B32" s="172" t="s">
        <v>725</v>
      </c>
      <c r="C32" s="878" t="s">
        <v>3118</v>
      </c>
      <c r="D32" s="597">
        <v>100</v>
      </c>
      <c r="E32" s="879" t="s">
        <v>3118</v>
      </c>
      <c r="F32" s="575">
        <f>SUMIF(100:100,E32,101:101)-SUMIF(100:100,C32,101:101)+100</f>
        <v>100</v>
      </c>
      <c r="G32" s="878" t="s">
        <v>3118</v>
      </c>
      <c r="H32" s="597">
        <f>SUMIF(100:100,G32,101:101)-SUMIF(100:100,C32,101:101)+100</f>
        <v>100</v>
      </c>
      <c r="I32" s="879" t="s">
        <v>3118</v>
      </c>
      <c r="J32" s="540">
        <f>SUMIF(100:100,I32,101:101)-SUMIF(100:100,C32,101:101)+100</f>
        <v>100</v>
      </c>
      <c r="K32" s="864">
        <v>2</v>
      </c>
      <c r="L32" s="2128"/>
      <c r="M32" s="2120"/>
      <c r="N32" s="2120"/>
      <c r="O32" s="2127"/>
      <c r="P32" s="3409" t="s">
        <v>550</v>
      </c>
      <c r="Q32" s="1559" t="str">
        <f t="shared" si="11"/>
        <v>建筑类型</v>
      </c>
      <c r="R32" s="1560" t="s">
        <v>11</v>
      </c>
      <c r="S32" s="1561">
        <f t="shared" si="12"/>
        <v>100</v>
      </c>
      <c r="T32" s="1560" t="s">
        <v>11</v>
      </c>
      <c r="U32" s="1561">
        <f t="shared" si="13"/>
        <v>100</v>
      </c>
      <c r="V32" s="1560" t="s">
        <v>11</v>
      </c>
      <c r="W32" s="1561">
        <f t="shared" si="14"/>
        <v>100</v>
      </c>
      <c r="X32" s="1554"/>
      <c r="Y32" s="3410" t="s">
        <v>550</v>
      </c>
      <c r="Z32" s="1562" t="str">
        <f t="shared" si="15"/>
        <v>建筑类型</v>
      </c>
      <c r="AA32" s="1563">
        <f t="shared" si="3"/>
        <v>1</v>
      </c>
      <c r="AB32" s="1563">
        <f t="shared" si="4"/>
        <v>1</v>
      </c>
      <c r="AC32" s="1563">
        <f t="shared" si="5"/>
        <v>1</v>
      </c>
    </row>
    <row r="33" spans="1:29" s="1335" customFormat="1" ht="15">
      <c r="A33" s="603"/>
      <c r="B33" s="527" t="s">
        <v>726</v>
      </c>
      <c r="C33" s="880">
        <f>'数据-基础表'!I13</f>
        <v>489913.62</v>
      </c>
      <c r="D33" s="255">
        <v>100</v>
      </c>
      <c r="E33" s="534">
        <v>150000</v>
      </c>
      <c r="F33" s="863">
        <f>LOOKUP(E33,103:103,104:104)-LOOKUP(C33,103:103,104:104)+100</f>
        <v>99</v>
      </c>
      <c r="G33" s="533">
        <v>37000</v>
      </c>
      <c r="H33" s="255">
        <f>LOOKUP(G33,103:103,104:104)-LOOKUP(C33,103:103,104:104)+100</f>
        <v>95</v>
      </c>
      <c r="I33" s="534">
        <v>200000</v>
      </c>
      <c r="J33" s="255">
        <f>LOOKUP(I33,103:103,104:104)-LOOKUP(C33,103:103,104:104)+100</f>
        <v>100</v>
      </c>
      <c r="K33" s="865"/>
      <c r="L33" s="2126"/>
      <c r="M33" s="2157"/>
      <c r="N33" s="2157"/>
      <c r="O33" s="2129"/>
      <c r="P33" s="3410"/>
      <c r="Q33" s="1591" t="str">
        <f t="shared" si="11"/>
        <v>项目建筑规模</v>
      </c>
      <c r="R33" s="1564" t="s">
        <v>11</v>
      </c>
      <c r="S33" s="1565">
        <f t="shared" si="12"/>
        <v>99</v>
      </c>
      <c r="T33" s="1564" t="s">
        <v>11</v>
      </c>
      <c r="U33" s="1565">
        <f t="shared" si="13"/>
        <v>95</v>
      </c>
      <c r="V33" s="1564" t="s">
        <v>11</v>
      </c>
      <c r="W33" s="1565">
        <f t="shared" si="14"/>
        <v>100</v>
      </c>
      <c r="X33" s="1566"/>
      <c r="Y33" s="3410"/>
      <c r="Z33" s="1567" t="str">
        <f t="shared" si="15"/>
        <v>项目建筑规模</v>
      </c>
      <c r="AA33" s="1563">
        <f t="shared" si="3"/>
        <v>1.0101010101010102</v>
      </c>
      <c r="AB33" s="1563">
        <f t="shared" si="4"/>
        <v>1.0526315789473684</v>
      </c>
      <c r="AC33" s="1563">
        <f t="shared" si="5"/>
        <v>1</v>
      </c>
    </row>
    <row r="34" spans="1:29" ht="15">
      <c r="A34" s="594"/>
      <c r="B34" s="527" t="s">
        <v>727</v>
      </c>
      <c r="C34" s="881" t="s">
        <v>3087</v>
      </c>
      <c r="D34" s="540">
        <v>100</v>
      </c>
      <c r="E34" s="882" t="s">
        <v>3087</v>
      </c>
      <c r="F34" s="575">
        <f>SUMIF(105:105,E34,106:106)-SUMIF(105:105,C34,106:106)+100</f>
        <v>100</v>
      </c>
      <c r="G34" s="881" t="s">
        <v>3087</v>
      </c>
      <c r="H34" s="540">
        <f>SUMIF(105:105,G34,106:106)-SUMIF(105:105,C34,106:106)+100</f>
        <v>100</v>
      </c>
      <c r="I34" s="882" t="s">
        <v>3087</v>
      </c>
      <c r="J34" s="540">
        <f>SUMIF(105:105,I34,106:106)-SUMIF(105:105,C34,106:106)+100</f>
        <v>100</v>
      </c>
      <c r="K34" s="864">
        <v>2</v>
      </c>
      <c r="L34" s="2128"/>
      <c r="M34" s="2120"/>
      <c r="N34" s="2120"/>
      <c r="O34" s="2127"/>
      <c r="P34" s="3410"/>
      <c r="Q34" s="1559" t="str">
        <f t="shared" si="11"/>
        <v>建筑结构</v>
      </c>
      <c r="R34" s="1560" t="s">
        <v>11</v>
      </c>
      <c r="S34" s="1561">
        <f t="shared" si="12"/>
        <v>100</v>
      </c>
      <c r="T34" s="1560" t="s">
        <v>11</v>
      </c>
      <c r="U34" s="1561">
        <f t="shared" si="13"/>
        <v>100</v>
      </c>
      <c r="V34" s="1560" t="s">
        <v>11</v>
      </c>
      <c r="W34" s="1561">
        <f t="shared" si="14"/>
        <v>100</v>
      </c>
      <c r="X34" s="1554"/>
      <c r="Y34" s="3410"/>
      <c r="Z34" s="1562" t="str">
        <f t="shared" si="15"/>
        <v>建筑结构</v>
      </c>
      <c r="AA34" s="1563">
        <f t="shared" si="3"/>
        <v>1</v>
      </c>
      <c r="AB34" s="1563">
        <f t="shared" si="4"/>
        <v>1</v>
      </c>
      <c r="AC34" s="1563">
        <f t="shared" si="5"/>
        <v>1</v>
      </c>
    </row>
    <row r="35" spans="1:29" ht="15">
      <c r="A35" s="594"/>
      <c r="B35" s="527" t="s">
        <v>728</v>
      </c>
      <c r="C35" s="599" t="s">
        <v>3073</v>
      </c>
      <c r="D35" s="540">
        <v>100</v>
      </c>
      <c r="E35" s="874" t="s">
        <v>3073</v>
      </c>
      <c r="F35" s="575">
        <f>SUMIF(107:107,E35,108:108)-SUMIF(107:107,C35,108:108)+100</f>
        <v>100</v>
      </c>
      <c r="G35" s="599" t="s">
        <v>3073</v>
      </c>
      <c r="H35" s="540">
        <f>SUMIF(107:107,G35,108:108)-SUMIF(107:107,C35,108:108)+100</f>
        <v>100</v>
      </c>
      <c r="I35" s="874" t="s">
        <v>3072</v>
      </c>
      <c r="J35" s="540">
        <f>SUMIF(107:107,I35,108:108)-SUMIF(107:107,C35,108:108)+100</f>
        <v>105</v>
      </c>
      <c r="K35" s="864">
        <v>5</v>
      </c>
      <c r="L35" s="2128"/>
      <c r="M35" s="2120"/>
      <c r="N35" s="2120"/>
      <c r="O35" s="2127"/>
      <c r="P35" s="3410"/>
      <c r="Q35" s="1559" t="str">
        <f t="shared" si="11"/>
        <v>建筑品质</v>
      </c>
      <c r="R35" s="1560" t="s">
        <v>11</v>
      </c>
      <c r="S35" s="1561">
        <f t="shared" si="12"/>
        <v>100</v>
      </c>
      <c r="T35" s="1560" t="s">
        <v>11</v>
      </c>
      <c r="U35" s="1561">
        <f t="shared" si="13"/>
        <v>100</v>
      </c>
      <c r="V35" s="1560" t="s">
        <v>11</v>
      </c>
      <c r="W35" s="1561">
        <f t="shared" si="14"/>
        <v>105</v>
      </c>
      <c r="X35" s="1554"/>
      <c r="Y35" s="3410"/>
      <c r="Z35" s="1562" t="str">
        <f t="shared" si="15"/>
        <v>建筑品质</v>
      </c>
      <c r="AA35" s="1563">
        <f t="shared" si="3"/>
        <v>1</v>
      </c>
      <c r="AB35" s="1563">
        <f t="shared" si="4"/>
        <v>1</v>
      </c>
      <c r="AC35" s="1563">
        <f t="shared" si="5"/>
        <v>0.95238095238095233</v>
      </c>
    </row>
    <row r="36" spans="1:29" ht="15">
      <c r="A36" s="594"/>
      <c r="B36" s="527" t="s">
        <v>729</v>
      </c>
      <c r="C36" s="599" t="s">
        <v>3138</v>
      </c>
      <c r="D36" s="540">
        <v>100</v>
      </c>
      <c r="E36" s="874" t="s">
        <v>3138</v>
      </c>
      <c r="F36" s="575">
        <f>SUMIF(109:109,E36,110:110)-SUMIF(109:109,C36,110:110)+100</f>
        <v>100</v>
      </c>
      <c r="G36" s="599" t="s">
        <v>3138</v>
      </c>
      <c r="H36" s="540">
        <f>SUMIF(109:109,G36,110:110)-SUMIF(109:109,C36,110:110)+100</f>
        <v>100</v>
      </c>
      <c r="I36" s="874" t="s">
        <v>3138</v>
      </c>
      <c r="J36" s="540">
        <f>SUMIF(109:109,I36,110:110)-SUMIF(109:109,C36,110:110)+100</f>
        <v>100</v>
      </c>
      <c r="K36" s="864">
        <v>2</v>
      </c>
      <c r="L36" s="2128"/>
      <c r="M36" s="2120"/>
      <c r="N36" s="2120"/>
      <c r="O36" s="2127"/>
      <c r="P36" s="3410"/>
      <c r="Q36" s="1559" t="str">
        <f t="shared" si="11"/>
        <v>公共部分装修</v>
      </c>
      <c r="R36" s="1560" t="s">
        <v>11</v>
      </c>
      <c r="S36" s="1561">
        <f t="shared" si="12"/>
        <v>100</v>
      </c>
      <c r="T36" s="1560" t="s">
        <v>11</v>
      </c>
      <c r="U36" s="1561">
        <f t="shared" si="13"/>
        <v>100</v>
      </c>
      <c r="V36" s="1560" t="s">
        <v>11</v>
      </c>
      <c r="W36" s="1561">
        <f t="shared" si="14"/>
        <v>100</v>
      </c>
      <c r="X36" s="1554"/>
      <c r="Y36" s="3410"/>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10"/>
      <c r="Q37" s="1147" t="str">
        <f t="shared" si="11"/>
        <v>成新度</v>
      </c>
      <c r="R37" s="1555" t="s">
        <v>11</v>
      </c>
      <c r="S37" s="1556">
        <f t="shared" si="12"/>
        <v>100</v>
      </c>
      <c r="T37" s="1555" t="s">
        <v>11</v>
      </c>
      <c r="U37" s="1556">
        <f t="shared" si="13"/>
        <v>100</v>
      </c>
      <c r="V37" s="1555" t="s">
        <v>11</v>
      </c>
      <c r="W37" s="1556">
        <f t="shared" si="14"/>
        <v>100</v>
      </c>
      <c r="X37" s="1557"/>
      <c r="Y37" s="3410"/>
      <c r="Z37" s="1146" t="str">
        <f t="shared" si="15"/>
        <v>成新度</v>
      </c>
      <c r="AA37" s="1558">
        <f t="shared" si="3"/>
        <v>1</v>
      </c>
      <c r="AB37" s="1558">
        <f t="shared" si="4"/>
        <v>1</v>
      </c>
      <c r="AC37" s="1558">
        <f t="shared" si="5"/>
        <v>1</v>
      </c>
    </row>
    <row r="38" spans="1:29" ht="15">
      <c r="A38" s="594"/>
      <c r="B38" s="527" t="s">
        <v>731</v>
      </c>
      <c r="C38" s="599" t="s">
        <v>3172</v>
      </c>
      <c r="D38" s="540">
        <v>100</v>
      </c>
      <c r="E38" s="874" t="s">
        <v>3172</v>
      </c>
      <c r="F38" s="575">
        <f>SUMIF(114:114,E38,115:115)-SUMIF(114:114,C38,115:115)+100</f>
        <v>100</v>
      </c>
      <c r="G38" s="599" t="s">
        <v>3172</v>
      </c>
      <c r="H38" s="540">
        <f>SUMIF(114:114,G38,115:115)-SUMIF(114:114,C38,115:115)+100</f>
        <v>100</v>
      </c>
      <c r="I38" s="874" t="s">
        <v>3172</v>
      </c>
      <c r="J38" s="540">
        <f>SUMIF(114:114,I38,115:115)-SUMIF(114:114,C38,115:115)+100</f>
        <v>100</v>
      </c>
      <c r="K38" s="864">
        <v>5</v>
      </c>
      <c r="L38" s="2128"/>
      <c r="M38" s="2120"/>
      <c r="N38" s="2120"/>
      <c r="O38" s="2127"/>
      <c r="P38" s="3410" t="s">
        <v>550</v>
      </c>
      <c r="Q38" s="1559" t="str">
        <f t="shared" si="11"/>
        <v>物业管理</v>
      </c>
      <c r="R38" s="1560" t="s">
        <v>11</v>
      </c>
      <c r="S38" s="1561">
        <f t="shared" si="12"/>
        <v>100</v>
      </c>
      <c r="T38" s="1560" t="s">
        <v>11</v>
      </c>
      <c r="U38" s="1561">
        <f t="shared" si="13"/>
        <v>100</v>
      </c>
      <c r="V38" s="1560" t="s">
        <v>11</v>
      </c>
      <c r="W38" s="1561">
        <f t="shared" si="14"/>
        <v>100</v>
      </c>
      <c r="X38" s="1554"/>
      <c r="Y38" s="3410" t="s">
        <v>550</v>
      </c>
      <c r="Z38" s="1562" t="str">
        <f t="shared" si="15"/>
        <v>物业管理</v>
      </c>
      <c r="AA38" s="1563">
        <f t="shared" si="3"/>
        <v>1</v>
      </c>
      <c r="AB38" s="1563">
        <f t="shared" si="4"/>
        <v>1</v>
      </c>
      <c r="AC38" s="1563">
        <f t="shared" si="5"/>
        <v>1</v>
      </c>
    </row>
    <row r="39" spans="1:29" ht="15">
      <c r="A39" s="594"/>
      <c r="B39" s="1881" t="s">
        <v>2564</v>
      </c>
      <c r="C39" s="599" t="s">
        <v>3085</v>
      </c>
      <c r="D39" s="540">
        <v>100</v>
      </c>
      <c r="E39" s="874" t="s">
        <v>3085</v>
      </c>
      <c r="F39" s="575">
        <f>SUMIF(116:116,E39,117:117)-SUMIF(116:116,C39,117:117)+100</f>
        <v>100</v>
      </c>
      <c r="G39" s="599" t="s">
        <v>3085</v>
      </c>
      <c r="H39" s="540">
        <f>SUMIF(116:116,G39,117:117)-SUMIF(116:116,C39,117:117)+100</f>
        <v>100</v>
      </c>
      <c r="I39" s="874" t="s">
        <v>3085</v>
      </c>
      <c r="J39" s="540">
        <f>SUMIF(116:116,I39,117:117)-SUMIF(116:116,C39,117:117)+100</f>
        <v>100</v>
      </c>
      <c r="K39" s="864">
        <v>1</v>
      </c>
      <c r="L39" s="2128"/>
      <c r="M39" s="2120"/>
      <c r="N39" s="2120"/>
      <c r="O39" s="2127"/>
      <c r="P39" s="3410"/>
      <c r="Q39" s="1559" t="str">
        <f t="shared" si="11"/>
        <v>市政基础设施</v>
      </c>
      <c r="R39" s="1560" t="s">
        <v>11</v>
      </c>
      <c r="S39" s="1561">
        <f t="shared" si="12"/>
        <v>100</v>
      </c>
      <c r="T39" s="1560" t="s">
        <v>11</v>
      </c>
      <c r="U39" s="1561">
        <f t="shared" si="13"/>
        <v>100</v>
      </c>
      <c r="V39" s="1560" t="s">
        <v>11</v>
      </c>
      <c r="W39" s="1561">
        <f t="shared" si="14"/>
        <v>100</v>
      </c>
      <c r="X39" s="1554"/>
      <c r="Y39" s="341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0"/>
      <c r="Q40" s="1559" t="str">
        <f t="shared" si="11"/>
        <v>房型</v>
      </c>
      <c r="R40" s="1560" t="s">
        <v>11</v>
      </c>
      <c r="S40" s="1561">
        <f t="shared" si="12"/>
        <v>100</v>
      </c>
      <c r="T40" s="1560" t="s">
        <v>11</v>
      </c>
      <c r="U40" s="1561">
        <f t="shared" si="13"/>
        <v>100</v>
      </c>
      <c r="V40" s="1560" t="s">
        <v>11</v>
      </c>
      <c r="W40" s="1561">
        <f t="shared" si="14"/>
        <v>100</v>
      </c>
      <c r="X40" s="1554"/>
      <c r="Y40" s="3410"/>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0"/>
      <c r="Q41" s="1591" t="str">
        <f t="shared" si="11"/>
        <v>单套/主力户型建筑面积</v>
      </c>
      <c r="R41" s="1564" t="s">
        <v>11</v>
      </c>
      <c r="S41" s="1565">
        <f t="shared" si="12"/>
        <v>100</v>
      </c>
      <c r="T41" s="1564" t="s">
        <v>11</v>
      </c>
      <c r="U41" s="1565">
        <f t="shared" si="13"/>
        <v>100</v>
      </c>
      <c r="V41" s="1564" t="s">
        <v>11</v>
      </c>
      <c r="W41" s="1565">
        <f t="shared" si="14"/>
        <v>100</v>
      </c>
      <c r="X41" s="1566"/>
      <c r="Y41" s="3410"/>
      <c r="Z41" s="1567" t="str">
        <f t="shared" si="15"/>
        <v>单套/主力户型建筑面积</v>
      </c>
      <c r="AA41" s="1563">
        <f t="shared" si="3"/>
        <v>1</v>
      </c>
      <c r="AB41" s="1563">
        <f t="shared" si="4"/>
        <v>1</v>
      </c>
      <c r="AC41" s="1563">
        <f t="shared" si="5"/>
        <v>1</v>
      </c>
    </row>
    <row r="42" spans="1:29" ht="15">
      <c r="A42" s="594"/>
      <c r="B42" s="527" t="s">
        <v>734</v>
      </c>
      <c r="C42" s="599" t="s">
        <v>3097</v>
      </c>
      <c r="D42" s="540">
        <v>100</v>
      </c>
      <c r="E42" s="874" t="s">
        <v>3097</v>
      </c>
      <c r="F42" s="575">
        <f>SUMIF(122:122,E42,123:123)-SUMIF(122:122,C42,123:123)+100</f>
        <v>100</v>
      </c>
      <c r="G42" s="599" t="s">
        <v>3097</v>
      </c>
      <c r="H42" s="540">
        <f>SUMIF(122:122,G42,123:123)-SUMIF(122:122,C42,123:123)+100</f>
        <v>100</v>
      </c>
      <c r="I42" s="874" t="s">
        <v>3097</v>
      </c>
      <c r="J42" s="540">
        <f>SUMIF(122:122,I42,123:123)-SUMIF(122:122,C42,123:123)+100</f>
        <v>100</v>
      </c>
      <c r="K42" s="864">
        <v>1</v>
      </c>
      <c r="L42" s="2128"/>
      <c r="M42" s="2120"/>
      <c r="N42" s="2120"/>
      <c r="O42" s="2127"/>
      <c r="P42" s="3410"/>
      <c r="Q42" s="1559" t="str">
        <f t="shared" si="11"/>
        <v>内部装修</v>
      </c>
      <c r="R42" s="1560" t="s">
        <v>11</v>
      </c>
      <c r="S42" s="1561">
        <f t="shared" si="12"/>
        <v>100</v>
      </c>
      <c r="T42" s="1560" t="s">
        <v>11</v>
      </c>
      <c r="U42" s="1561">
        <f t="shared" si="13"/>
        <v>100</v>
      </c>
      <c r="V42" s="1560" t="s">
        <v>11</v>
      </c>
      <c r="W42" s="1561">
        <f t="shared" si="14"/>
        <v>100</v>
      </c>
      <c r="X42" s="1554"/>
      <c r="Y42" s="3410"/>
      <c r="Z42" s="1562" t="str">
        <f t="shared" si="15"/>
        <v>内部装修</v>
      </c>
      <c r="AA42" s="1563">
        <f t="shared" si="3"/>
        <v>1</v>
      </c>
      <c r="AB42" s="1563">
        <f t="shared" si="4"/>
        <v>1</v>
      </c>
      <c r="AC42" s="1563">
        <f t="shared" si="5"/>
        <v>1</v>
      </c>
    </row>
    <row r="43" spans="1:29" ht="27">
      <c r="A43" s="594"/>
      <c r="B43" s="527" t="s">
        <v>735</v>
      </c>
      <c r="C43" s="599" t="s">
        <v>3072</v>
      </c>
      <c r="D43" s="540">
        <v>100</v>
      </c>
      <c r="E43" s="874" t="s">
        <v>3072</v>
      </c>
      <c r="F43" s="575">
        <f>SUMIF(124:124,E43,125:125)-SUMIF(124:124,C43,125:125)+100</f>
        <v>100</v>
      </c>
      <c r="G43" s="599" t="s">
        <v>3072</v>
      </c>
      <c r="H43" s="540">
        <f>SUMIF(124:124,G43,125:125)-SUMIF(124:124,C43,125:125)+100</f>
        <v>100</v>
      </c>
      <c r="I43" s="874" t="s">
        <v>3072</v>
      </c>
      <c r="J43" s="540">
        <f>SUMIF(124:124,I43,125:125)-SUMIF(124:124,C43,125:125)+100</f>
        <v>100</v>
      </c>
      <c r="K43" s="864">
        <v>2</v>
      </c>
      <c r="L43" s="2128"/>
      <c r="M43" s="2120"/>
      <c r="N43" s="2120"/>
      <c r="O43" s="2127"/>
      <c r="P43" s="3410"/>
      <c r="Q43" s="1559" t="str">
        <f t="shared" si="11"/>
        <v>内部装修维护情况</v>
      </c>
      <c r="R43" s="1560" t="s">
        <v>11</v>
      </c>
      <c r="S43" s="1561">
        <f t="shared" si="12"/>
        <v>100</v>
      </c>
      <c r="T43" s="1560" t="s">
        <v>11</v>
      </c>
      <c r="U43" s="1561">
        <f t="shared" si="13"/>
        <v>100</v>
      </c>
      <c r="V43" s="1560" t="s">
        <v>11</v>
      </c>
      <c r="W43" s="1561">
        <f t="shared" si="14"/>
        <v>100</v>
      </c>
      <c r="X43" s="1554"/>
      <c r="Y43" s="341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0"/>
      <c r="Q44" s="1147">
        <f t="shared" si="11"/>
        <v>111</v>
      </c>
      <c r="R44" s="1555" t="s">
        <v>11</v>
      </c>
      <c r="S44" s="1556">
        <f t="shared" si="12"/>
        <v>100</v>
      </c>
      <c r="T44" s="1555" t="s">
        <v>11</v>
      </c>
      <c r="U44" s="1556">
        <f t="shared" si="13"/>
        <v>100</v>
      </c>
      <c r="V44" s="1555" t="s">
        <v>11</v>
      </c>
      <c r="W44" s="1556">
        <f t="shared" si="14"/>
        <v>100</v>
      </c>
      <c r="X44" s="1557"/>
      <c r="Y44" s="341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0"/>
      <c r="Q45" s="1559">
        <f t="shared" si="11"/>
        <v>111</v>
      </c>
      <c r="R45" s="1560" t="s">
        <v>11</v>
      </c>
      <c r="S45" s="1561">
        <f t="shared" si="12"/>
        <v>100</v>
      </c>
      <c r="T45" s="1560" t="s">
        <v>11</v>
      </c>
      <c r="U45" s="1561">
        <f t="shared" si="13"/>
        <v>100</v>
      </c>
      <c r="V45" s="1560" t="s">
        <v>11</v>
      </c>
      <c r="W45" s="1561">
        <f t="shared" si="14"/>
        <v>100</v>
      </c>
      <c r="X45" s="1554"/>
      <c r="Y45" s="341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1"/>
      <c r="Q46" s="1559">
        <f t="shared" si="11"/>
        <v>111</v>
      </c>
      <c r="R46" s="1560" t="s">
        <v>10</v>
      </c>
      <c r="S46" s="1561">
        <f t="shared" si="12"/>
        <v>100</v>
      </c>
      <c r="T46" s="1560" t="s">
        <v>10</v>
      </c>
      <c r="U46" s="1561">
        <f t="shared" si="13"/>
        <v>100</v>
      </c>
      <c r="V46" s="1560" t="s">
        <v>10</v>
      </c>
      <c r="W46" s="1561">
        <f t="shared" si="14"/>
        <v>100</v>
      </c>
      <c r="X46" s="1554"/>
      <c r="Y46" s="3491"/>
      <c r="Z46" s="1562">
        <f t="shared" si="15"/>
        <v>111</v>
      </c>
      <c r="AA46" s="1563">
        <f t="shared" si="3"/>
        <v>1</v>
      </c>
      <c r="AB46" s="1563">
        <f t="shared" si="4"/>
        <v>1</v>
      </c>
      <c r="AC46" s="1563">
        <f t="shared" si="5"/>
        <v>1</v>
      </c>
    </row>
    <row r="47" spans="1:29" ht="15">
      <c r="A47" s="607" t="s">
        <v>736</v>
      </c>
      <c r="B47" s="887"/>
      <c r="C47" s="2592" t="s">
        <v>9</v>
      </c>
      <c r="D47" s="2593"/>
      <c r="E47" s="2594">
        <v>3500</v>
      </c>
      <c r="F47" s="2595"/>
      <c r="G47" s="2596">
        <v>3500</v>
      </c>
      <c r="H47" s="2597"/>
      <c r="I47" s="2594">
        <v>4300</v>
      </c>
      <c r="J47" s="2597"/>
      <c r="K47" s="1592"/>
      <c r="L47" s="2130"/>
      <c r="M47" s="2131"/>
      <c r="N47" s="2120"/>
      <c r="O47" s="2131"/>
      <c r="P47" s="3372" t="str">
        <f>A47</f>
        <v>成交单价（元/平方米）</v>
      </c>
      <c r="Q47" s="3372"/>
      <c r="R47" s="3490">
        <f>E47</f>
        <v>3500</v>
      </c>
      <c r="S47" s="3490"/>
      <c r="T47" s="3490">
        <f>G47</f>
        <v>3500</v>
      </c>
      <c r="U47" s="3490"/>
      <c r="V47" s="3490">
        <f>I47</f>
        <v>4300</v>
      </c>
      <c r="W47" s="3490"/>
      <c r="X47" s="1546"/>
      <c r="Y47" s="1568"/>
      <c r="Z47" s="1546"/>
      <c r="AA47" s="1546"/>
      <c r="AB47" s="1546"/>
      <c r="AC47" s="1546"/>
    </row>
    <row r="48" spans="1:29" ht="15.75" thickBot="1">
      <c r="A48" s="615" t="s">
        <v>2760</v>
      </c>
      <c r="B48" s="888"/>
      <c r="C48" s="2598">
        <f>R49</f>
        <v>3627</v>
      </c>
      <c r="D48" s="2599"/>
      <c r="E48" s="2600">
        <f>R48</f>
        <v>3399</v>
      </c>
      <c r="F48" s="2600"/>
      <c r="G48" s="2598">
        <f>T48</f>
        <v>3543</v>
      </c>
      <c r="H48" s="2599"/>
      <c r="I48" s="2600">
        <f>V48</f>
        <v>3938</v>
      </c>
      <c r="J48" s="2599"/>
      <c r="K48" s="1593"/>
      <c r="L48" s="2130"/>
      <c r="M48" s="2131"/>
      <c r="N48" s="2131"/>
      <c r="O48" s="2131"/>
      <c r="P48" s="3372" t="str">
        <f>A48</f>
        <v>比较价格（元/平方米）</v>
      </c>
      <c r="Q48" s="3372"/>
      <c r="R48" s="3490">
        <f>IF(F1="售价",ROUND(PRODUCT(R47,AA7:AA46),0),ROUND(PRODUCT(R47,AA7:AA46),1))</f>
        <v>3399</v>
      </c>
      <c r="S48" s="3490"/>
      <c r="T48" s="3490">
        <f>IF(F1="售价",ROUND(PRODUCT(T47,AB7:AB46),0),ROUND(PRODUCT(T47,AB7:AB46),1))</f>
        <v>3543</v>
      </c>
      <c r="U48" s="3490"/>
      <c r="V48" s="3490">
        <f>IF(F1="售价",ROUND(PRODUCT(V47,AC7:AC46),0),ROUND(PRODUCT(V47,AC7:AC46),1))</f>
        <v>3938</v>
      </c>
      <c r="W48" s="3490"/>
      <c r="X48" s="1546"/>
      <c r="Y48" s="1546"/>
      <c r="Z48" s="1546"/>
      <c r="AA48" s="1546"/>
      <c r="AB48" s="1546"/>
      <c r="AC48" s="1546"/>
    </row>
    <row r="49" spans="1:29" ht="15.75" thickBot="1">
      <c r="A49" s="621" t="s">
        <v>2937</v>
      </c>
      <c r="B49" s="622"/>
      <c r="C49" s="2601">
        <f>R49</f>
        <v>3627</v>
      </c>
      <c r="D49" s="2601"/>
      <c r="E49" s="2601"/>
      <c r="F49" s="2601"/>
      <c r="G49" s="2601"/>
      <c r="H49" s="2601"/>
      <c r="I49" s="2601"/>
      <c r="J49" s="2601"/>
      <c r="K49" s="1594"/>
      <c r="L49" s="2130"/>
      <c r="M49" s="2131"/>
      <c r="N49" s="2131"/>
      <c r="O49" s="2131"/>
      <c r="P49" s="3369" t="str">
        <f>A49</f>
        <v>估价对象XX用房的比较价格（楼面单价，元/平方米）</v>
      </c>
      <c r="Q49" s="3370"/>
      <c r="R49" s="3489">
        <f>IF(F1="售价",ROUND(AVERAGE(R48:V48),0),ROUND(AVERAGE(R48:V48),1))</f>
        <v>3627</v>
      </c>
      <c r="S49" s="3489"/>
      <c r="T49" s="3489"/>
      <c r="U49" s="3489"/>
      <c r="V49" s="3489"/>
      <c r="W49" s="348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2.9714621947631636E-2</v>
      </c>
      <c r="F52" s="627" t="str">
        <f>IF(OR(E52&gt;=0.3,E52&lt;=-0.3),"超过30%","")</f>
        <v/>
      </c>
      <c r="G52" s="626">
        <f>IF(G47&lt;G48,G48/G47-1,G47/G48-1)</f>
        <v>1.2285714285714233E-2</v>
      </c>
      <c r="H52" s="627" t="str">
        <f>IF(OR(G52&gt;=0.3,G52&lt;=-0.3),"超过30%","")</f>
        <v/>
      </c>
      <c r="I52" s="626">
        <f>IF(I47&lt;I48,I48/I47-1,I47/I48-1)</f>
        <v>9.1924834941594646E-2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4.23654015887025E-2</v>
      </c>
      <c r="F53" s="627" t="str">
        <f>IF(OR(E53&gt;=0.2,E53&lt;=-0.2),"超过20%","")</f>
        <v/>
      </c>
      <c r="G53" s="626">
        <f>IF(G48&lt;I48,I48/G48-1,G48/I48-1)</f>
        <v>0.11148744002257982</v>
      </c>
      <c r="H53" s="627" t="str">
        <f>IF(OR(G53&gt;=0.2,G53&lt;=-0.2),"超过20%","")</f>
        <v/>
      </c>
      <c r="I53" s="626">
        <f>IF(I48&lt;E48,E48/I48-1,I48/E48-1)</f>
        <v>0.15857605177993528</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0.22857142857142865</v>
      </c>
      <c r="H54" s="627" t="str">
        <f>IF(OR(G54&gt;=0.3,G54&lt;=-0.3),"超过30%","")</f>
        <v/>
      </c>
      <c r="I54" s="626">
        <f>IF(I47&lt;E47,E47/I47-1,I47/E47-1)</f>
        <v>0.22857142857142865</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3193" t="s">
        <v>3114</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3188" t="s">
        <v>3110</v>
      </c>
      <c r="D90" s="3188" t="s">
        <v>3111</v>
      </c>
      <c r="E90" s="3188" t="s">
        <v>3112</v>
      </c>
      <c r="F90" s="688" t="s">
        <v>3113</v>
      </c>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9" t="s">
        <v>3117</v>
      </c>
      <c r="D100" s="3189" t="s">
        <v>3119</v>
      </c>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v>
      </c>
      <c r="D102" s="708" t="str">
        <f t="shared" ref="D102:L102" si="23">D103&amp;"(含)"&amp;"-"&amp;E103</f>
        <v>10000(含)-30000</v>
      </c>
      <c r="E102" s="708" t="str">
        <f t="shared" si="23"/>
        <v>30000(含)-50000</v>
      </c>
      <c r="F102" s="708" t="str">
        <f t="shared" si="23"/>
        <v>50000(含)-80000</v>
      </c>
      <c r="G102" s="708" t="str">
        <f t="shared" si="23"/>
        <v>80000(含)-100000</v>
      </c>
      <c r="H102" s="708" t="str">
        <f t="shared" si="23"/>
        <v>100000(含)-150000</v>
      </c>
      <c r="I102" s="708" t="str">
        <f t="shared" si="23"/>
        <v>150000(含)-200000</v>
      </c>
      <c r="J102" s="708" t="str">
        <f t="shared" si="23"/>
        <v>200000(含)-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v>
      </c>
      <c r="E103" s="730">
        <v>30000</v>
      </c>
      <c r="F103" s="730">
        <v>50000</v>
      </c>
      <c r="G103" s="730">
        <v>80000</v>
      </c>
      <c r="H103" s="730">
        <v>100000</v>
      </c>
      <c r="I103" s="730">
        <v>150000</v>
      </c>
      <c r="J103" s="731">
        <v>200000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8" t="s">
        <v>3109</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2" t="s">
        <v>3104</v>
      </c>
      <c r="D107" s="3192" t="s">
        <v>3105</v>
      </c>
      <c r="E107" s="3192" t="s">
        <v>3106</v>
      </c>
      <c r="F107" s="3192" t="s">
        <v>3107</v>
      </c>
      <c r="G107" s="3192" t="s">
        <v>3108</v>
      </c>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8" t="s">
        <v>3102</v>
      </c>
      <c r="D109" s="3188" t="s">
        <v>3095</v>
      </c>
      <c r="E109" s="3188" t="s">
        <v>3096</v>
      </c>
      <c r="F109" s="3192" t="s">
        <v>3103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8" t="s">
        <v>3101</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8" t="s">
        <v>3099</v>
      </c>
      <c r="D116" s="3188" t="s">
        <v>3100</v>
      </c>
      <c r="E116" s="3188" t="s">
        <v>3175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192" t="s">
        <v>3173</v>
      </c>
      <c r="D118" s="3192" t="s">
        <v>3174</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8" t="s">
        <v>3094</v>
      </c>
      <c r="D122" s="3188" t="s">
        <v>3095</v>
      </c>
      <c r="E122" s="3188" t="s">
        <v>3096</v>
      </c>
      <c r="F122" s="3192" t="s">
        <v>3098</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E47" sqref="E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f>ROUND(B3*D3/10000,0)</f>
        <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f>C49</f>
        <v>9349.2000000000007</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8" t="s">
        <v>522</v>
      </c>
      <c r="D4" s="3379"/>
      <c r="E4" s="3413" t="s">
        <v>523</v>
      </c>
      <c r="F4" s="3414"/>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3" t="s">
        <v>524</v>
      </c>
      <c r="AC4" s="3375" t="s">
        <v>525</v>
      </c>
    </row>
    <row r="5" spans="1:29" ht="15">
      <c r="A5" s="515"/>
      <c r="B5" s="516"/>
      <c r="C5" s="3394" t="s">
        <v>2931</v>
      </c>
      <c r="D5" s="3395"/>
      <c r="E5" s="3492" t="s">
        <v>3070</v>
      </c>
      <c r="F5" s="3416"/>
      <c r="G5" s="3398" t="s">
        <v>3125</v>
      </c>
      <c r="H5" s="3395"/>
      <c r="I5" s="3398" t="s">
        <v>3093</v>
      </c>
      <c r="J5" s="3395"/>
      <c r="K5" s="514"/>
      <c r="L5" s="2119"/>
      <c r="M5" s="2120"/>
      <c r="N5" s="2120"/>
      <c r="O5" s="2120"/>
      <c r="P5" s="3382"/>
      <c r="Q5" s="3383"/>
      <c r="R5" s="3388"/>
      <c r="S5" s="3389"/>
      <c r="T5" s="3388"/>
      <c r="U5" s="3389"/>
      <c r="V5" s="3373"/>
      <c r="W5" s="3373"/>
      <c r="X5" s="1554"/>
      <c r="Y5" s="3388"/>
      <c r="Z5" s="3389"/>
      <c r="AA5" s="3376"/>
      <c r="AB5" s="3373"/>
      <c r="AC5" s="3376"/>
    </row>
    <row r="6" spans="1:29" ht="15.75" thickBot="1">
      <c r="A6" s="517"/>
      <c r="B6" s="518"/>
      <c r="C6" s="3392" t="s">
        <v>2935</v>
      </c>
      <c r="D6" s="3393"/>
      <c r="E6" s="3411" t="s">
        <v>2935</v>
      </c>
      <c r="F6" s="3412"/>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3"/>
      <c r="AC6" s="3377"/>
    </row>
    <row r="7" spans="1:29" s="1216" customFormat="1" ht="15.75" thickBot="1">
      <c r="A7" s="2868"/>
      <c r="B7" s="2875" t="s">
        <v>529</v>
      </c>
      <c r="C7" s="519">
        <f>'数据-取费表'!B2</f>
        <v>43679</v>
      </c>
      <c r="D7" s="520">
        <v>100</v>
      </c>
      <c r="E7" s="521">
        <f>C7</f>
        <v>43679</v>
      </c>
      <c r="F7" s="522">
        <f>SUMIF(58:58,YEAR(E7)&amp;"-"&amp;MONTH(E7),59:59)</f>
        <v>100</v>
      </c>
      <c r="G7" s="521">
        <f>C7</f>
        <v>43679</v>
      </c>
      <c r="H7" s="520">
        <f>SUMIF(58:58,YEAR(G7)&amp;"-"&amp;MONTH(G7),59:59)</f>
        <v>100</v>
      </c>
      <c r="I7" s="521">
        <f>C7</f>
        <v>43679</v>
      </c>
      <c r="J7" s="520">
        <f>SUMIF(58:58,YEAR(I7)&amp;"-"&amp;MONTH(I7),59:59)</f>
        <v>100</v>
      </c>
      <c r="K7" s="524"/>
      <c r="L7" s="2121"/>
      <c r="M7" s="2122"/>
      <c r="N7" s="2122"/>
      <c r="O7" s="2122"/>
      <c r="P7" s="3404" t="s">
        <v>530</v>
      </c>
      <c r="Q7" s="3406"/>
      <c r="R7" s="1555" t="s">
        <v>8</v>
      </c>
      <c r="S7" s="1556">
        <f t="shared" ref="S7:S15" si="0">F7</f>
        <v>100</v>
      </c>
      <c r="T7" s="1555" t="s">
        <v>8</v>
      </c>
      <c r="U7" s="1556">
        <f t="shared" ref="U7:U15" si="1">H7</f>
        <v>100</v>
      </c>
      <c r="V7" s="1555" t="s">
        <v>8</v>
      </c>
      <c r="W7" s="1556">
        <f t="shared" ref="W7:W15" si="2">J7</f>
        <v>100</v>
      </c>
      <c r="X7" s="1557"/>
      <c r="Y7" s="3404" t="s">
        <v>530</v>
      </c>
      <c r="Z7" s="3405"/>
      <c r="AA7" s="1558">
        <f>D7/F7</f>
        <v>1</v>
      </c>
      <c r="AB7" s="1558">
        <f>D7/H7</f>
        <v>1</v>
      </c>
      <c r="AC7" s="1558">
        <f>D7/J7</f>
        <v>1</v>
      </c>
    </row>
    <row r="8" spans="1:29" s="1216" customFormat="1" ht="15.75" thickBot="1">
      <c r="A8" s="2869"/>
      <c r="B8" s="2876" t="s">
        <v>531</v>
      </c>
      <c r="C8" s="525" t="s">
        <v>576</v>
      </c>
      <c r="D8" s="520">
        <v>100</v>
      </c>
      <c r="E8" s="525" t="s">
        <v>3074</v>
      </c>
      <c r="F8" s="522">
        <f>SUMIF(61:61,E8,62:62)-SUMIF(61:61,C8,62:62)+100</f>
        <v>100</v>
      </c>
      <c r="G8" s="525" t="s">
        <v>3074</v>
      </c>
      <c r="H8" s="520">
        <f>SUMIF(61:61,G8,62:62)-SUMIF(61:61,C8,62:62)+100</f>
        <v>100</v>
      </c>
      <c r="I8" s="525" t="s">
        <v>3074</v>
      </c>
      <c r="J8" s="520">
        <f>SUMIF(61:61,I8,62:62)-SUMIF(61:61,C8,62:62)+100</f>
        <v>100</v>
      </c>
      <c r="K8" s="524"/>
      <c r="L8" s="2121"/>
      <c r="M8" s="2122"/>
      <c r="N8" s="2122"/>
      <c r="O8" s="2122"/>
      <c r="P8" s="3404" t="s">
        <v>533</v>
      </c>
      <c r="Q8" s="3405"/>
      <c r="R8" s="1555" t="s">
        <v>8</v>
      </c>
      <c r="S8" s="1556">
        <f t="shared" si="0"/>
        <v>100</v>
      </c>
      <c r="T8" s="1555" t="s">
        <v>8</v>
      </c>
      <c r="U8" s="1556">
        <f t="shared" si="1"/>
        <v>100</v>
      </c>
      <c r="V8" s="1555" t="s">
        <v>8</v>
      </c>
      <c r="W8" s="1556">
        <f t="shared" si="2"/>
        <v>100</v>
      </c>
      <c r="X8" s="1557"/>
      <c r="Y8" s="3404" t="s">
        <v>533</v>
      </c>
      <c r="Z8" s="3405"/>
      <c r="AA8" s="1558">
        <f t="shared" ref="AA8:AA46" si="3">D8/F8</f>
        <v>1</v>
      </c>
      <c r="AB8" s="1558">
        <f t="shared" ref="AB8:AB46" si="4">D8/H8</f>
        <v>1</v>
      </c>
      <c r="AC8" s="1558">
        <f t="shared" ref="AC8:AC46" si="5">D8/J8</f>
        <v>1</v>
      </c>
    </row>
    <row r="9" spans="1:29" s="1216" customFormat="1" ht="15">
      <c r="A9" s="2870"/>
      <c r="B9" s="2877" t="s">
        <v>2756</v>
      </c>
      <c r="C9" s="3194" t="s">
        <v>3126</v>
      </c>
      <c r="D9" s="254">
        <v>100</v>
      </c>
      <c r="E9" s="860" t="s">
        <v>3061</v>
      </c>
      <c r="F9" s="254">
        <f>SUMIF(63:63,E9,64:64)-SUMIF(63:63,C9,64:64)+100</f>
        <v>100</v>
      </c>
      <c r="G9" s="858" t="s">
        <v>3061</v>
      </c>
      <c r="H9" s="254">
        <f>SUMIF(63:63,G9,64:64)-SUMIF(63:63,C9,64:64)+100</f>
        <v>100</v>
      </c>
      <c r="I9" s="858" t="s">
        <v>3061</v>
      </c>
      <c r="J9" s="254">
        <f>SUMIF(63:63,I9,64:64)-SUMIF(63:63,C9,64:64)+100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2757</v>
      </c>
      <c r="C10" s="861" t="s">
        <v>3127</v>
      </c>
      <c r="D10" s="255">
        <v>100</v>
      </c>
      <c r="E10" s="861" t="s">
        <v>3127</v>
      </c>
      <c r="F10" s="255">
        <f>SUMIF(65:65,E10,66:66)-SUMIF(65:65,C10,66:66)+100</f>
        <v>100</v>
      </c>
      <c r="G10" s="862" t="s">
        <v>3127</v>
      </c>
      <c r="H10" s="255">
        <f>SUMIF(65:65,G10,66:66)-SUMIF(65:65,C10,66:66)+100</f>
        <v>100</v>
      </c>
      <c r="I10" s="861" t="s">
        <v>3127</v>
      </c>
      <c r="J10" s="255">
        <f>SUMIF(65:65,I10,66:66)-SUMIF(65:65,C10,66:66)+100</f>
        <v>100</v>
      </c>
      <c r="K10" s="584">
        <v>2</v>
      </c>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f>LOOKUP(E11,68:68,69:69)-LOOKUP(C11,68:68,69:69)+100</f>
        <v>100</v>
      </c>
      <c r="G11" s="534"/>
      <c r="H11" s="255">
        <f>LOOKUP(G11,68:68,69:69)-LOOKUP(C11,68:68,69:69)+100</f>
        <v>100</v>
      </c>
      <c r="I11" s="533"/>
      <c r="J11" s="255">
        <f>LOOKUP(I11,68:68,69:69)-LOOKUP(C11,68:68,69:69)+100</f>
        <v>100</v>
      </c>
      <c r="K11" s="584"/>
      <c r="L11" s="2126"/>
      <c r="M11" s="2120"/>
      <c r="N11" s="2120"/>
      <c r="O11" s="2127"/>
      <c r="P11" s="3372"/>
      <c r="Q11" s="1147" t="str">
        <f t="shared" si="6"/>
        <v>容积率</v>
      </c>
      <c r="R11" s="1555" t="s">
        <v>8</v>
      </c>
      <c r="S11" s="1556">
        <f t="shared" si="0"/>
        <v>100</v>
      </c>
      <c r="T11" s="1555" t="s">
        <v>8</v>
      </c>
      <c r="U11" s="1556">
        <f t="shared" si="1"/>
        <v>100</v>
      </c>
      <c r="V11" s="1555" t="s">
        <v>8</v>
      </c>
      <c r="W11" s="1556">
        <f t="shared" si="2"/>
        <v>100</v>
      </c>
      <c r="X11" s="1557"/>
      <c r="Y11" s="3318"/>
      <c r="Z11" s="1146" t="str">
        <f t="shared" si="7"/>
        <v>容积率</v>
      </c>
      <c r="AA11" s="1558">
        <f t="shared" si="3"/>
        <v>1</v>
      </c>
      <c r="AB11" s="1558">
        <f t="shared" si="4"/>
        <v>1</v>
      </c>
      <c r="AC11" s="1558">
        <f t="shared" si="5"/>
        <v>1</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28"/>
      <c r="M15" s="2120"/>
      <c r="N15" s="2120"/>
      <c r="O15" s="2127"/>
      <c r="P15" s="3407" t="s">
        <v>540</v>
      </c>
      <c r="Q15" s="1559" t="str">
        <f t="shared" si="6"/>
        <v>商业繁华度</v>
      </c>
      <c r="R15" s="1560" t="s">
        <v>8</v>
      </c>
      <c r="S15" s="1561">
        <f t="shared" si="0"/>
        <v>100</v>
      </c>
      <c r="T15" s="1560" t="s">
        <v>8</v>
      </c>
      <c r="U15" s="1561">
        <f t="shared" si="1"/>
        <v>100</v>
      </c>
      <c r="V15" s="1560" t="s">
        <v>8</v>
      </c>
      <c r="W15" s="1561">
        <f t="shared" si="2"/>
        <v>100</v>
      </c>
      <c r="X15" s="1554"/>
      <c r="Y15" s="3407" t="s">
        <v>540</v>
      </c>
      <c r="Z15" s="1562" t="str">
        <f t="shared" si="7"/>
        <v>商业繁华度</v>
      </c>
      <c r="AA15" s="1563">
        <f t="shared" si="3"/>
        <v>1</v>
      </c>
      <c r="AB15" s="1563">
        <f t="shared" si="4"/>
        <v>1</v>
      </c>
      <c r="AC15" s="1563">
        <f t="shared" si="5"/>
        <v>1</v>
      </c>
    </row>
    <row r="16" spans="1:29" ht="15">
      <c r="A16" s="532"/>
      <c r="B16" s="869"/>
      <c r="C16" s="576" t="s">
        <v>3122</v>
      </c>
      <c r="D16" s="555"/>
      <c r="E16" s="576" t="s">
        <v>3122</v>
      </c>
      <c r="F16" s="557"/>
      <c r="G16" s="576" t="s">
        <v>3122</v>
      </c>
      <c r="H16" s="559"/>
      <c r="I16" s="576" t="s">
        <v>3122</v>
      </c>
      <c r="J16" s="555"/>
      <c r="K16" s="899"/>
      <c r="L16" s="2128"/>
      <c r="M16" s="2120"/>
      <c r="N16" s="2120"/>
      <c r="O16" s="2127"/>
      <c r="P16" s="3408"/>
      <c r="Q16" s="1559"/>
      <c r="R16" s="1560"/>
      <c r="S16" s="1561"/>
      <c r="T16" s="1560"/>
      <c r="U16" s="1561"/>
      <c r="V16" s="1560"/>
      <c r="W16" s="1561"/>
      <c r="X16" s="1554"/>
      <c r="Y16" s="340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28"/>
      <c r="M17" s="2120"/>
      <c r="N17" s="2120"/>
      <c r="O17" s="2127"/>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95"/>
      <c r="C18" s="873" t="s">
        <v>3071</v>
      </c>
      <c r="D18" s="559"/>
      <c r="E18" s="568" t="s">
        <v>3071</v>
      </c>
      <c r="F18" s="563"/>
      <c r="G18" s="569" t="s">
        <v>3071</v>
      </c>
      <c r="H18" s="555"/>
      <c r="I18" s="568" t="s">
        <v>3071</v>
      </c>
      <c r="J18" s="555"/>
      <c r="K18" s="899"/>
      <c r="L18" s="2128"/>
      <c r="M18" s="2120"/>
      <c r="N18" s="2120"/>
      <c r="O18" s="2127"/>
      <c r="P18" s="3408"/>
      <c r="Q18" s="1559"/>
      <c r="R18" s="1560"/>
      <c r="S18" s="1561"/>
      <c r="T18" s="1560"/>
      <c r="U18" s="1561"/>
      <c r="V18" s="1560"/>
      <c r="W18" s="1561"/>
      <c r="X18" s="1554"/>
      <c r="Y18" s="3408"/>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3</v>
      </c>
      <c r="L19" s="2128"/>
      <c r="M19" s="2120"/>
      <c r="N19" s="2120"/>
      <c r="O19" s="2127"/>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95"/>
      <c r="C20" s="576" t="s">
        <v>3122</v>
      </c>
      <c r="D20" s="555"/>
      <c r="E20" s="556" t="s">
        <v>3122</v>
      </c>
      <c r="F20" s="557"/>
      <c r="G20" s="558" t="s">
        <v>3122</v>
      </c>
      <c r="H20" s="555"/>
      <c r="I20" s="556" t="s">
        <v>3122</v>
      </c>
      <c r="J20" s="555"/>
      <c r="K20" s="899"/>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1</v>
      </c>
      <c r="L21" s="2128"/>
      <c r="M21" s="2120"/>
      <c r="N21" s="2120"/>
      <c r="O21" s="2127"/>
      <c r="P21" s="3408"/>
      <c r="Q21" s="2544" t="str">
        <f>B21</f>
        <v>基础设施水平</v>
      </c>
      <c r="R21" s="1560" t="s">
        <v>8</v>
      </c>
      <c r="S21" s="1561">
        <f>F21</f>
        <v>100</v>
      </c>
      <c r="T21" s="1560" t="s">
        <v>8</v>
      </c>
      <c r="U21" s="1561">
        <f>H21</f>
        <v>100</v>
      </c>
      <c r="V21" s="1560" t="s">
        <v>8</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7"/>
      <c r="L22" s="2128"/>
      <c r="M22" s="2120"/>
      <c r="N22" s="2120"/>
      <c r="O22" s="2127"/>
      <c r="P22" s="3408"/>
      <c r="Q22" s="2544"/>
      <c r="R22" s="1560"/>
      <c r="S22" s="1561"/>
      <c r="T22" s="1560"/>
      <c r="U22" s="1561"/>
      <c r="V22" s="1560"/>
      <c r="W22" s="1561"/>
      <c r="X22" s="2546"/>
      <c r="Y22" s="3408"/>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8"/>
      <c r="Q23" s="1559" t="str">
        <f>B23</f>
        <v>自然及人文环境</v>
      </c>
      <c r="R23" s="1560" t="s">
        <v>8</v>
      </c>
      <c r="S23" s="1561">
        <f>F23</f>
        <v>100</v>
      </c>
      <c r="T23" s="1560" t="s">
        <v>8</v>
      </c>
      <c r="U23" s="1561">
        <f>H23</f>
        <v>100</v>
      </c>
      <c r="V23" s="1560" t="s">
        <v>8</v>
      </c>
      <c r="W23" s="1561">
        <f>J23</f>
        <v>100</v>
      </c>
      <c r="X23" s="1554"/>
      <c r="Y23" s="3408"/>
      <c r="Z23" s="1562" t="str">
        <f>Q23</f>
        <v>自然及人文环境</v>
      </c>
      <c r="AA23" s="1563">
        <f t="shared" si="3"/>
        <v>1</v>
      </c>
      <c r="AB23" s="1563">
        <f t="shared" si="4"/>
        <v>1</v>
      </c>
      <c r="AC23" s="1563">
        <f t="shared" si="5"/>
        <v>1</v>
      </c>
    </row>
    <row r="24" spans="1:29" ht="15">
      <c r="A24" s="532"/>
      <c r="B24" s="595"/>
      <c r="C24" s="576" t="s">
        <v>3071</v>
      </c>
      <c r="D24" s="555"/>
      <c r="E24" s="556" t="s">
        <v>3071</v>
      </c>
      <c r="F24" s="557"/>
      <c r="G24" s="558" t="s">
        <v>3071</v>
      </c>
      <c r="H24" s="555"/>
      <c r="I24" s="556" t="s">
        <v>3071</v>
      </c>
      <c r="J24" s="555"/>
      <c r="K24" s="899"/>
      <c r="L24" s="2128"/>
      <c r="M24" s="2120"/>
      <c r="N24" s="2120"/>
      <c r="O24" s="2127"/>
      <c r="P24" s="3408"/>
      <c r="Q24" s="1559"/>
      <c r="R24" s="1560"/>
      <c r="S24" s="1561"/>
      <c r="T24" s="1560"/>
      <c r="U24" s="1561"/>
      <c r="V24" s="1560"/>
      <c r="W24" s="1561"/>
      <c r="X24" s="1554"/>
      <c r="Y24" s="3408"/>
      <c r="Z24" s="1562"/>
      <c r="AA24" s="1563">
        <v>1</v>
      </c>
      <c r="AB24" s="1563">
        <v>1</v>
      </c>
      <c r="AC24" s="1563">
        <v>1</v>
      </c>
    </row>
    <row r="25" spans="1:29" ht="15">
      <c r="A25" s="532"/>
      <c r="B25" s="527" t="s">
        <v>547</v>
      </c>
      <c r="C25" s="583" t="s">
        <v>3156</v>
      </c>
      <c r="D25" s="540">
        <v>100</v>
      </c>
      <c r="E25" s="583" t="s">
        <v>3156</v>
      </c>
      <c r="F25" s="575">
        <f>SUMIF(86:86,E25,87:87)-SUMIF(86:86,C25,87:87)+100</f>
        <v>100</v>
      </c>
      <c r="G25" s="583" t="s">
        <v>3156</v>
      </c>
      <c r="H25" s="540">
        <f>SUMIF(86:86,G25,87:87)-SUMIF(86:86,C25,87:87)+100</f>
        <v>100</v>
      </c>
      <c r="I25" s="583" t="s">
        <v>3156</v>
      </c>
      <c r="J25" s="540">
        <f>SUMIF(86:86,I25,87:87)-SUMIF(86:86,C25,87:87)+100</f>
        <v>100</v>
      </c>
      <c r="K25" s="584">
        <v>2</v>
      </c>
      <c r="L25" s="2128"/>
      <c r="M25" s="2120"/>
      <c r="N25" s="2120"/>
      <c r="O25" s="2127"/>
      <c r="P25" s="3408"/>
      <c r="Q25" s="1559" t="str">
        <f t="shared" ref="Q25:Q46" si="11">B25</f>
        <v>临街状况</v>
      </c>
      <c r="R25" s="1560" t="s">
        <v>8</v>
      </c>
      <c r="S25" s="1561">
        <f>F25</f>
        <v>100</v>
      </c>
      <c r="T25" s="1560" t="s">
        <v>8</v>
      </c>
      <c r="U25" s="1561">
        <f>H25</f>
        <v>100</v>
      </c>
      <c r="V25" s="1560" t="s">
        <v>8</v>
      </c>
      <c r="W25" s="1561">
        <f>J25</f>
        <v>100</v>
      </c>
      <c r="X25" s="1554"/>
      <c r="Y25" s="3408"/>
      <c r="Z25" s="1562" t="str">
        <f>Q25</f>
        <v>临街状况</v>
      </c>
      <c r="AA25" s="1563">
        <f t="shared" si="3"/>
        <v>1</v>
      </c>
      <c r="AB25" s="1563">
        <f t="shared" si="4"/>
        <v>1</v>
      </c>
      <c r="AC25" s="1563">
        <f t="shared" si="5"/>
        <v>1</v>
      </c>
    </row>
    <row r="26" spans="1:29" ht="15">
      <c r="A26" s="532"/>
      <c r="B26" s="877" t="s">
        <v>758</v>
      </c>
      <c r="C26" s="3200" t="s">
        <v>3129</v>
      </c>
      <c r="D26" s="540">
        <v>100</v>
      </c>
      <c r="E26" s="3200" t="s">
        <v>3129</v>
      </c>
      <c r="F26" s="575">
        <f>SUMIF(88:88,E26,89:89)-SUMIF(88:88,C26,89:89)+100</f>
        <v>100</v>
      </c>
      <c r="G26" s="3200" t="s">
        <v>3130</v>
      </c>
      <c r="H26" s="540">
        <f>SUMIF(88:88,G26,89:89)-SUMIF(88:88,C26,89:89)+100</f>
        <v>100</v>
      </c>
      <c r="I26" s="3200" t="s">
        <v>3128</v>
      </c>
      <c r="J26" s="540">
        <f>SUMIF(88:88,I26,89:89)-SUMIF(88:88,C26,89:89)+100</f>
        <v>105</v>
      </c>
      <c r="K26" s="581"/>
      <c r="L26" s="2128"/>
      <c r="M26" s="2120"/>
      <c r="N26" s="2120"/>
      <c r="O26" s="2127"/>
      <c r="P26" s="3408"/>
      <c r="Q26" s="1559" t="str">
        <f t="shared" si="11"/>
        <v>平面位置/可视性</v>
      </c>
      <c r="R26" s="1560" t="s">
        <v>8</v>
      </c>
      <c r="S26" s="1561">
        <f>F26</f>
        <v>100</v>
      </c>
      <c r="T26" s="1560" t="s">
        <v>8</v>
      </c>
      <c r="U26" s="1561">
        <f>H26</f>
        <v>100</v>
      </c>
      <c r="V26" s="1560" t="s">
        <v>8</v>
      </c>
      <c r="W26" s="1561">
        <f>J26</f>
        <v>105</v>
      </c>
      <c r="X26" s="1554"/>
      <c r="Y26" s="3408"/>
      <c r="Z26" s="1562" t="str">
        <f>Q26</f>
        <v>平面位置/可视性</v>
      </c>
      <c r="AA26" s="1563">
        <f t="shared" si="3"/>
        <v>1</v>
      </c>
      <c r="AB26" s="1563">
        <f t="shared" si="4"/>
        <v>1</v>
      </c>
      <c r="AC26" s="1563">
        <f t="shared" si="5"/>
        <v>0.95238095238095233</v>
      </c>
    </row>
    <row r="27" spans="1:29" s="1216" customFormat="1" ht="15">
      <c r="A27" s="536"/>
      <c r="B27" s="871" t="s">
        <v>759</v>
      </c>
      <c r="C27" s="901" t="s">
        <v>3150</v>
      </c>
      <c r="D27" s="875">
        <v>100</v>
      </c>
      <c r="E27" s="901" t="s">
        <v>3150</v>
      </c>
      <c r="F27" s="876">
        <f>SUMIF(90:90,E27,91:91)-SUMIF(90:90,C27,91:91)+100</f>
        <v>100</v>
      </c>
      <c r="G27" s="901" t="s">
        <v>3150</v>
      </c>
      <c r="H27" s="875">
        <f>SUMIF(90:90,G27,91:91)-SUMIF(90:90,C27,91:91)+100</f>
        <v>100</v>
      </c>
      <c r="I27" s="901" t="s">
        <v>3150</v>
      </c>
      <c r="J27" s="875">
        <f>SUMIF(90:90,I27,91:91)-SUMIF(90:90,C27,91:91)+100</f>
        <v>100</v>
      </c>
      <c r="K27" s="584">
        <v>5</v>
      </c>
      <c r="L27" s="2121"/>
      <c r="M27" s="2122"/>
      <c r="N27" s="2122"/>
      <c r="O27" s="2123"/>
      <c r="P27" s="3408"/>
      <c r="Q27" s="1147" t="str">
        <f t="shared" si="11"/>
        <v>人流量</v>
      </c>
      <c r="R27" s="1555" t="s">
        <v>8</v>
      </c>
      <c r="S27" s="1556">
        <f>F27</f>
        <v>100</v>
      </c>
      <c r="T27" s="1555" t="s">
        <v>8</v>
      </c>
      <c r="U27" s="1556">
        <f>H27</f>
        <v>100</v>
      </c>
      <c r="V27" s="1555" t="s">
        <v>8</v>
      </c>
      <c r="W27" s="1556">
        <f>J27</f>
        <v>100</v>
      </c>
      <c r="X27" s="1557"/>
      <c r="Y27" s="340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8"/>
      <c r="Q29" s="1559">
        <f t="shared" si="11"/>
        <v>111</v>
      </c>
      <c r="R29" s="1560" t="s">
        <v>8</v>
      </c>
      <c r="S29" s="1561">
        <f t="shared" si="12"/>
        <v>100</v>
      </c>
      <c r="T29" s="1560" t="s">
        <v>8</v>
      </c>
      <c r="U29" s="1561">
        <f t="shared" si="13"/>
        <v>100</v>
      </c>
      <c r="V29" s="1560" t="s">
        <v>8</v>
      </c>
      <c r="W29" s="1561">
        <f t="shared" si="14"/>
        <v>100</v>
      </c>
      <c r="X29" s="1554"/>
      <c r="Y29" s="340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8"/>
      <c r="Q30" s="1559">
        <f t="shared" si="11"/>
        <v>111</v>
      </c>
      <c r="R30" s="1560" t="s">
        <v>8</v>
      </c>
      <c r="S30" s="1561">
        <f t="shared" si="12"/>
        <v>100</v>
      </c>
      <c r="T30" s="1560" t="s">
        <v>8</v>
      </c>
      <c r="U30" s="1561">
        <f t="shared" si="13"/>
        <v>100</v>
      </c>
      <c r="V30" s="1560" t="s">
        <v>8</v>
      </c>
      <c r="W30" s="1561">
        <f t="shared" si="14"/>
        <v>100</v>
      </c>
      <c r="X30" s="1554"/>
      <c r="Y30" s="340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8"/>
      <c r="Q31" s="1559">
        <f t="shared" si="11"/>
        <v>111</v>
      </c>
      <c r="R31" s="1560" t="s">
        <v>8</v>
      </c>
      <c r="S31" s="1561">
        <f t="shared" si="12"/>
        <v>100</v>
      </c>
      <c r="T31" s="1560" t="s">
        <v>8</v>
      </c>
      <c r="U31" s="1561">
        <f t="shared" si="13"/>
        <v>100</v>
      </c>
      <c r="V31" s="1560" t="s">
        <v>8</v>
      </c>
      <c r="W31" s="1561">
        <f t="shared" si="14"/>
        <v>100</v>
      </c>
      <c r="X31" s="1554"/>
      <c r="Y31" s="3408"/>
      <c r="Z31" s="1562">
        <f t="shared" si="15"/>
        <v>111</v>
      </c>
      <c r="AA31" s="1563">
        <f t="shared" si="3"/>
        <v>1</v>
      </c>
      <c r="AB31" s="1563">
        <f t="shared" si="4"/>
        <v>1</v>
      </c>
      <c r="AC31" s="1563">
        <f t="shared" si="5"/>
        <v>1</v>
      </c>
    </row>
    <row r="32" spans="1:29" ht="15">
      <c r="A32" s="2863" t="s">
        <v>2755</v>
      </c>
      <c r="B32" s="172" t="s">
        <v>762</v>
      </c>
      <c r="C32" s="878" t="s">
        <v>3145</v>
      </c>
      <c r="D32" s="597">
        <v>100</v>
      </c>
      <c r="E32" s="878" t="s">
        <v>3145</v>
      </c>
      <c r="F32" s="575">
        <f>SUMIF(100:100,E32,101:101)-SUMIF(100:100,C32,101:101)+100</f>
        <v>100</v>
      </c>
      <c r="G32" s="878" t="s">
        <v>3145</v>
      </c>
      <c r="H32" s="540">
        <f>SUMIF(100:100,G32,101:101)-SUMIF(100:100,C32,101:101)+100</f>
        <v>100</v>
      </c>
      <c r="I32" s="878" t="s">
        <v>3145</v>
      </c>
      <c r="J32" s="597">
        <f>SUMIF(100:100,I32,101:101)-SUMIF(100:100,C32,101:101)+100</f>
        <v>100</v>
      </c>
      <c r="K32" s="584">
        <v>2</v>
      </c>
      <c r="L32" s="2128"/>
      <c r="M32" s="2120"/>
      <c r="N32" s="2120"/>
      <c r="O32" s="2127"/>
      <c r="P32" s="3409" t="s">
        <v>550</v>
      </c>
      <c r="Q32" s="1559" t="str">
        <f t="shared" si="11"/>
        <v>商业类型</v>
      </c>
      <c r="R32" s="1560" t="s">
        <v>8</v>
      </c>
      <c r="S32" s="1561">
        <f t="shared" si="12"/>
        <v>100</v>
      </c>
      <c r="T32" s="1560" t="s">
        <v>8</v>
      </c>
      <c r="U32" s="1561">
        <f t="shared" si="13"/>
        <v>100</v>
      </c>
      <c r="V32" s="1560" t="s">
        <v>8</v>
      </c>
      <c r="W32" s="1561">
        <f t="shared" si="14"/>
        <v>100</v>
      </c>
      <c r="X32" s="1554"/>
      <c r="Y32" s="341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6"/>
      <c r="M33" s="2157"/>
      <c r="N33" s="2157"/>
      <c r="O33" s="2129"/>
      <c r="P33" s="3410"/>
      <c r="Q33" s="1591" t="str">
        <f t="shared" si="11"/>
        <v>项目建筑规模</v>
      </c>
      <c r="R33" s="1564" t="s">
        <v>8</v>
      </c>
      <c r="S33" s="1565">
        <f t="shared" si="12"/>
        <v>100</v>
      </c>
      <c r="T33" s="1564" t="s">
        <v>8</v>
      </c>
      <c r="U33" s="1565">
        <f t="shared" si="13"/>
        <v>100</v>
      </c>
      <c r="V33" s="1564" t="s">
        <v>8</v>
      </c>
      <c r="W33" s="1565">
        <f t="shared" si="14"/>
        <v>100</v>
      </c>
      <c r="X33" s="1566"/>
      <c r="Y33" s="3410"/>
      <c r="Z33" s="1567" t="str">
        <f t="shared" si="15"/>
        <v>项目建筑规模</v>
      </c>
      <c r="AA33" s="1563">
        <f t="shared" si="3"/>
        <v>1</v>
      </c>
      <c r="AB33" s="1563">
        <f t="shared" si="4"/>
        <v>1</v>
      </c>
      <c r="AC33" s="1563">
        <f t="shared" si="5"/>
        <v>1</v>
      </c>
    </row>
    <row r="34" spans="1:29" ht="15">
      <c r="A34" s="594"/>
      <c r="B34" s="527" t="s">
        <v>727</v>
      </c>
      <c r="C34" s="881" t="s">
        <v>3087</v>
      </c>
      <c r="D34" s="540">
        <v>100</v>
      </c>
      <c r="E34" s="882" t="s">
        <v>3087</v>
      </c>
      <c r="F34" s="575">
        <f>SUMIF(105:105,E34,106:106)-SUMIF(105:105,C34,106:106)+100</f>
        <v>100</v>
      </c>
      <c r="G34" s="881" t="s">
        <v>3087</v>
      </c>
      <c r="H34" s="540">
        <f>SUMIF(105:105,G34,106:106)-SUMIF(105:105,C34,106:106)+100</f>
        <v>100</v>
      </c>
      <c r="I34" s="881" t="s">
        <v>3087</v>
      </c>
      <c r="J34" s="540">
        <f>SUMIF(105:105,I34,106:106)-SUMIF(105:105,C34,106:106)+100</f>
        <v>100</v>
      </c>
      <c r="K34" s="584">
        <v>2</v>
      </c>
      <c r="L34" s="2128"/>
      <c r="M34" s="2120"/>
      <c r="N34" s="2120"/>
      <c r="O34" s="2127"/>
      <c r="P34" s="3410"/>
      <c r="Q34" s="1559" t="str">
        <f t="shared" si="11"/>
        <v>建筑结构</v>
      </c>
      <c r="R34" s="1560" t="s">
        <v>8</v>
      </c>
      <c r="S34" s="1561">
        <f t="shared" si="12"/>
        <v>100</v>
      </c>
      <c r="T34" s="1560" t="s">
        <v>8</v>
      </c>
      <c r="U34" s="1561">
        <f t="shared" si="13"/>
        <v>100</v>
      </c>
      <c r="V34" s="1560" t="s">
        <v>8</v>
      </c>
      <c r="W34" s="1561">
        <f t="shared" si="14"/>
        <v>100</v>
      </c>
      <c r="X34" s="1554"/>
      <c r="Y34" s="3410"/>
      <c r="Z34" s="1562" t="str">
        <f t="shared" si="15"/>
        <v>建筑结构</v>
      </c>
      <c r="AA34" s="1563">
        <f t="shared" si="3"/>
        <v>1</v>
      </c>
      <c r="AB34" s="1563">
        <f t="shared" si="4"/>
        <v>1</v>
      </c>
      <c r="AC34" s="1563">
        <f t="shared" si="5"/>
        <v>1</v>
      </c>
    </row>
    <row r="35" spans="1:29" ht="15">
      <c r="A35" s="594"/>
      <c r="B35" s="527" t="s">
        <v>763</v>
      </c>
      <c r="C35" s="599" t="s">
        <v>3138</v>
      </c>
      <c r="D35" s="540">
        <v>100</v>
      </c>
      <c r="E35" s="599" t="s">
        <v>3138</v>
      </c>
      <c r="F35" s="575">
        <f>SUMIF(107:107,E35,108:108)-SUMIF(107:107,C35,108:108)+100</f>
        <v>100</v>
      </c>
      <c r="G35" s="599" t="s">
        <v>3138</v>
      </c>
      <c r="H35" s="540">
        <f>SUMIF(107:107,G35,108:108)-SUMIF(107:107,C35,108:108)+100</f>
        <v>100</v>
      </c>
      <c r="I35" s="599" t="s">
        <v>3138</v>
      </c>
      <c r="J35" s="540">
        <f>SUMIF(107:107,I35,108:108)-SUMIF(107:107,C35,108:108)+100</f>
        <v>100</v>
      </c>
      <c r="K35" s="584">
        <v>2</v>
      </c>
      <c r="L35" s="2128"/>
      <c r="M35" s="2120"/>
      <c r="N35" s="2120"/>
      <c r="O35" s="2127"/>
      <c r="P35" s="3410"/>
      <c r="Q35" s="1559" t="str">
        <f t="shared" si="11"/>
        <v>公共部分装修</v>
      </c>
      <c r="R35" s="1560" t="s">
        <v>8</v>
      </c>
      <c r="S35" s="1561">
        <f t="shared" si="12"/>
        <v>100</v>
      </c>
      <c r="T35" s="1560" t="s">
        <v>8</v>
      </c>
      <c r="U35" s="1561">
        <f t="shared" si="13"/>
        <v>100</v>
      </c>
      <c r="V35" s="1560" t="s">
        <v>8</v>
      </c>
      <c r="W35" s="1561">
        <f t="shared" si="14"/>
        <v>100</v>
      </c>
      <c r="X35" s="1554"/>
      <c r="Y35" s="3410"/>
      <c r="Z35" s="1562" t="str">
        <f t="shared" si="15"/>
        <v>公共部分装修</v>
      </c>
      <c r="AA35" s="1563">
        <f t="shared" si="3"/>
        <v>1</v>
      </c>
      <c r="AB35" s="1563">
        <f t="shared" si="4"/>
        <v>1</v>
      </c>
      <c r="AC35" s="1563">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28"/>
      <c r="M36" s="2120"/>
      <c r="N36" s="2120"/>
      <c r="O36" s="2127"/>
      <c r="P36" s="3410"/>
      <c r="Q36" s="1559" t="str">
        <f t="shared" si="11"/>
        <v>成新度</v>
      </c>
      <c r="R36" s="1560" t="s">
        <v>8</v>
      </c>
      <c r="S36" s="1561">
        <f t="shared" si="12"/>
        <v>100</v>
      </c>
      <c r="T36" s="1560" t="s">
        <v>8</v>
      </c>
      <c r="U36" s="1561">
        <f t="shared" si="13"/>
        <v>100</v>
      </c>
      <c r="V36" s="1560" t="s">
        <v>8</v>
      </c>
      <c r="W36" s="1561">
        <f t="shared" si="14"/>
        <v>100</v>
      </c>
      <c r="X36" s="1554"/>
      <c r="Y36" s="3410"/>
      <c r="Z36" s="1562" t="str">
        <f t="shared" si="15"/>
        <v>成新度</v>
      </c>
      <c r="AA36" s="1563">
        <f t="shared" si="3"/>
        <v>1</v>
      </c>
      <c r="AB36" s="1563">
        <f t="shared" si="4"/>
        <v>1</v>
      </c>
      <c r="AC36" s="1563">
        <f t="shared" si="5"/>
        <v>1</v>
      </c>
    </row>
    <row r="37" spans="1:29" s="1216" customFormat="1" ht="15">
      <c r="A37" s="600"/>
      <c r="B37" s="1881" t="s">
        <v>2565</v>
      </c>
      <c r="C37" s="599" t="s">
        <v>3085</v>
      </c>
      <c r="D37" s="255">
        <v>100</v>
      </c>
      <c r="E37" s="599" t="s">
        <v>3085</v>
      </c>
      <c r="F37" s="575">
        <f>SUMIF(112:112,E37,113:113)-SUMIF(112:112,C37,113:113)+100</f>
        <v>100</v>
      </c>
      <c r="G37" s="599" t="s">
        <v>3085</v>
      </c>
      <c r="H37" s="540">
        <f>SUMIF(112:112,G37,113:113)-SUMIF(112:112,C37,113:113)+100</f>
        <v>100</v>
      </c>
      <c r="I37" s="599" t="s">
        <v>3085</v>
      </c>
      <c r="J37" s="540">
        <f>SUMIF(112:112,I37,113:113)-SUMIF(112:112,C37,113:113)+100</f>
        <v>100</v>
      </c>
      <c r="K37" s="584">
        <v>1</v>
      </c>
      <c r="L37" s="2121"/>
      <c r="M37" s="2122"/>
      <c r="N37" s="2122"/>
      <c r="O37" s="2123"/>
      <c r="P37" s="3410"/>
      <c r="Q37" s="1147" t="str">
        <f t="shared" si="11"/>
        <v>市政基础设施</v>
      </c>
      <c r="R37" s="1555" t="s">
        <v>8</v>
      </c>
      <c r="S37" s="1556">
        <f t="shared" si="12"/>
        <v>100</v>
      </c>
      <c r="T37" s="1555" t="s">
        <v>8</v>
      </c>
      <c r="U37" s="1556">
        <f t="shared" si="13"/>
        <v>100</v>
      </c>
      <c r="V37" s="1555" t="s">
        <v>8</v>
      </c>
      <c r="W37" s="1556">
        <f t="shared" si="14"/>
        <v>100</v>
      </c>
      <c r="X37" s="1557"/>
      <c r="Y37" s="3410"/>
      <c r="Z37" s="1146" t="str">
        <f t="shared" si="15"/>
        <v>市政基础设施</v>
      </c>
      <c r="AA37" s="1558">
        <f t="shared" si="3"/>
        <v>1</v>
      </c>
      <c r="AB37" s="1558">
        <f t="shared" si="4"/>
        <v>1</v>
      </c>
      <c r="AC37" s="1558">
        <f t="shared" si="5"/>
        <v>1</v>
      </c>
    </row>
    <row r="38" spans="1:29" ht="15">
      <c r="A38" s="594"/>
      <c r="B38" s="527" t="s">
        <v>765</v>
      </c>
      <c r="C38" s="599" t="s">
        <v>3131</v>
      </c>
      <c r="D38" s="540">
        <v>100</v>
      </c>
      <c r="E38" s="599" t="s">
        <v>3131</v>
      </c>
      <c r="F38" s="575">
        <f>SUMIF(114:114,E38,115:115)-SUMIF(114:114,C38,115:115)+100</f>
        <v>100</v>
      </c>
      <c r="G38" s="599" t="s">
        <v>3131</v>
      </c>
      <c r="H38" s="540">
        <f>SUMIF(114:114,G38,115:115)-SUMIF(114:114,C38,115:115)+100</f>
        <v>100</v>
      </c>
      <c r="I38" s="599" t="s">
        <v>3131</v>
      </c>
      <c r="J38" s="540">
        <f>SUMIF(114:114,I38,115:115)-SUMIF(114:114,C38,115:115)+100</f>
        <v>100</v>
      </c>
      <c r="K38" s="584">
        <v>5</v>
      </c>
      <c r="L38" s="2128"/>
      <c r="M38" s="2120"/>
      <c r="N38" s="2120"/>
      <c r="O38" s="2127"/>
      <c r="P38" s="3410" t="s">
        <v>766</v>
      </c>
      <c r="Q38" s="1559" t="str">
        <f t="shared" si="11"/>
        <v>业态</v>
      </c>
      <c r="R38" s="1560" t="s">
        <v>8</v>
      </c>
      <c r="S38" s="1561">
        <f t="shared" si="12"/>
        <v>100</v>
      </c>
      <c r="T38" s="1560" t="s">
        <v>8</v>
      </c>
      <c r="U38" s="1561">
        <f t="shared" si="13"/>
        <v>100</v>
      </c>
      <c r="V38" s="1560" t="s">
        <v>8</v>
      </c>
      <c r="W38" s="1561">
        <f t="shared" si="14"/>
        <v>100</v>
      </c>
      <c r="X38" s="1554"/>
      <c r="Y38" s="3410" t="s">
        <v>766</v>
      </c>
      <c r="Z38" s="1562" t="str">
        <f t="shared" si="15"/>
        <v>业态</v>
      </c>
      <c r="AA38" s="1563">
        <f t="shared" si="3"/>
        <v>1</v>
      </c>
      <c r="AB38" s="1563">
        <f t="shared" si="4"/>
        <v>1</v>
      </c>
      <c r="AC38" s="1563">
        <f t="shared" si="5"/>
        <v>1</v>
      </c>
    </row>
    <row r="39" spans="1:29" ht="15">
      <c r="A39" s="594"/>
      <c r="B39" s="527" t="s">
        <v>767</v>
      </c>
      <c r="C39" s="599" t="s">
        <v>3166</v>
      </c>
      <c r="D39" s="540">
        <v>100</v>
      </c>
      <c r="E39" s="599" t="s">
        <v>3166</v>
      </c>
      <c r="F39" s="575">
        <f>SUMIF(116:116,E39,117:117)-SUMIF(116:116,C39,117:117)+100</f>
        <v>100</v>
      </c>
      <c r="G39" s="599" t="s">
        <v>3166</v>
      </c>
      <c r="H39" s="540">
        <f>SUMIF(116:116,G39,117:117)-SUMIF(116:116,C39,117:117)+100</f>
        <v>100</v>
      </c>
      <c r="I39" s="599" t="s">
        <v>3166</v>
      </c>
      <c r="J39" s="540">
        <f>SUMIF(116:116,I39,117:117)-SUMIF(116:116,C39,117:117)+100</f>
        <v>100</v>
      </c>
      <c r="K39" s="584">
        <v>5</v>
      </c>
      <c r="L39" s="2128"/>
      <c r="M39" s="2120"/>
      <c r="N39" s="2120"/>
      <c r="O39" s="2127"/>
      <c r="P39" s="3410"/>
      <c r="Q39" s="1559" t="str">
        <f t="shared" si="11"/>
        <v>层高</v>
      </c>
      <c r="R39" s="1560" t="s">
        <v>8</v>
      </c>
      <c r="S39" s="1561">
        <f t="shared" si="12"/>
        <v>100</v>
      </c>
      <c r="T39" s="1560" t="s">
        <v>8</v>
      </c>
      <c r="U39" s="1561">
        <f t="shared" si="13"/>
        <v>100</v>
      </c>
      <c r="V39" s="1560" t="s">
        <v>8</v>
      </c>
      <c r="W39" s="1561">
        <f t="shared" si="14"/>
        <v>100</v>
      </c>
      <c r="X39" s="1554"/>
      <c r="Y39" s="341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0"/>
      <c r="Q40" s="1559" t="str">
        <f t="shared" si="11"/>
        <v>单套建筑面积</v>
      </c>
      <c r="R40" s="1560" t="s">
        <v>8</v>
      </c>
      <c r="S40" s="1561">
        <f t="shared" si="12"/>
        <v>100</v>
      </c>
      <c r="T40" s="1560" t="s">
        <v>8</v>
      </c>
      <c r="U40" s="1561">
        <f t="shared" si="13"/>
        <v>100</v>
      </c>
      <c r="V40" s="1560" t="s">
        <v>8</v>
      </c>
      <c r="W40" s="1561">
        <f t="shared" si="14"/>
        <v>100</v>
      </c>
      <c r="X40" s="1554"/>
      <c r="Y40" s="3410"/>
      <c r="Z40" s="1562" t="str">
        <f t="shared" si="15"/>
        <v>单套建筑面积</v>
      </c>
      <c r="AA40" s="1563">
        <f t="shared" si="3"/>
        <v>1</v>
      </c>
      <c r="AB40" s="1563">
        <f t="shared" si="4"/>
        <v>1</v>
      </c>
      <c r="AC40" s="1563">
        <f t="shared" si="5"/>
        <v>1</v>
      </c>
    </row>
    <row r="41" spans="1:29" s="1335" customFormat="1" ht="15">
      <c r="A41" s="603"/>
      <c r="B41" s="904" t="s">
        <v>769</v>
      </c>
      <c r="C41" s="583" t="s">
        <v>3163</v>
      </c>
      <c r="D41" s="540">
        <v>100</v>
      </c>
      <c r="E41" s="583" t="s">
        <v>3163</v>
      </c>
      <c r="F41" s="575">
        <f>SUMIF(120:120,E41,121:121)-SUMIF(120:120,C41,121:121)+100</f>
        <v>100</v>
      </c>
      <c r="G41" s="583" t="s">
        <v>3163</v>
      </c>
      <c r="H41" s="540">
        <f>SUMIF(120:120,G41,121:121)-SUMIF(120:120,C41,121:121)+100</f>
        <v>100</v>
      </c>
      <c r="I41" s="583" t="s">
        <v>3163</v>
      </c>
      <c r="J41" s="540">
        <f>SUMIF(120:120,I41,121:121)-SUMIF(120:120,C41,121:121)+100</f>
        <v>100</v>
      </c>
      <c r="K41" s="584">
        <v>2</v>
      </c>
      <c r="L41" s="2126"/>
      <c r="M41" s="2157"/>
      <c r="N41" s="2157"/>
      <c r="O41" s="2129"/>
      <c r="P41" s="3410"/>
      <c r="Q41" s="1591" t="str">
        <f t="shared" si="11"/>
        <v>进深比</v>
      </c>
      <c r="R41" s="1564" t="s">
        <v>8</v>
      </c>
      <c r="S41" s="1565">
        <f t="shared" si="12"/>
        <v>100</v>
      </c>
      <c r="T41" s="1564" t="s">
        <v>8</v>
      </c>
      <c r="U41" s="1565">
        <f t="shared" si="13"/>
        <v>100</v>
      </c>
      <c r="V41" s="1564" t="s">
        <v>8</v>
      </c>
      <c r="W41" s="1565">
        <f t="shared" si="14"/>
        <v>100</v>
      </c>
      <c r="X41" s="1566"/>
      <c r="Y41" s="3410"/>
      <c r="Z41" s="1567" t="str">
        <f t="shared" si="15"/>
        <v>进深比</v>
      </c>
      <c r="AA41" s="1563">
        <f t="shared" si="3"/>
        <v>1</v>
      </c>
      <c r="AB41" s="1563">
        <f t="shared" si="4"/>
        <v>1</v>
      </c>
      <c r="AC41" s="1563">
        <f t="shared" si="5"/>
        <v>1</v>
      </c>
    </row>
    <row r="42" spans="1:29" ht="15">
      <c r="A42" s="594"/>
      <c r="B42" s="527" t="s">
        <v>770</v>
      </c>
      <c r="C42" s="599" t="s">
        <v>3097</v>
      </c>
      <c r="D42" s="540">
        <v>100</v>
      </c>
      <c r="E42" s="599" t="s">
        <v>3097</v>
      </c>
      <c r="F42" s="575">
        <f>SUMIF(122:122,E42,123:123)-SUMIF(122:122,C42,123:123)+100</f>
        <v>100</v>
      </c>
      <c r="G42" s="599" t="s">
        <v>3097</v>
      </c>
      <c r="H42" s="540">
        <f>SUMIF(122:122,G42,123:123)-SUMIF(122:122,C42,123:123)+100</f>
        <v>100</v>
      </c>
      <c r="I42" s="599" t="s">
        <v>3097</v>
      </c>
      <c r="J42" s="540">
        <f>SUMIF(122:122,I42,123:123)-SUMIF(122:122,C42,123:123)+100</f>
        <v>100</v>
      </c>
      <c r="K42" s="584">
        <v>2</v>
      </c>
      <c r="L42" s="2128"/>
      <c r="M42" s="2120"/>
      <c r="N42" s="2120"/>
      <c r="O42" s="2127"/>
      <c r="P42" s="3410"/>
      <c r="Q42" s="1559" t="str">
        <f t="shared" si="11"/>
        <v>内部装修</v>
      </c>
      <c r="R42" s="1560" t="s">
        <v>8</v>
      </c>
      <c r="S42" s="1561">
        <f t="shared" si="12"/>
        <v>100</v>
      </c>
      <c r="T42" s="1560" t="s">
        <v>8</v>
      </c>
      <c r="U42" s="1561">
        <f t="shared" si="13"/>
        <v>100</v>
      </c>
      <c r="V42" s="1560" t="s">
        <v>8</v>
      </c>
      <c r="W42" s="1561">
        <f t="shared" si="14"/>
        <v>100</v>
      </c>
      <c r="X42" s="1554"/>
      <c r="Y42" s="3410"/>
      <c r="Z42" s="1562" t="str">
        <f t="shared" si="15"/>
        <v>内部装修</v>
      </c>
      <c r="AA42" s="1563">
        <f t="shared" si="3"/>
        <v>1</v>
      </c>
      <c r="AB42" s="1563">
        <f t="shared" si="4"/>
        <v>1</v>
      </c>
      <c r="AC42" s="1563">
        <f t="shared" si="5"/>
        <v>1</v>
      </c>
    </row>
    <row r="43" spans="1:29" ht="27">
      <c r="A43" s="594"/>
      <c r="B43" s="527" t="s">
        <v>735</v>
      </c>
      <c r="C43" s="599" t="s">
        <v>3072</v>
      </c>
      <c r="D43" s="540">
        <v>100</v>
      </c>
      <c r="E43" s="599" t="s">
        <v>3072</v>
      </c>
      <c r="F43" s="575">
        <f>SUMIF(124:124,E43,125:125)-SUMIF(124:124,C43,125:125)+100</f>
        <v>100</v>
      </c>
      <c r="G43" s="599" t="s">
        <v>3072</v>
      </c>
      <c r="H43" s="540">
        <f>SUMIF(124:124,G43,125:125)-SUMIF(124:124,C43,125:125)+100</f>
        <v>100</v>
      </c>
      <c r="I43" s="599" t="s">
        <v>3072</v>
      </c>
      <c r="J43" s="540">
        <f>SUMIF(124:124,I43,125:125)-SUMIF(124:124,C43,125:125)+100</f>
        <v>100</v>
      </c>
      <c r="K43" s="584">
        <v>2</v>
      </c>
      <c r="L43" s="2128"/>
      <c r="M43" s="2120"/>
      <c r="N43" s="2120"/>
      <c r="O43" s="2127"/>
      <c r="P43" s="3410"/>
      <c r="Q43" s="1559" t="str">
        <f t="shared" si="11"/>
        <v>内部装修维护情况</v>
      </c>
      <c r="R43" s="1560" t="s">
        <v>8</v>
      </c>
      <c r="S43" s="1561">
        <f t="shared" si="12"/>
        <v>100</v>
      </c>
      <c r="T43" s="1560" t="s">
        <v>8</v>
      </c>
      <c r="U43" s="1561">
        <f t="shared" si="13"/>
        <v>100</v>
      </c>
      <c r="V43" s="1560" t="s">
        <v>8</v>
      </c>
      <c r="W43" s="1561">
        <f t="shared" si="14"/>
        <v>100</v>
      </c>
      <c r="X43" s="1554"/>
      <c r="Y43" s="341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0"/>
      <c r="Q44" s="1147">
        <f t="shared" si="11"/>
        <v>111</v>
      </c>
      <c r="R44" s="1555" t="s">
        <v>8</v>
      </c>
      <c r="S44" s="1556">
        <f t="shared" si="12"/>
        <v>100</v>
      </c>
      <c r="T44" s="1555" t="s">
        <v>8</v>
      </c>
      <c r="U44" s="1556">
        <f t="shared" si="13"/>
        <v>100</v>
      </c>
      <c r="V44" s="1555" t="s">
        <v>8</v>
      </c>
      <c r="W44" s="1556">
        <f t="shared" si="14"/>
        <v>100</v>
      </c>
      <c r="X44" s="1557"/>
      <c r="Y44" s="341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0"/>
      <c r="Q45" s="1559">
        <f t="shared" si="11"/>
        <v>111</v>
      </c>
      <c r="R45" s="1560" t="s">
        <v>8</v>
      </c>
      <c r="S45" s="1561">
        <f t="shared" si="12"/>
        <v>100</v>
      </c>
      <c r="T45" s="1560" t="s">
        <v>8</v>
      </c>
      <c r="U45" s="1561">
        <f t="shared" si="13"/>
        <v>100</v>
      </c>
      <c r="V45" s="1560" t="s">
        <v>8</v>
      </c>
      <c r="W45" s="1561">
        <f t="shared" si="14"/>
        <v>100</v>
      </c>
      <c r="X45" s="1554"/>
      <c r="Y45" s="341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1"/>
      <c r="Q46" s="1559">
        <f t="shared" si="11"/>
        <v>111</v>
      </c>
      <c r="R46" s="1560" t="s">
        <v>8</v>
      </c>
      <c r="S46" s="1561">
        <f t="shared" si="12"/>
        <v>100</v>
      </c>
      <c r="T46" s="1560" t="s">
        <v>8</v>
      </c>
      <c r="U46" s="1561">
        <f t="shared" si="13"/>
        <v>100</v>
      </c>
      <c r="V46" s="1560" t="s">
        <v>8</v>
      </c>
      <c r="W46" s="1561">
        <f t="shared" si="14"/>
        <v>100</v>
      </c>
      <c r="X46" s="1554"/>
      <c r="Y46" s="3491"/>
      <c r="Z46" s="1562">
        <f t="shared" si="15"/>
        <v>111</v>
      </c>
      <c r="AA46" s="1563">
        <f t="shared" si="3"/>
        <v>1</v>
      </c>
      <c r="AB46" s="1563">
        <f t="shared" si="4"/>
        <v>1</v>
      </c>
      <c r="AC46" s="1563">
        <f t="shared" si="5"/>
        <v>1</v>
      </c>
    </row>
    <row r="47" spans="1:29" ht="15">
      <c r="A47" s="607" t="s">
        <v>736</v>
      </c>
      <c r="B47" s="887"/>
      <c r="C47" s="2592" t="s">
        <v>1</v>
      </c>
      <c r="D47" s="2593"/>
      <c r="E47" s="2594">
        <v>9500</v>
      </c>
      <c r="F47" s="2595"/>
      <c r="G47" s="2596">
        <v>9500</v>
      </c>
      <c r="H47" s="2597"/>
      <c r="I47" s="2594">
        <v>9500</v>
      </c>
      <c r="J47" s="2597"/>
      <c r="K47" s="1597"/>
      <c r="L47" s="2130"/>
      <c r="M47" s="2131"/>
      <c r="N47" s="2120"/>
      <c r="O47" s="2131"/>
      <c r="P47" s="3372" t="str">
        <f>A47</f>
        <v>成交单价（元/平方米）</v>
      </c>
      <c r="Q47" s="3372"/>
      <c r="R47" s="3490">
        <f>E47</f>
        <v>9500</v>
      </c>
      <c r="S47" s="3490"/>
      <c r="T47" s="3490">
        <f>G47</f>
        <v>9500</v>
      </c>
      <c r="U47" s="3490"/>
      <c r="V47" s="3490">
        <f>I47</f>
        <v>9500</v>
      </c>
      <c r="W47" s="3490"/>
      <c r="X47" s="1546"/>
      <c r="Y47" s="1568"/>
      <c r="Z47" s="1546"/>
      <c r="AA47" s="1546"/>
      <c r="AB47" s="1546"/>
      <c r="AC47" s="1546"/>
    </row>
    <row r="48" spans="1:29" ht="15.75" thickBot="1">
      <c r="A48" s="615" t="s">
        <v>2760</v>
      </c>
      <c r="B48" s="888"/>
      <c r="C48" s="2598">
        <f>R49</f>
        <v>9349.2000000000007</v>
      </c>
      <c r="D48" s="2599"/>
      <c r="E48" s="2600">
        <f>R48</f>
        <v>9500</v>
      </c>
      <c r="F48" s="2600"/>
      <c r="G48" s="2598">
        <f>T48</f>
        <v>9500</v>
      </c>
      <c r="H48" s="2599"/>
      <c r="I48" s="2600">
        <f>V48</f>
        <v>9047.6</v>
      </c>
      <c r="J48" s="2599"/>
      <c r="K48" s="1598"/>
      <c r="L48" s="2130"/>
      <c r="M48" s="2131"/>
      <c r="N48" s="2120"/>
      <c r="O48" s="2131"/>
      <c r="P48" s="3372" t="str">
        <f>A48</f>
        <v>比较价格（元/平方米）</v>
      </c>
      <c r="Q48" s="3372"/>
      <c r="R48" s="3490">
        <f>IF(F1="售价",ROUND(PRODUCT(R47,AA7:AA46),0),ROUND(PRODUCT(R47,AA7:AA46),1))</f>
        <v>9500</v>
      </c>
      <c r="S48" s="3490"/>
      <c r="T48" s="3490">
        <f>IF(F1="售价",ROUND(PRODUCT(T47,AB7:AB46),0),ROUND(PRODUCT(T47,AB7:AB46),1))</f>
        <v>9500</v>
      </c>
      <c r="U48" s="3490"/>
      <c r="V48" s="3490">
        <f>IF(F1="售价",ROUND(PRODUCT(V47,AC7:AC46),0),ROUND(PRODUCT(V47,AC7:AC46),1))</f>
        <v>9047.6</v>
      </c>
      <c r="W48" s="3490"/>
      <c r="X48" s="1546"/>
      <c r="Y48" s="1546"/>
      <c r="Z48" s="1546"/>
      <c r="AA48" s="1546"/>
      <c r="AB48" s="1546"/>
      <c r="AC48" s="1546"/>
    </row>
    <row r="49" spans="1:29" ht="15.75" thickBot="1">
      <c r="A49" s="621" t="s">
        <v>2937</v>
      </c>
      <c r="B49" s="622"/>
      <c r="C49" s="2601">
        <f>R49</f>
        <v>9349.2000000000007</v>
      </c>
      <c r="D49" s="2601"/>
      <c r="E49" s="2601"/>
      <c r="F49" s="2601"/>
      <c r="G49" s="2601"/>
      <c r="H49" s="2601"/>
      <c r="I49" s="2601"/>
      <c r="J49" s="2601"/>
      <c r="K49" s="1599"/>
      <c r="L49" s="2130"/>
      <c r="M49" s="2131"/>
      <c r="N49" s="2120"/>
      <c r="O49" s="2131"/>
      <c r="P49" s="3369" t="str">
        <f>A49</f>
        <v>估价对象XX用房的比较价格（楼面单价，元/平方米）</v>
      </c>
      <c r="Q49" s="3370"/>
      <c r="R49" s="3489">
        <f>IF(F1="售价",ROUND(AVERAGE(R48:V48),0),ROUND(AVERAGE(R48:V48),1))</f>
        <v>9349.2000000000007</v>
      </c>
      <c r="S49" s="3489"/>
      <c r="T49" s="3489"/>
      <c r="U49" s="3489"/>
      <c r="V49" s="3489"/>
      <c r="W49" s="348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v>
      </c>
      <c r="F52" s="627" t="str">
        <f>IF(OR(E52&gt;=0.3,E52&lt;=-0.3),"超过30%","")</f>
        <v/>
      </c>
      <c r="G52" s="626">
        <f>IF(G47&lt;G48,G48/G47-1,G47/G48-1)</f>
        <v>0</v>
      </c>
      <c r="H52" s="627" t="str">
        <f>IF(OR(G52&gt;=0.3,G52&lt;=-0.3),"超过30%","")</f>
        <v/>
      </c>
      <c r="I52" s="626">
        <f>IF(I47&lt;I48,I48/I47-1,I47/I48-1)</f>
        <v>5.0002210530969426E-2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v>
      </c>
      <c r="F53" s="627" t="str">
        <f>IF(OR(E53&gt;=0.2,E53&lt;=-0.2),"超过20%","")</f>
        <v/>
      </c>
      <c r="G53" s="626">
        <f>IF(G48&lt;I48,I48/G48-1,G48/I48-1)</f>
        <v>5.0002210530969426E-2</v>
      </c>
      <c r="H53" s="627" t="str">
        <f>IF(OR(G53&gt;=0.2,G53&lt;=-0.2),"超过20%","")</f>
        <v/>
      </c>
      <c r="I53" s="626">
        <f>IF(I48&lt;E48,E48/I48-1,I48/E48-1)</f>
        <v>5.0002210530969426E-2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t="str">
        <f>C9</f>
        <v>商业</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3188" t="s">
        <v>3153</v>
      </c>
      <c r="D86" s="3188" t="s">
        <v>3154</v>
      </c>
      <c r="E86" s="3188" t="s">
        <v>3155</v>
      </c>
      <c r="F86" s="3188" t="s">
        <v>3157</v>
      </c>
      <c r="G86" s="3188" t="s">
        <v>3158</v>
      </c>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3188" t="s">
        <v>3159</v>
      </c>
      <c r="D88" s="3188" t="s">
        <v>3128</v>
      </c>
      <c r="E88" s="3188" t="s">
        <v>3129</v>
      </c>
      <c r="F88" s="3201" t="s">
        <v>3160</v>
      </c>
      <c r="G88" s="3188" t="s">
        <v>3161</v>
      </c>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v>100</v>
      </c>
      <c r="D89" s="671">
        <v>95</v>
      </c>
      <c r="E89" s="671">
        <v>90</v>
      </c>
      <c r="F89" s="692">
        <v>85</v>
      </c>
      <c r="G89" s="671">
        <v>80</v>
      </c>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3188" t="s">
        <v>3148</v>
      </c>
      <c r="D90" s="3188" t="s">
        <v>3149</v>
      </c>
      <c r="E90" s="3188" t="s">
        <v>3129</v>
      </c>
      <c r="F90" s="3188" t="s">
        <v>3151</v>
      </c>
      <c r="G90" s="3188" t="s">
        <v>3152</v>
      </c>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3189" t="s">
        <v>3144</v>
      </c>
      <c r="D100" s="3189" t="s">
        <v>3147</v>
      </c>
      <c r="E100" s="3189" t="s">
        <v>3146</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v>
      </c>
      <c r="D102" s="708" t="str">
        <f t="shared" ref="D102:L102" si="22">D103&amp;"(含)"&amp;"-"&amp;E103</f>
        <v>10000(含)-20000</v>
      </c>
      <c r="E102" s="708" t="str">
        <f t="shared" si="22"/>
        <v>20000(含)-50000</v>
      </c>
      <c r="F102" s="708" t="str">
        <f t="shared" si="22"/>
        <v>50000(含)-80000</v>
      </c>
      <c r="G102" s="708" t="str">
        <f t="shared" si="22"/>
        <v>80000(含)-100000</v>
      </c>
      <c r="H102" s="708" t="str">
        <f t="shared" si="22"/>
        <v>100000(含)-150000</v>
      </c>
      <c r="I102" s="708" t="str">
        <f t="shared" si="22"/>
        <v>150000(含)-200000</v>
      </c>
      <c r="J102" s="708" t="str">
        <f t="shared" si="22"/>
        <v>200000(含)-250000</v>
      </c>
      <c r="K102" s="708" t="str">
        <f t="shared" si="22"/>
        <v>250000(含)-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v>
      </c>
      <c r="E103" s="730">
        <v>20000</v>
      </c>
      <c r="F103" s="730">
        <v>50000</v>
      </c>
      <c r="G103" s="730">
        <v>80000</v>
      </c>
      <c r="H103" s="730">
        <v>100000</v>
      </c>
      <c r="I103" s="730">
        <v>150000</v>
      </c>
      <c r="J103" s="731">
        <v>200000</v>
      </c>
      <c r="K103" s="731">
        <v>250000</v>
      </c>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98</v>
      </c>
      <c r="E104" s="671">
        <v>96</v>
      </c>
      <c r="F104" s="692">
        <v>94</v>
      </c>
      <c r="G104" s="671">
        <v>92</v>
      </c>
      <c r="H104" s="671">
        <v>90</v>
      </c>
      <c r="I104" s="692">
        <v>88</v>
      </c>
      <c r="J104" s="671">
        <v>86</v>
      </c>
      <c r="K104" s="671">
        <v>84</v>
      </c>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8" t="s">
        <v>3143</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3188" t="s">
        <v>3139</v>
      </c>
      <c r="D107" s="3188" t="s">
        <v>3140</v>
      </c>
      <c r="E107" s="3188" t="s">
        <v>3142</v>
      </c>
      <c r="F107" s="3192" t="s">
        <v>3141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3188" t="s">
        <v>3134</v>
      </c>
      <c r="D112" s="3188" t="s">
        <v>3135</v>
      </c>
      <c r="E112" s="3188" t="s">
        <v>3136</v>
      </c>
      <c r="F112" s="3188" t="s">
        <v>3137</v>
      </c>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3188" t="s">
        <v>3132</v>
      </c>
      <c r="D114" s="3188" t="s">
        <v>3133</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3188" t="s">
        <v>3167</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95</v>
      </c>
      <c r="E117" s="679">
        <f>D117-$K39</f>
        <v>90</v>
      </c>
      <c r="F117" s="679">
        <f>E117-$K39</f>
        <v>85</v>
      </c>
      <c r="G117" s="679">
        <f>F117-$K39</f>
        <v>80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3192" t="s">
        <v>3162</v>
      </c>
      <c r="D120" s="3192" t="s">
        <v>3164</v>
      </c>
      <c r="E120" s="3192" t="s">
        <v>3129</v>
      </c>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8" t="s">
        <v>3139</v>
      </c>
      <c r="D122" s="3188" t="s">
        <v>3140</v>
      </c>
      <c r="E122" s="3188" t="s">
        <v>3165</v>
      </c>
      <c r="F122" s="3192" t="s">
        <v>3141</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8" t="s">
        <v>522</v>
      </c>
      <c r="D4" s="3379"/>
      <c r="E4" s="3413" t="s">
        <v>523</v>
      </c>
      <c r="F4" s="3414"/>
      <c r="G4" s="3378" t="s">
        <v>524</v>
      </c>
      <c r="H4" s="3379"/>
      <c r="I4" s="3378" t="s">
        <v>525</v>
      </c>
      <c r="J4" s="3379"/>
      <c r="K4" s="514" t="s">
        <v>526</v>
      </c>
      <c r="L4" s="2119"/>
      <c r="M4" s="2120"/>
      <c r="N4" s="2120"/>
      <c r="O4" s="2120"/>
      <c r="P4" s="3494"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2931</v>
      </c>
      <c r="D5" s="3395"/>
      <c r="E5" s="3415" t="s">
        <v>2932</v>
      </c>
      <c r="F5" s="3416"/>
      <c r="G5" s="3394" t="s">
        <v>2933</v>
      </c>
      <c r="H5" s="3395"/>
      <c r="I5" s="3394" t="s">
        <v>2934</v>
      </c>
      <c r="J5" s="3395"/>
      <c r="K5" s="514"/>
      <c r="L5" s="2119"/>
      <c r="M5" s="2120"/>
      <c r="N5" s="2120"/>
      <c r="O5" s="2120"/>
      <c r="P5" s="3495"/>
      <c r="Q5" s="3383"/>
      <c r="R5" s="3388"/>
      <c r="S5" s="3389"/>
      <c r="T5" s="3388"/>
      <c r="U5" s="3389"/>
      <c r="V5" s="3373"/>
      <c r="W5" s="3373"/>
      <c r="X5" s="1554"/>
      <c r="Y5" s="3388"/>
      <c r="Z5" s="3389"/>
      <c r="AA5" s="3376"/>
      <c r="AB5" s="3376"/>
      <c r="AC5" s="3376"/>
    </row>
    <row r="6" spans="1:29" ht="15.75" thickBot="1">
      <c r="A6" s="517"/>
      <c r="B6" s="518"/>
      <c r="C6" s="3392" t="s">
        <v>2935</v>
      </c>
      <c r="D6" s="3393"/>
      <c r="E6" s="3411" t="s">
        <v>2935</v>
      </c>
      <c r="F6" s="3412"/>
      <c r="G6" s="3392" t="s">
        <v>2935</v>
      </c>
      <c r="H6" s="3393"/>
      <c r="I6" s="3392" t="s">
        <v>2935</v>
      </c>
      <c r="J6" s="3393"/>
      <c r="K6" s="514" t="s">
        <v>528</v>
      </c>
      <c r="L6" s="2119"/>
      <c r="M6" s="2120"/>
      <c r="N6" s="2120"/>
      <c r="O6" s="2120"/>
      <c r="P6" s="3496"/>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43679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6" t="s">
        <v>530</v>
      </c>
      <c r="Q7" s="3406"/>
      <c r="R7" s="1555" t="s">
        <v>8</v>
      </c>
      <c r="S7" s="1556">
        <f t="shared" ref="S7:S15" si="0">F7</f>
        <v>0</v>
      </c>
      <c r="T7" s="1555" t="s">
        <v>8</v>
      </c>
      <c r="U7" s="1556">
        <f t="shared" ref="U7:U15" si="1">H7</f>
        <v>0</v>
      </c>
      <c r="V7" s="1555" t="s">
        <v>8</v>
      </c>
      <c r="W7" s="1556">
        <f t="shared" ref="W7:W15" si="2">J7</f>
        <v>0</v>
      </c>
      <c r="X7" s="1557"/>
      <c r="Y7" s="3404" t="s">
        <v>530</v>
      </c>
      <c r="Z7" s="340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6" t="s">
        <v>533</v>
      </c>
      <c r="Q8" s="3405"/>
      <c r="R8" s="1555" t="s">
        <v>8</v>
      </c>
      <c r="S8" s="1556">
        <f t="shared" si="0"/>
        <v>0</v>
      </c>
      <c r="T8" s="1555" t="s">
        <v>8</v>
      </c>
      <c r="U8" s="1556">
        <f t="shared" si="1"/>
        <v>0</v>
      </c>
      <c r="V8" s="1555" t="s">
        <v>8</v>
      </c>
      <c r="W8" s="1556">
        <f t="shared" si="2"/>
        <v>0</v>
      </c>
      <c r="X8" s="1557"/>
      <c r="Y8" s="3404" t="s">
        <v>533</v>
      </c>
      <c r="Z8" s="3405"/>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7" t="s">
        <v>540</v>
      </c>
      <c r="Q15" s="1559" t="str">
        <f t="shared" si="6"/>
        <v>办公集聚程度</v>
      </c>
      <c r="R15" s="1560" t="s">
        <v>8</v>
      </c>
      <c r="S15" s="1561">
        <f t="shared" si="0"/>
        <v>100</v>
      </c>
      <c r="T15" s="1560" t="s">
        <v>8</v>
      </c>
      <c r="U15" s="1561">
        <f t="shared" si="1"/>
        <v>100</v>
      </c>
      <c r="V15" s="1560" t="s">
        <v>8</v>
      </c>
      <c r="W15" s="1561">
        <f t="shared" si="2"/>
        <v>100</v>
      </c>
      <c r="X15" s="1554"/>
      <c r="Y15" s="340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8"/>
      <c r="Q16" s="1559"/>
      <c r="R16" s="1560"/>
      <c r="S16" s="1561"/>
      <c r="T16" s="1560"/>
      <c r="U16" s="1561"/>
      <c r="V16" s="1560"/>
      <c r="W16" s="1561"/>
      <c r="X16" s="1554"/>
      <c r="Y16" s="3408"/>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8"/>
      <c r="Q18" s="1559"/>
      <c r="R18" s="1560"/>
      <c r="S18" s="1561"/>
      <c r="T18" s="1560"/>
      <c r="U18" s="1561"/>
      <c r="V18" s="1560"/>
      <c r="W18" s="1561"/>
      <c r="X18" s="1554"/>
      <c r="Y18" s="3408"/>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8"/>
      <c r="Q20" s="1559"/>
      <c r="R20" s="1560"/>
      <c r="S20" s="1561"/>
      <c r="T20" s="1560"/>
      <c r="U20" s="1561"/>
      <c r="V20" s="1560"/>
      <c r="W20" s="1561"/>
      <c r="X20" s="1554"/>
      <c r="Y20" s="3408"/>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8"/>
      <c r="Q21" s="2544" t="str">
        <f>B21</f>
        <v>基础设施水平</v>
      </c>
      <c r="R21" s="1560" t="s">
        <v>8</v>
      </c>
      <c r="S21" s="1561">
        <f>F21</f>
        <v>100</v>
      </c>
      <c r="T21" s="1560" t="s">
        <v>8</v>
      </c>
      <c r="U21" s="1561">
        <f>H21</f>
        <v>100</v>
      </c>
      <c r="V21" s="1560" t="s">
        <v>8</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8"/>
      <c r="Q22" s="2544"/>
      <c r="R22" s="1560"/>
      <c r="S22" s="1561"/>
      <c r="T22" s="1560"/>
      <c r="U22" s="1561"/>
      <c r="V22" s="1560"/>
      <c r="W22" s="1561"/>
      <c r="X22" s="2546"/>
      <c r="Y22" s="3408"/>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8"/>
      <c r="Q23" s="1559" t="str">
        <f>B23</f>
        <v>环境质量</v>
      </c>
      <c r="R23" s="1560" t="s">
        <v>8</v>
      </c>
      <c r="S23" s="1561">
        <f>F23</f>
        <v>100</v>
      </c>
      <c r="T23" s="1560" t="s">
        <v>8</v>
      </c>
      <c r="U23" s="1561">
        <f>H23</f>
        <v>100</v>
      </c>
      <c r="V23" s="1560" t="s">
        <v>8</v>
      </c>
      <c r="W23" s="1561">
        <f>J23</f>
        <v>100</v>
      </c>
      <c r="X23" s="1554"/>
      <c r="Y23" s="340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8"/>
      <c r="Q24" s="1559"/>
      <c r="R24" s="1560"/>
      <c r="S24" s="1561"/>
      <c r="T24" s="1560"/>
      <c r="U24" s="1561"/>
      <c r="V24" s="1560"/>
      <c r="W24" s="1561"/>
      <c r="X24" s="1554"/>
      <c r="Y24" s="340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8"/>
      <c r="Q25" s="1559" t="str">
        <f>B25</f>
        <v>毗邻道路的类型与等级</v>
      </c>
      <c r="R25" s="1560" t="s">
        <v>8</v>
      </c>
      <c r="S25" s="1561">
        <f>F25</f>
        <v>100</v>
      </c>
      <c r="T25" s="1560" t="s">
        <v>8</v>
      </c>
      <c r="U25" s="1561">
        <f>H25</f>
        <v>100</v>
      </c>
      <c r="V25" s="1560" t="s">
        <v>8</v>
      </c>
      <c r="W25" s="1561">
        <f>J25</f>
        <v>100</v>
      </c>
      <c r="X25" s="1554"/>
      <c r="Y25" s="340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8"/>
      <c r="Q26" s="1559"/>
      <c r="R26" s="1560"/>
      <c r="S26" s="1561"/>
      <c r="T26" s="1560"/>
      <c r="U26" s="1561"/>
      <c r="V26" s="1560"/>
      <c r="W26" s="1561"/>
      <c r="X26" s="1554"/>
      <c r="Y26" s="340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8"/>
      <c r="Q27" s="1559" t="str">
        <f t="shared" ref="Q27:Q47" si="11">B27</f>
        <v>楼层</v>
      </c>
      <c r="R27" s="1560" t="s">
        <v>8</v>
      </c>
      <c r="S27" s="1561">
        <f>F27</f>
        <v>100</v>
      </c>
      <c r="T27" s="1560" t="s">
        <v>8</v>
      </c>
      <c r="U27" s="1561">
        <f>H27</f>
        <v>100</v>
      </c>
      <c r="V27" s="1560" t="s">
        <v>8</v>
      </c>
      <c r="W27" s="1561">
        <f>J27</f>
        <v>100</v>
      </c>
      <c r="X27" s="1554"/>
      <c r="Y27" s="340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8"/>
      <c r="Q28" s="1147" t="str">
        <f t="shared" si="11"/>
        <v>朝向</v>
      </c>
      <c r="R28" s="1555" t="s">
        <v>8</v>
      </c>
      <c r="S28" s="1556">
        <f>F28</f>
        <v>100</v>
      </c>
      <c r="T28" s="1555" t="s">
        <v>8</v>
      </c>
      <c r="U28" s="1556">
        <f>H28</f>
        <v>100</v>
      </c>
      <c r="V28" s="1555" t="s">
        <v>8</v>
      </c>
      <c r="W28" s="1556">
        <f>J28</f>
        <v>100</v>
      </c>
      <c r="X28" s="1557"/>
      <c r="Y28" s="340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8"/>
      <c r="Q29" s="1559">
        <f t="shared" si="11"/>
        <v>111</v>
      </c>
      <c r="R29" s="1560" t="s">
        <v>8</v>
      </c>
      <c r="S29" s="1561">
        <f t="shared" ref="S29:S47" si="12">F29</f>
        <v>100</v>
      </c>
      <c r="T29" s="1560" t="s">
        <v>8</v>
      </c>
      <c r="U29" s="1561">
        <f t="shared" ref="U29:U47" si="13">H29</f>
        <v>100</v>
      </c>
      <c r="V29" s="1560" t="s">
        <v>8</v>
      </c>
      <c r="W29" s="1561">
        <f t="shared" ref="W29:W47" si="14">J29</f>
        <v>100</v>
      </c>
      <c r="X29" s="1554"/>
      <c r="Y29" s="340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8"/>
      <c r="Q30" s="1559">
        <f t="shared" si="11"/>
        <v>111</v>
      </c>
      <c r="R30" s="1560" t="s">
        <v>8</v>
      </c>
      <c r="S30" s="1561">
        <f t="shared" si="12"/>
        <v>100</v>
      </c>
      <c r="T30" s="1560" t="s">
        <v>8</v>
      </c>
      <c r="U30" s="1561">
        <f t="shared" si="13"/>
        <v>100</v>
      </c>
      <c r="V30" s="1560" t="s">
        <v>8</v>
      </c>
      <c r="W30" s="1561">
        <f t="shared" si="14"/>
        <v>100</v>
      </c>
      <c r="X30" s="1554"/>
      <c r="Y30" s="340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8"/>
      <c r="Q31" s="1559">
        <f t="shared" si="11"/>
        <v>111</v>
      </c>
      <c r="R31" s="1560" t="s">
        <v>8</v>
      </c>
      <c r="S31" s="1561">
        <f t="shared" si="12"/>
        <v>100</v>
      </c>
      <c r="T31" s="1560" t="s">
        <v>8</v>
      </c>
      <c r="U31" s="1561">
        <f t="shared" si="13"/>
        <v>100</v>
      </c>
      <c r="V31" s="1560" t="s">
        <v>8</v>
      </c>
      <c r="W31" s="1561">
        <f t="shared" si="14"/>
        <v>100</v>
      </c>
      <c r="X31" s="1554"/>
      <c r="Y31" s="340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8"/>
      <c r="Q32" s="1559">
        <f t="shared" si="11"/>
        <v>111</v>
      </c>
      <c r="R32" s="1560" t="s">
        <v>8</v>
      </c>
      <c r="S32" s="1561">
        <f t="shared" si="12"/>
        <v>100</v>
      </c>
      <c r="T32" s="1560" t="s">
        <v>8</v>
      </c>
      <c r="U32" s="1561">
        <f t="shared" si="13"/>
        <v>100</v>
      </c>
      <c r="V32" s="1560" t="s">
        <v>8</v>
      </c>
      <c r="W32" s="1561">
        <f t="shared" si="14"/>
        <v>100</v>
      </c>
      <c r="X32" s="1554"/>
      <c r="Y32" s="3408"/>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9" t="s">
        <v>550</v>
      </c>
      <c r="Q33" s="1559" t="str">
        <f t="shared" si="11"/>
        <v>建筑类型</v>
      </c>
      <c r="R33" s="1560" t="s">
        <v>8</v>
      </c>
      <c r="S33" s="1561">
        <f t="shared" si="12"/>
        <v>100</v>
      </c>
      <c r="T33" s="1560" t="s">
        <v>8</v>
      </c>
      <c r="U33" s="1561">
        <f t="shared" si="13"/>
        <v>100</v>
      </c>
      <c r="V33" s="1560" t="s">
        <v>8</v>
      </c>
      <c r="W33" s="1561">
        <f t="shared" si="14"/>
        <v>100</v>
      </c>
      <c r="X33" s="1554"/>
      <c r="Y33" s="341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0"/>
      <c r="Q34" s="1591" t="str">
        <f t="shared" si="11"/>
        <v>项目建筑规模</v>
      </c>
      <c r="R34" s="1564" t="s">
        <v>8</v>
      </c>
      <c r="S34" s="1565" t="e">
        <f t="shared" si="12"/>
        <v>#N/A</v>
      </c>
      <c r="T34" s="1564" t="s">
        <v>8</v>
      </c>
      <c r="U34" s="1565" t="e">
        <f t="shared" si="13"/>
        <v>#N/A</v>
      </c>
      <c r="V34" s="1564" t="s">
        <v>8</v>
      </c>
      <c r="W34" s="1565" t="e">
        <f t="shared" si="14"/>
        <v>#N/A</v>
      </c>
      <c r="X34" s="1566"/>
      <c r="Y34" s="341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0"/>
      <c r="Q35" s="1559" t="str">
        <f t="shared" si="11"/>
        <v>建筑结构</v>
      </c>
      <c r="R35" s="1560" t="s">
        <v>8</v>
      </c>
      <c r="S35" s="1561">
        <f t="shared" si="12"/>
        <v>100</v>
      </c>
      <c r="T35" s="1560" t="s">
        <v>8</v>
      </c>
      <c r="U35" s="1561">
        <f t="shared" si="13"/>
        <v>100</v>
      </c>
      <c r="V35" s="1560" t="s">
        <v>8</v>
      </c>
      <c r="W35" s="1561">
        <f t="shared" si="14"/>
        <v>100</v>
      </c>
      <c r="X35" s="1554"/>
      <c r="Y35" s="341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0"/>
      <c r="Q36" s="1559" t="str">
        <f t="shared" si="11"/>
        <v>公共部分装修</v>
      </c>
      <c r="R36" s="1560" t="s">
        <v>8</v>
      </c>
      <c r="S36" s="1561">
        <f t="shared" si="12"/>
        <v>100</v>
      </c>
      <c r="T36" s="1560" t="s">
        <v>8</v>
      </c>
      <c r="U36" s="1561">
        <f t="shared" si="13"/>
        <v>100</v>
      </c>
      <c r="V36" s="1560" t="s">
        <v>8</v>
      </c>
      <c r="W36" s="1561">
        <f t="shared" si="14"/>
        <v>100</v>
      </c>
      <c r="X36" s="1554"/>
      <c r="Y36" s="341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0"/>
      <c r="Q37" s="1559" t="str">
        <f t="shared" si="11"/>
        <v>成新度</v>
      </c>
      <c r="R37" s="1560" t="s">
        <v>8</v>
      </c>
      <c r="S37" s="1561" t="e">
        <f t="shared" si="12"/>
        <v>#N/A</v>
      </c>
      <c r="T37" s="1560" t="s">
        <v>8</v>
      </c>
      <c r="U37" s="1561" t="e">
        <f t="shared" si="13"/>
        <v>#N/A</v>
      </c>
      <c r="V37" s="1560" t="s">
        <v>8</v>
      </c>
      <c r="W37" s="1561" t="e">
        <f t="shared" si="14"/>
        <v>#N/A</v>
      </c>
      <c r="X37" s="1554"/>
      <c r="Y37" s="341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0"/>
      <c r="Q38" s="1147" t="str">
        <f t="shared" si="11"/>
        <v>写字楼等级</v>
      </c>
      <c r="R38" s="1555" t="s">
        <v>8</v>
      </c>
      <c r="S38" s="1556">
        <f t="shared" si="12"/>
        <v>100</v>
      </c>
      <c r="T38" s="1555" t="s">
        <v>8</v>
      </c>
      <c r="U38" s="1556">
        <f t="shared" si="13"/>
        <v>100</v>
      </c>
      <c r="V38" s="1555" t="s">
        <v>8</v>
      </c>
      <c r="W38" s="1556">
        <f t="shared" si="14"/>
        <v>100</v>
      </c>
      <c r="X38" s="1557"/>
      <c r="Y38" s="341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0" t="s">
        <v>550</v>
      </c>
      <c r="Q39" s="1559" t="str">
        <f t="shared" si="11"/>
        <v>物业管理</v>
      </c>
      <c r="R39" s="1560" t="s">
        <v>8</v>
      </c>
      <c r="S39" s="1561">
        <f t="shared" si="12"/>
        <v>100</v>
      </c>
      <c r="T39" s="1560" t="s">
        <v>8</v>
      </c>
      <c r="U39" s="1561">
        <f t="shared" si="13"/>
        <v>100</v>
      </c>
      <c r="V39" s="1560" t="s">
        <v>8</v>
      </c>
      <c r="W39" s="1561">
        <f t="shared" si="14"/>
        <v>100</v>
      </c>
      <c r="X39" s="1554"/>
      <c r="Y39" s="3410"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0"/>
      <c r="Q40" s="1559" t="str">
        <f t="shared" si="11"/>
        <v>市政基础设施</v>
      </c>
      <c r="R40" s="1560" t="s">
        <v>8</v>
      </c>
      <c r="S40" s="1561">
        <f t="shared" si="12"/>
        <v>100</v>
      </c>
      <c r="T40" s="1560" t="s">
        <v>8</v>
      </c>
      <c r="U40" s="1561">
        <f t="shared" si="13"/>
        <v>100</v>
      </c>
      <c r="V40" s="1560" t="s">
        <v>8</v>
      </c>
      <c r="W40" s="1561">
        <f t="shared" si="14"/>
        <v>100</v>
      </c>
      <c r="X40" s="1554"/>
      <c r="Y40" s="341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0"/>
      <c r="Q41" s="1559" t="str">
        <f t="shared" si="11"/>
        <v>层高</v>
      </c>
      <c r="R41" s="1560" t="s">
        <v>8</v>
      </c>
      <c r="S41" s="1561">
        <f t="shared" si="12"/>
        <v>100</v>
      </c>
      <c r="T41" s="1560" t="s">
        <v>8</v>
      </c>
      <c r="U41" s="1561">
        <f t="shared" si="13"/>
        <v>100</v>
      </c>
      <c r="V41" s="1560" t="s">
        <v>8</v>
      </c>
      <c r="W41" s="1561">
        <f t="shared" si="14"/>
        <v>100</v>
      </c>
      <c r="X41" s="1554"/>
      <c r="Y41" s="341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0"/>
      <c r="Q42" s="1591" t="str">
        <f t="shared" si="11"/>
        <v>单套建筑面积</v>
      </c>
      <c r="R42" s="1564" t="s">
        <v>8</v>
      </c>
      <c r="S42" s="1565">
        <f t="shared" si="12"/>
        <v>100</v>
      </c>
      <c r="T42" s="1564" t="s">
        <v>8</v>
      </c>
      <c r="U42" s="1565">
        <f t="shared" si="13"/>
        <v>100</v>
      </c>
      <c r="V42" s="1564" t="s">
        <v>8</v>
      </c>
      <c r="W42" s="1565">
        <f t="shared" si="14"/>
        <v>100</v>
      </c>
      <c r="X42" s="1566"/>
      <c r="Y42" s="341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0"/>
      <c r="Q43" s="1559" t="str">
        <f t="shared" si="11"/>
        <v>内部装修</v>
      </c>
      <c r="R43" s="1560" t="s">
        <v>8</v>
      </c>
      <c r="S43" s="1561">
        <f t="shared" si="12"/>
        <v>100</v>
      </c>
      <c r="T43" s="1560" t="s">
        <v>8</v>
      </c>
      <c r="U43" s="1561">
        <f t="shared" si="13"/>
        <v>100</v>
      </c>
      <c r="V43" s="1560" t="s">
        <v>8</v>
      </c>
      <c r="W43" s="1561">
        <f t="shared" si="14"/>
        <v>100</v>
      </c>
      <c r="X43" s="1554"/>
      <c r="Y43" s="3410"/>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0"/>
      <c r="Q44" s="1559" t="str">
        <f t="shared" si="11"/>
        <v>内部装修维护情况</v>
      </c>
      <c r="R44" s="1560" t="s">
        <v>8</v>
      </c>
      <c r="S44" s="1561">
        <f t="shared" si="12"/>
        <v>100</v>
      </c>
      <c r="T44" s="1560" t="s">
        <v>8</v>
      </c>
      <c r="U44" s="1561">
        <f t="shared" si="13"/>
        <v>100</v>
      </c>
      <c r="V44" s="1560" t="s">
        <v>8</v>
      </c>
      <c r="W44" s="1561">
        <f t="shared" si="14"/>
        <v>100</v>
      </c>
      <c r="X44" s="1554"/>
      <c r="Y44" s="341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0"/>
      <c r="Q45" s="1147">
        <f t="shared" si="11"/>
        <v>111</v>
      </c>
      <c r="R45" s="1555" t="s">
        <v>8</v>
      </c>
      <c r="S45" s="1556">
        <f t="shared" si="12"/>
        <v>100</v>
      </c>
      <c r="T45" s="1555" t="s">
        <v>8</v>
      </c>
      <c r="U45" s="1556">
        <f t="shared" si="13"/>
        <v>100</v>
      </c>
      <c r="V45" s="1555" t="s">
        <v>8</v>
      </c>
      <c r="W45" s="1556">
        <f t="shared" si="14"/>
        <v>100</v>
      </c>
      <c r="X45" s="1557"/>
      <c r="Y45" s="341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0"/>
      <c r="Q46" s="1559">
        <f t="shared" si="11"/>
        <v>111</v>
      </c>
      <c r="R46" s="1560" t="s">
        <v>8</v>
      </c>
      <c r="S46" s="1561">
        <f t="shared" si="12"/>
        <v>100</v>
      </c>
      <c r="T46" s="1560" t="s">
        <v>8</v>
      </c>
      <c r="U46" s="1561">
        <f t="shared" si="13"/>
        <v>100</v>
      </c>
      <c r="V46" s="1560" t="s">
        <v>8</v>
      </c>
      <c r="W46" s="1561">
        <f t="shared" si="14"/>
        <v>100</v>
      </c>
      <c r="X46" s="1554"/>
      <c r="Y46" s="341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1"/>
      <c r="Q47" s="1559">
        <f t="shared" si="11"/>
        <v>111</v>
      </c>
      <c r="R47" s="1560" t="s">
        <v>8</v>
      </c>
      <c r="S47" s="1561">
        <f t="shared" si="12"/>
        <v>100</v>
      </c>
      <c r="T47" s="1560" t="s">
        <v>8</v>
      </c>
      <c r="U47" s="1561">
        <f t="shared" si="13"/>
        <v>100</v>
      </c>
      <c r="V47" s="1560" t="s">
        <v>8</v>
      </c>
      <c r="W47" s="1561">
        <f t="shared" si="14"/>
        <v>100</v>
      </c>
      <c r="X47" s="1554"/>
      <c r="Y47" s="349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0" t="str">
        <f>A48</f>
        <v>成交单价（元/平方米）</v>
      </c>
      <c r="Q48" s="3372"/>
      <c r="R48" s="3490">
        <f>E48</f>
        <v>0</v>
      </c>
      <c r="S48" s="3490"/>
      <c r="T48" s="3490">
        <f>G48</f>
        <v>0</v>
      </c>
      <c r="U48" s="3490"/>
      <c r="V48" s="3490">
        <f>I48</f>
        <v>0</v>
      </c>
      <c r="W48" s="349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70" t="str">
        <f>A49</f>
        <v>比较价格（元/平方米）</v>
      </c>
      <c r="Q49" s="3372"/>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93" t="str">
        <f>A50</f>
        <v>估价对象XX用房的比较价格（楼面单价，元/平方米）</v>
      </c>
      <c r="Q50" s="3370"/>
      <c r="R50" s="3489" t="e">
        <f>IF(F1="售价",ROUND(AVERAGE(R49:V49),0),ROUND(AVERAGE(R49:V49),1))</f>
        <v>#DIV/0!</v>
      </c>
      <c r="S50" s="3489"/>
      <c r="T50" s="3489"/>
      <c r="U50" s="3489"/>
      <c r="V50" s="3489"/>
      <c r="W50" s="348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8" t="s">
        <v>522</v>
      </c>
      <c r="D4" s="3379"/>
      <c r="E4" s="3413" t="s">
        <v>523</v>
      </c>
      <c r="F4" s="3414"/>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6" t="s">
        <v>524</v>
      </c>
      <c r="AC4" s="3375" t="s">
        <v>525</v>
      </c>
    </row>
    <row r="5" spans="1:29" ht="15">
      <c r="A5" s="515"/>
      <c r="B5" s="516"/>
      <c r="C5" s="3394" t="s">
        <v>2931</v>
      </c>
      <c r="D5" s="3395"/>
      <c r="E5" s="3415" t="s">
        <v>2932</v>
      </c>
      <c r="F5" s="3416"/>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411" t="s">
        <v>2935</v>
      </c>
      <c r="F6" s="3412"/>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43679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4" t="s">
        <v>530</v>
      </c>
      <c r="Q7" s="3406"/>
      <c r="R7" s="1555" t="s">
        <v>8</v>
      </c>
      <c r="S7" s="1556">
        <f t="shared" ref="S7:S15" si="0">F7</f>
        <v>0</v>
      </c>
      <c r="T7" s="1555" t="s">
        <v>8</v>
      </c>
      <c r="U7" s="1556">
        <f t="shared" ref="U7:U15" si="1">H7</f>
        <v>0</v>
      </c>
      <c r="V7" s="1555" t="s">
        <v>8</v>
      </c>
      <c r="W7" s="1556">
        <f t="shared" ref="W7:W15" si="2">J7</f>
        <v>0</v>
      </c>
      <c r="X7" s="1557"/>
      <c r="Y7" s="3404" t="s">
        <v>530</v>
      </c>
      <c r="Z7" s="340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4" t="s">
        <v>533</v>
      </c>
      <c r="Q8" s="3405"/>
      <c r="R8" s="1555" t="s">
        <v>8</v>
      </c>
      <c r="S8" s="1556">
        <f t="shared" si="0"/>
        <v>0</v>
      </c>
      <c r="T8" s="1555" t="s">
        <v>8</v>
      </c>
      <c r="U8" s="1556">
        <f t="shared" si="1"/>
        <v>0</v>
      </c>
      <c r="V8" s="1555" t="s">
        <v>8</v>
      </c>
      <c r="W8" s="1556">
        <f t="shared" si="2"/>
        <v>0</v>
      </c>
      <c r="X8" s="1557"/>
      <c r="Y8" s="3404" t="s">
        <v>533</v>
      </c>
      <c r="Z8" s="3405"/>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7" t="s">
        <v>540</v>
      </c>
      <c r="Q15" s="1559" t="str">
        <f t="shared" si="6"/>
        <v>产业集聚程度</v>
      </c>
      <c r="R15" s="1560" t="s">
        <v>8</v>
      </c>
      <c r="S15" s="1561">
        <f t="shared" si="0"/>
        <v>100</v>
      </c>
      <c r="T15" s="1560" t="s">
        <v>8</v>
      </c>
      <c r="U15" s="1561">
        <f t="shared" si="1"/>
        <v>100</v>
      </c>
      <c r="V15" s="1560" t="s">
        <v>8</v>
      </c>
      <c r="W15" s="1561">
        <f t="shared" si="2"/>
        <v>100</v>
      </c>
      <c r="X15" s="1554"/>
      <c r="Y15" s="340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8"/>
      <c r="Q16" s="1559"/>
      <c r="R16" s="1560"/>
      <c r="S16" s="1561"/>
      <c r="T16" s="1560"/>
      <c r="U16" s="1561"/>
      <c r="V16" s="1560"/>
      <c r="W16" s="1561"/>
      <c r="X16" s="1554"/>
      <c r="Y16" s="340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8"/>
      <c r="Q18" s="1559"/>
      <c r="R18" s="1560"/>
      <c r="S18" s="1561"/>
      <c r="T18" s="1560"/>
      <c r="U18" s="1561"/>
      <c r="V18" s="1560"/>
      <c r="W18" s="1561"/>
      <c r="X18" s="1554"/>
      <c r="Y18" s="3408"/>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8"/>
      <c r="Q21" s="2544" t="str">
        <f>B21</f>
        <v>基础设施水平</v>
      </c>
      <c r="R21" s="1560" t="s">
        <v>8</v>
      </c>
      <c r="S21" s="1561">
        <f>F21</f>
        <v>100</v>
      </c>
      <c r="T21" s="1560" t="s">
        <v>8</v>
      </c>
      <c r="U21" s="1561">
        <f>H21</f>
        <v>100</v>
      </c>
      <c r="V21" s="1560" t="s">
        <v>8</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8"/>
      <c r="Q22" s="2544"/>
      <c r="R22" s="1560"/>
      <c r="S22" s="1561"/>
      <c r="T22" s="1560"/>
      <c r="U22" s="1561"/>
      <c r="V22" s="1560"/>
      <c r="W22" s="1561"/>
      <c r="X22" s="2546"/>
      <c r="Y22" s="3408"/>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8"/>
      <c r="Q23" s="1559" t="str">
        <f>B23</f>
        <v>环境质量</v>
      </c>
      <c r="R23" s="1560" t="s">
        <v>8</v>
      </c>
      <c r="S23" s="1561">
        <f>F23</f>
        <v>100</v>
      </c>
      <c r="T23" s="1560" t="s">
        <v>8</v>
      </c>
      <c r="U23" s="1561">
        <f>H23</f>
        <v>100</v>
      </c>
      <c r="V23" s="1560" t="s">
        <v>8</v>
      </c>
      <c r="W23" s="1561">
        <f>J23</f>
        <v>100</v>
      </c>
      <c r="X23" s="1554"/>
      <c r="Y23" s="340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8"/>
      <c r="Q24" s="1559"/>
      <c r="R24" s="1560"/>
      <c r="S24" s="1561"/>
      <c r="T24" s="1560"/>
      <c r="U24" s="1561"/>
      <c r="V24" s="1560"/>
      <c r="W24" s="1561"/>
      <c r="X24" s="1554"/>
      <c r="Y24" s="340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8"/>
      <c r="Q25" s="1559">
        <f>B25</f>
        <v>111</v>
      </c>
      <c r="R25" s="1560" t="s">
        <v>8</v>
      </c>
      <c r="S25" s="1561">
        <f>F25</f>
        <v>100</v>
      </c>
      <c r="T25" s="1560" t="s">
        <v>8</v>
      </c>
      <c r="U25" s="1561">
        <f>H25</f>
        <v>100</v>
      </c>
      <c r="V25" s="1560" t="s">
        <v>8</v>
      </c>
      <c r="W25" s="1561">
        <f>J25</f>
        <v>100</v>
      </c>
      <c r="X25" s="1554"/>
      <c r="Y25" s="340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8"/>
      <c r="Q26" s="1559">
        <f t="shared" ref="Q26:Q40" si="11">B26</f>
        <v>111</v>
      </c>
      <c r="R26" s="1560" t="s">
        <v>8</v>
      </c>
      <c r="S26" s="1561">
        <f>F26</f>
        <v>100</v>
      </c>
      <c r="T26" s="1560" t="s">
        <v>8</v>
      </c>
      <c r="U26" s="1561">
        <f>H26</f>
        <v>100</v>
      </c>
      <c r="V26" s="1560" t="s">
        <v>8</v>
      </c>
      <c r="W26" s="1561">
        <f>J26</f>
        <v>100</v>
      </c>
      <c r="X26" s="1554"/>
      <c r="Y26" s="340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8"/>
      <c r="Q27" s="1147">
        <f t="shared" si="11"/>
        <v>111</v>
      </c>
      <c r="R27" s="1555" t="s">
        <v>8</v>
      </c>
      <c r="S27" s="1556">
        <f>F27</f>
        <v>100</v>
      </c>
      <c r="T27" s="1555" t="s">
        <v>8</v>
      </c>
      <c r="U27" s="1556">
        <f>H27</f>
        <v>100</v>
      </c>
      <c r="V27" s="1555" t="s">
        <v>8</v>
      </c>
      <c r="W27" s="1556">
        <f>J27</f>
        <v>100</v>
      </c>
      <c r="X27" s="1557"/>
      <c r="Y27" s="340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8"/>
      <c r="Q28" s="1559">
        <f t="shared" si="11"/>
        <v>111</v>
      </c>
      <c r="R28" s="1560" t="s">
        <v>8</v>
      </c>
      <c r="S28" s="1561">
        <f t="shared" ref="S28:S40" si="12">F28</f>
        <v>100</v>
      </c>
      <c r="T28" s="1560" t="s">
        <v>8</v>
      </c>
      <c r="U28" s="1561">
        <f t="shared" ref="U28:U40" si="13">H28</f>
        <v>100</v>
      </c>
      <c r="V28" s="1560" t="s">
        <v>8</v>
      </c>
      <c r="W28" s="1561">
        <f t="shared" ref="W28:W40" si="14">J28</f>
        <v>100</v>
      </c>
      <c r="X28" s="1554"/>
      <c r="Y28" s="3408"/>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9" t="s">
        <v>550</v>
      </c>
      <c r="Q29" s="1559" t="str">
        <f t="shared" si="11"/>
        <v>建筑类型</v>
      </c>
      <c r="R29" s="1560" t="s">
        <v>8</v>
      </c>
      <c r="S29" s="1561">
        <f t="shared" si="12"/>
        <v>100</v>
      </c>
      <c r="T29" s="1560" t="s">
        <v>8</v>
      </c>
      <c r="U29" s="1561">
        <f t="shared" si="13"/>
        <v>100</v>
      </c>
      <c r="V29" s="1560" t="s">
        <v>8</v>
      </c>
      <c r="W29" s="1561">
        <f t="shared" si="14"/>
        <v>100</v>
      </c>
      <c r="X29" s="1554"/>
      <c r="Y29" s="341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0"/>
      <c r="Q30" s="1591" t="str">
        <f t="shared" si="11"/>
        <v>项目建筑规模</v>
      </c>
      <c r="R30" s="1564" t="s">
        <v>8</v>
      </c>
      <c r="S30" s="1565" t="e">
        <f t="shared" si="12"/>
        <v>#N/A</v>
      </c>
      <c r="T30" s="1564" t="s">
        <v>8</v>
      </c>
      <c r="U30" s="1565" t="e">
        <f t="shared" si="13"/>
        <v>#N/A</v>
      </c>
      <c r="V30" s="1564" t="s">
        <v>8</v>
      </c>
      <c r="W30" s="1565" t="e">
        <f t="shared" si="14"/>
        <v>#N/A</v>
      </c>
      <c r="X30" s="1566"/>
      <c r="Y30" s="341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0"/>
      <c r="Q31" s="1559" t="str">
        <f t="shared" si="11"/>
        <v>建筑结构</v>
      </c>
      <c r="R31" s="1560" t="s">
        <v>8</v>
      </c>
      <c r="S31" s="1561">
        <f t="shared" si="12"/>
        <v>100</v>
      </c>
      <c r="T31" s="1560" t="s">
        <v>8</v>
      </c>
      <c r="U31" s="1561">
        <f t="shared" si="13"/>
        <v>100</v>
      </c>
      <c r="V31" s="1560" t="s">
        <v>8</v>
      </c>
      <c r="W31" s="1561">
        <f t="shared" si="14"/>
        <v>100</v>
      </c>
      <c r="X31" s="1554"/>
      <c r="Y31" s="341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0"/>
      <c r="Q32" s="1559" t="str">
        <f t="shared" si="11"/>
        <v>公共部分装修</v>
      </c>
      <c r="R32" s="1560" t="s">
        <v>8</v>
      </c>
      <c r="S32" s="1561">
        <f t="shared" si="12"/>
        <v>100</v>
      </c>
      <c r="T32" s="1560" t="s">
        <v>8</v>
      </c>
      <c r="U32" s="1561">
        <f t="shared" si="13"/>
        <v>100</v>
      </c>
      <c r="V32" s="1560" t="s">
        <v>8</v>
      </c>
      <c r="W32" s="1561">
        <f t="shared" si="14"/>
        <v>100</v>
      </c>
      <c r="X32" s="1554"/>
      <c r="Y32" s="341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0"/>
      <c r="Q33" s="1559" t="str">
        <f t="shared" si="11"/>
        <v>成新度</v>
      </c>
      <c r="R33" s="1560" t="s">
        <v>8</v>
      </c>
      <c r="S33" s="1561" t="e">
        <f t="shared" si="12"/>
        <v>#N/A</v>
      </c>
      <c r="T33" s="1560" t="s">
        <v>8</v>
      </c>
      <c r="U33" s="1561" t="e">
        <f t="shared" si="13"/>
        <v>#N/A</v>
      </c>
      <c r="V33" s="1560" t="s">
        <v>8</v>
      </c>
      <c r="W33" s="1561" t="e">
        <f t="shared" si="14"/>
        <v>#N/A</v>
      </c>
      <c r="X33" s="1554"/>
      <c r="Y33" s="341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0"/>
      <c r="Q34" s="1147" t="str">
        <f t="shared" si="11"/>
        <v>物业管理</v>
      </c>
      <c r="R34" s="1555" t="s">
        <v>8</v>
      </c>
      <c r="S34" s="1556">
        <f t="shared" si="12"/>
        <v>100</v>
      </c>
      <c r="T34" s="1555" t="s">
        <v>8</v>
      </c>
      <c r="U34" s="1556">
        <f t="shared" si="13"/>
        <v>100</v>
      </c>
      <c r="V34" s="1555" t="s">
        <v>8</v>
      </c>
      <c r="W34" s="1556">
        <f t="shared" si="14"/>
        <v>100</v>
      </c>
      <c r="X34" s="1557"/>
      <c r="Y34" s="3410"/>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0" t="s">
        <v>550</v>
      </c>
      <c r="Q35" s="1559" t="str">
        <f t="shared" si="11"/>
        <v>市政基础设施</v>
      </c>
      <c r="R35" s="1560" t="s">
        <v>8</v>
      </c>
      <c r="S35" s="1561">
        <f t="shared" si="12"/>
        <v>100</v>
      </c>
      <c r="T35" s="1560" t="s">
        <v>8</v>
      </c>
      <c r="U35" s="1561">
        <f t="shared" si="13"/>
        <v>100</v>
      </c>
      <c r="V35" s="1560" t="s">
        <v>8</v>
      </c>
      <c r="W35" s="1561">
        <f t="shared" si="14"/>
        <v>100</v>
      </c>
      <c r="X35" s="1554"/>
      <c r="Y35" s="341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0"/>
      <c r="Q36" s="1559" t="str">
        <f t="shared" si="11"/>
        <v>内部装修</v>
      </c>
      <c r="R36" s="1560" t="s">
        <v>8</v>
      </c>
      <c r="S36" s="1561">
        <f t="shared" si="12"/>
        <v>100</v>
      </c>
      <c r="T36" s="1560" t="s">
        <v>8</v>
      </c>
      <c r="U36" s="1561">
        <f t="shared" si="13"/>
        <v>100</v>
      </c>
      <c r="V36" s="1560" t="s">
        <v>8</v>
      </c>
      <c r="W36" s="1561">
        <f t="shared" si="14"/>
        <v>100</v>
      </c>
      <c r="X36" s="1554"/>
      <c r="Y36" s="341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0"/>
      <c r="Q37" s="1559" t="str">
        <f t="shared" si="11"/>
        <v>内部装修状况</v>
      </c>
      <c r="R37" s="1560" t="s">
        <v>8</v>
      </c>
      <c r="S37" s="1561">
        <f t="shared" si="12"/>
        <v>100</v>
      </c>
      <c r="T37" s="1560" t="s">
        <v>8</v>
      </c>
      <c r="U37" s="1561">
        <f t="shared" si="13"/>
        <v>100</v>
      </c>
      <c r="V37" s="1560" t="s">
        <v>8</v>
      </c>
      <c r="W37" s="1561">
        <f t="shared" si="14"/>
        <v>100</v>
      </c>
      <c r="X37" s="1554"/>
      <c r="Y37" s="341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0"/>
      <c r="Q38" s="1591">
        <f t="shared" si="11"/>
        <v>111</v>
      </c>
      <c r="R38" s="1564" t="s">
        <v>8</v>
      </c>
      <c r="S38" s="1565">
        <f t="shared" si="12"/>
        <v>100</v>
      </c>
      <c r="T38" s="1564" t="s">
        <v>8</v>
      </c>
      <c r="U38" s="1565">
        <f t="shared" si="13"/>
        <v>100</v>
      </c>
      <c r="V38" s="1564" t="s">
        <v>8</v>
      </c>
      <c r="W38" s="1565">
        <f t="shared" si="14"/>
        <v>100</v>
      </c>
      <c r="X38" s="1566"/>
      <c r="Y38" s="341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0"/>
      <c r="Q39" s="1559">
        <f t="shared" si="11"/>
        <v>111</v>
      </c>
      <c r="R39" s="1560" t="s">
        <v>8</v>
      </c>
      <c r="S39" s="1561">
        <f t="shared" si="12"/>
        <v>100</v>
      </c>
      <c r="T39" s="1560" t="s">
        <v>8</v>
      </c>
      <c r="U39" s="1561">
        <f t="shared" si="13"/>
        <v>100</v>
      </c>
      <c r="V39" s="1560" t="s">
        <v>8</v>
      </c>
      <c r="W39" s="1561">
        <f t="shared" si="14"/>
        <v>100</v>
      </c>
      <c r="X39" s="1554"/>
      <c r="Y39" s="341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1"/>
      <c r="Q40" s="1559">
        <f t="shared" si="11"/>
        <v>111</v>
      </c>
      <c r="R40" s="1560" t="s">
        <v>8</v>
      </c>
      <c r="S40" s="1561">
        <f t="shared" si="12"/>
        <v>100</v>
      </c>
      <c r="T40" s="1560" t="s">
        <v>8</v>
      </c>
      <c r="U40" s="1561">
        <f t="shared" si="13"/>
        <v>100</v>
      </c>
      <c r="V40" s="1560" t="s">
        <v>8</v>
      </c>
      <c r="W40" s="1561">
        <f t="shared" si="14"/>
        <v>100</v>
      </c>
      <c r="X40" s="1554"/>
      <c r="Y40" s="349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2" t="str">
        <f>A41</f>
        <v>成交单价（元/平方米）</v>
      </c>
      <c r="Q41" s="3372"/>
      <c r="R41" s="3490">
        <f>E41</f>
        <v>0</v>
      </c>
      <c r="S41" s="3490"/>
      <c r="T41" s="3490">
        <f>G41</f>
        <v>0</v>
      </c>
      <c r="U41" s="3490"/>
      <c r="V41" s="3490">
        <f>I41</f>
        <v>0</v>
      </c>
      <c r="W41" s="349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69" t="str">
        <f>A43</f>
        <v>估价对象XX用房的比较价格（楼面单价，元/平方米）</v>
      </c>
      <c r="Q43" s="3370"/>
      <c r="R43" s="3489" t="e">
        <f>IF(F1="售价",ROUND(AVERAGE(R42:V42),0),ROUND(AVERAGE(R42:V42),1))</f>
        <v>#DIV/0!</v>
      </c>
      <c r="S43" s="3489"/>
      <c r="T43" s="3489"/>
      <c r="U43" s="3489"/>
      <c r="V43" s="3489"/>
      <c r="W43" s="348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378" t="s">
        <v>799</v>
      </c>
      <c r="F4" s="3379"/>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2931</v>
      </c>
      <c r="D5" s="3395"/>
      <c r="E5" s="3394" t="s">
        <v>2932</v>
      </c>
      <c r="F5" s="3395"/>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396" t="s">
        <v>2935</v>
      </c>
      <c r="F6" s="3397"/>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43679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4" t="s">
        <v>530</v>
      </c>
      <c r="Q7" s="3406"/>
      <c r="R7" s="1555" t="s">
        <v>8</v>
      </c>
      <c r="S7" s="1556">
        <f t="shared" ref="S7:S14" si="0">F7</f>
        <v>0</v>
      </c>
      <c r="T7" s="1555" t="s">
        <v>8</v>
      </c>
      <c r="U7" s="1556">
        <f t="shared" ref="U7:U14" si="1">H7</f>
        <v>0</v>
      </c>
      <c r="V7" s="1555" t="s">
        <v>8</v>
      </c>
      <c r="W7" s="1556">
        <f t="shared" ref="W7:W14" si="2">J7</f>
        <v>0</v>
      </c>
      <c r="X7" s="1557"/>
      <c r="Y7" s="3404" t="s">
        <v>530</v>
      </c>
      <c r="Z7" s="340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4" t="s">
        <v>533</v>
      </c>
      <c r="Q8" s="3405"/>
      <c r="R8" s="1555" t="s">
        <v>8</v>
      </c>
      <c r="S8" s="1556">
        <f t="shared" si="0"/>
        <v>0</v>
      </c>
      <c r="T8" s="1555" t="s">
        <v>8</v>
      </c>
      <c r="U8" s="1556">
        <f t="shared" si="1"/>
        <v>0</v>
      </c>
      <c r="V8" s="1555" t="s">
        <v>8</v>
      </c>
      <c r="W8" s="1556">
        <f t="shared" si="2"/>
        <v>0</v>
      </c>
      <c r="X8" s="1557"/>
      <c r="Y8" s="3404" t="s">
        <v>533</v>
      </c>
      <c r="Z8" s="3405"/>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7" t="s">
        <v>540</v>
      </c>
      <c r="Q14" s="1559" t="str">
        <f t="shared" si="6"/>
        <v>交通便捷度</v>
      </c>
      <c r="R14" s="1560" t="s">
        <v>8</v>
      </c>
      <c r="S14" s="1561">
        <f t="shared" si="0"/>
        <v>100</v>
      </c>
      <c r="T14" s="1560" t="s">
        <v>8</v>
      </c>
      <c r="U14" s="1561">
        <f t="shared" si="1"/>
        <v>100</v>
      </c>
      <c r="V14" s="1560" t="s">
        <v>8</v>
      </c>
      <c r="W14" s="1561">
        <f t="shared" si="2"/>
        <v>100</v>
      </c>
      <c r="X14" s="1554"/>
      <c r="Y14" s="340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8"/>
      <c r="Q15" s="1559"/>
      <c r="R15" s="1560"/>
      <c r="S15" s="1561"/>
      <c r="T15" s="1560"/>
      <c r="U15" s="1561"/>
      <c r="V15" s="1560"/>
      <c r="W15" s="1561"/>
      <c r="X15" s="1554"/>
      <c r="Y15" s="3408"/>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8"/>
      <c r="Q16" s="1559" t="str">
        <f>B16</f>
        <v>公共配套设施</v>
      </c>
      <c r="R16" s="1560" t="s">
        <v>8</v>
      </c>
      <c r="S16" s="1561">
        <f>F16</f>
        <v>100</v>
      </c>
      <c r="T16" s="1560" t="s">
        <v>8</v>
      </c>
      <c r="U16" s="1561">
        <f>H16</f>
        <v>100</v>
      </c>
      <c r="V16" s="1560" t="s">
        <v>8</v>
      </c>
      <c r="W16" s="1561">
        <f>J16</f>
        <v>100</v>
      </c>
      <c r="X16" s="1554"/>
      <c r="Y16" s="340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8"/>
      <c r="Q17" s="1559"/>
      <c r="R17" s="1560"/>
      <c r="S17" s="1561"/>
      <c r="T17" s="1560"/>
      <c r="U17" s="1561"/>
      <c r="V17" s="1560"/>
      <c r="W17" s="1561"/>
      <c r="X17" s="1554"/>
      <c r="Y17" s="3408"/>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8"/>
      <c r="Q18" s="2544" t="str">
        <f>B18</f>
        <v>基础设施水平</v>
      </c>
      <c r="R18" s="1560" t="s">
        <v>8</v>
      </c>
      <c r="S18" s="1561">
        <f>F18</f>
        <v>100</v>
      </c>
      <c r="T18" s="1560" t="s">
        <v>8</v>
      </c>
      <c r="U18" s="1561">
        <f>H18</f>
        <v>100</v>
      </c>
      <c r="V18" s="1560" t="s">
        <v>8</v>
      </c>
      <c r="W18" s="1561">
        <f>J18</f>
        <v>100</v>
      </c>
      <c r="X18" s="2546"/>
      <c r="Y18" s="340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8"/>
      <c r="Q19" s="2544"/>
      <c r="R19" s="1560"/>
      <c r="S19" s="1561"/>
      <c r="T19" s="1560"/>
      <c r="U19" s="1561"/>
      <c r="V19" s="1560"/>
      <c r="W19" s="1561"/>
      <c r="X19" s="2546"/>
      <c r="Y19" s="3408"/>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8"/>
      <c r="Q20" s="1559" t="str">
        <f>B20</f>
        <v>自然及人文环境</v>
      </c>
      <c r="R20" s="1560" t="s">
        <v>8</v>
      </c>
      <c r="S20" s="1561">
        <f>F20</f>
        <v>100</v>
      </c>
      <c r="T20" s="1560" t="s">
        <v>8</v>
      </c>
      <c r="U20" s="1561">
        <f>H20</f>
        <v>100</v>
      </c>
      <c r="V20" s="1560" t="s">
        <v>8</v>
      </c>
      <c r="W20" s="1561">
        <f>J20</f>
        <v>100</v>
      </c>
      <c r="X20" s="1554"/>
      <c r="Y20" s="340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8"/>
      <c r="Q21" s="1559"/>
      <c r="R21" s="1560"/>
      <c r="S21" s="1561"/>
      <c r="T21" s="1560"/>
      <c r="U21" s="1561"/>
      <c r="V21" s="1560"/>
      <c r="W21" s="1561"/>
      <c r="X21" s="1554"/>
      <c r="Y21" s="340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8"/>
      <c r="Q22" s="1559" t="str">
        <f>B22</f>
        <v>楼层</v>
      </c>
      <c r="R22" s="1560" t="s">
        <v>8</v>
      </c>
      <c r="S22" s="1561">
        <f>F22</f>
        <v>100</v>
      </c>
      <c r="T22" s="1560" t="s">
        <v>8</v>
      </c>
      <c r="U22" s="1561">
        <f>H22</f>
        <v>100</v>
      </c>
      <c r="V22" s="1560" t="s">
        <v>8</v>
      </c>
      <c r="W22" s="1561">
        <f>J22</f>
        <v>100</v>
      </c>
      <c r="X22" s="1554"/>
      <c r="Y22" s="340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8"/>
      <c r="Q23" s="1559">
        <f>B23</f>
        <v>111</v>
      </c>
      <c r="R23" s="1560" t="s">
        <v>8</v>
      </c>
      <c r="S23" s="1561">
        <f>F23</f>
        <v>100</v>
      </c>
      <c r="T23" s="1560" t="s">
        <v>8</v>
      </c>
      <c r="U23" s="1561">
        <f>H23</f>
        <v>100</v>
      </c>
      <c r="V23" s="1560" t="s">
        <v>8</v>
      </c>
      <c r="W23" s="1561">
        <f>J23</f>
        <v>100</v>
      </c>
      <c r="X23" s="1554"/>
      <c r="Y23" s="340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8"/>
      <c r="Q24" s="1559">
        <f t="shared" ref="Q24:Q36" si="11">B24</f>
        <v>111</v>
      </c>
      <c r="R24" s="1560" t="s">
        <v>8</v>
      </c>
      <c r="S24" s="1561">
        <f>F24</f>
        <v>100</v>
      </c>
      <c r="T24" s="1560" t="s">
        <v>8</v>
      </c>
      <c r="U24" s="1561">
        <f>H24</f>
        <v>100</v>
      </c>
      <c r="V24" s="1560" t="s">
        <v>8</v>
      </c>
      <c r="W24" s="1561">
        <f>J24</f>
        <v>100</v>
      </c>
      <c r="X24" s="1554"/>
      <c r="Y24" s="340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8"/>
      <c r="Q25" s="1147">
        <f t="shared" si="11"/>
        <v>111</v>
      </c>
      <c r="R25" s="1555" t="s">
        <v>8</v>
      </c>
      <c r="S25" s="1556">
        <f>F25</f>
        <v>100</v>
      </c>
      <c r="T25" s="1555" t="s">
        <v>8</v>
      </c>
      <c r="U25" s="1556">
        <f>H25</f>
        <v>100</v>
      </c>
      <c r="V25" s="1555" t="s">
        <v>8</v>
      </c>
      <c r="W25" s="1556">
        <f>J25</f>
        <v>100</v>
      </c>
      <c r="X25" s="1557"/>
      <c r="Y25" s="3408"/>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0"/>
      <c r="Q27" s="1591" t="str">
        <f t="shared" si="11"/>
        <v>项目停车位配比</v>
      </c>
      <c r="R27" s="1564" t="s">
        <v>8</v>
      </c>
      <c r="S27" s="1565">
        <f t="shared" si="12"/>
        <v>100</v>
      </c>
      <c r="T27" s="1564" t="s">
        <v>8</v>
      </c>
      <c r="U27" s="1565">
        <f t="shared" si="13"/>
        <v>100</v>
      </c>
      <c r="V27" s="1564" t="s">
        <v>8</v>
      </c>
      <c r="W27" s="1565">
        <f t="shared" si="14"/>
        <v>100</v>
      </c>
      <c r="X27" s="1566"/>
      <c r="Y27" s="341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0"/>
      <c r="Q28" s="1559" t="str">
        <f t="shared" si="11"/>
        <v>公共部分装修</v>
      </c>
      <c r="R28" s="1560" t="s">
        <v>8</v>
      </c>
      <c r="S28" s="1561">
        <f t="shared" si="12"/>
        <v>100</v>
      </c>
      <c r="T28" s="1560" t="s">
        <v>8</v>
      </c>
      <c r="U28" s="1561">
        <f t="shared" si="13"/>
        <v>100</v>
      </c>
      <c r="V28" s="1560" t="s">
        <v>8</v>
      </c>
      <c r="W28" s="1561">
        <f t="shared" si="14"/>
        <v>100</v>
      </c>
      <c r="X28" s="1554"/>
      <c r="Y28" s="341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0"/>
      <c r="Q29" s="1559" t="str">
        <f t="shared" si="11"/>
        <v>成新率</v>
      </c>
      <c r="R29" s="1560" t="s">
        <v>8</v>
      </c>
      <c r="S29" s="1561" t="e">
        <f t="shared" si="12"/>
        <v>#N/A</v>
      </c>
      <c r="T29" s="1560" t="s">
        <v>8</v>
      </c>
      <c r="U29" s="1561" t="e">
        <f t="shared" si="13"/>
        <v>#N/A</v>
      </c>
      <c r="V29" s="1560" t="s">
        <v>8</v>
      </c>
      <c r="W29" s="1561" t="e">
        <f t="shared" si="14"/>
        <v>#N/A</v>
      </c>
      <c r="X29" s="1554"/>
      <c r="Y29" s="341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0"/>
      <c r="Q30" s="1559" t="str">
        <f t="shared" si="11"/>
        <v>物业等级</v>
      </c>
      <c r="R30" s="1560" t="s">
        <v>8</v>
      </c>
      <c r="S30" s="1561">
        <f t="shared" si="12"/>
        <v>100</v>
      </c>
      <c r="T30" s="1560" t="s">
        <v>8</v>
      </c>
      <c r="U30" s="1561">
        <f t="shared" si="13"/>
        <v>100</v>
      </c>
      <c r="V30" s="1560" t="s">
        <v>8</v>
      </c>
      <c r="W30" s="1561">
        <f t="shared" si="14"/>
        <v>100</v>
      </c>
      <c r="X30" s="1554"/>
      <c r="Y30" s="341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0"/>
      <c r="Q31" s="1147" t="str">
        <f t="shared" si="11"/>
        <v>停车位面积</v>
      </c>
      <c r="R31" s="1555" t="s">
        <v>8</v>
      </c>
      <c r="S31" s="1556" t="e">
        <f t="shared" si="12"/>
        <v>#N/A</v>
      </c>
      <c r="T31" s="1555" t="s">
        <v>8</v>
      </c>
      <c r="U31" s="1556" t="e">
        <f t="shared" si="13"/>
        <v>#N/A</v>
      </c>
      <c r="V31" s="1555" t="s">
        <v>8</v>
      </c>
      <c r="W31" s="1556" t="e">
        <f t="shared" si="14"/>
        <v>#N/A</v>
      </c>
      <c r="X31" s="1557"/>
      <c r="Y31" s="341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0" t="s">
        <v>550</v>
      </c>
      <c r="Q32" s="1559" t="str">
        <f t="shared" si="11"/>
        <v>车位类型</v>
      </c>
      <c r="R32" s="1560" t="s">
        <v>8</v>
      </c>
      <c r="S32" s="1561">
        <f t="shared" si="12"/>
        <v>100</v>
      </c>
      <c r="T32" s="1560" t="s">
        <v>8</v>
      </c>
      <c r="U32" s="1561">
        <f t="shared" si="13"/>
        <v>100</v>
      </c>
      <c r="V32" s="1560" t="s">
        <v>8</v>
      </c>
      <c r="W32" s="1561">
        <f t="shared" si="14"/>
        <v>100</v>
      </c>
      <c r="X32" s="1554"/>
      <c r="Y32" s="341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0"/>
      <c r="Q33" s="1559" t="str">
        <f t="shared" si="11"/>
        <v>是否直接入户</v>
      </c>
      <c r="R33" s="1560" t="s">
        <v>8</v>
      </c>
      <c r="S33" s="1561">
        <f t="shared" si="12"/>
        <v>100</v>
      </c>
      <c r="T33" s="1560" t="s">
        <v>8</v>
      </c>
      <c r="U33" s="1561">
        <f t="shared" si="13"/>
        <v>100</v>
      </c>
      <c r="V33" s="1560" t="s">
        <v>8</v>
      </c>
      <c r="W33" s="1561">
        <f t="shared" si="14"/>
        <v>100</v>
      </c>
      <c r="X33" s="1554"/>
      <c r="Y33" s="341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0"/>
      <c r="Q34" s="1559">
        <f t="shared" si="11"/>
        <v>111</v>
      </c>
      <c r="R34" s="1560" t="s">
        <v>8</v>
      </c>
      <c r="S34" s="1561">
        <f t="shared" si="12"/>
        <v>100</v>
      </c>
      <c r="T34" s="1560" t="s">
        <v>8</v>
      </c>
      <c r="U34" s="1561">
        <f t="shared" si="13"/>
        <v>100</v>
      </c>
      <c r="V34" s="1560" t="s">
        <v>8</v>
      </c>
      <c r="W34" s="1561">
        <f t="shared" si="14"/>
        <v>100</v>
      </c>
      <c r="X34" s="1554"/>
      <c r="Y34" s="341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0"/>
      <c r="Q35" s="1591">
        <f t="shared" si="11"/>
        <v>111</v>
      </c>
      <c r="R35" s="1564" t="s">
        <v>8</v>
      </c>
      <c r="S35" s="1565">
        <f t="shared" si="12"/>
        <v>100</v>
      </c>
      <c r="T35" s="1564" t="s">
        <v>8</v>
      </c>
      <c r="U35" s="1565">
        <f t="shared" si="13"/>
        <v>100</v>
      </c>
      <c r="V35" s="1564" t="s">
        <v>8</v>
      </c>
      <c r="W35" s="1565">
        <f t="shared" si="14"/>
        <v>100</v>
      </c>
      <c r="X35" s="1566"/>
      <c r="Y35" s="3410"/>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0"/>
      <c r="Q36" s="1559">
        <f t="shared" si="11"/>
        <v>111</v>
      </c>
      <c r="R36" s="1560" t="s">
        <v>8</v>
      </c>
      <c r="S36" s="1561">
        <f t="shared" si="12"/>
        <v>100</v>
      </c>
      <c r="T36" s="1560" t="s">
        <v>8</v>
      </c>
      <c r="U36" s="1561">
        <f t="shared" si="13"/>
        <v>100</v>
      </c>
      <c r="V36" s="1560" t="s">
        <v>8</v>
      </c>
      <c r="W36" s="1561">
        <f t="shared" si="14"/>
        <v>100</v>
      </c>
      <c r="X36" s="1554"/>
      <c r="Y36" s="3410"/>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2" t="str">
        <f>A37</f>
        <v>成交单价</v>
      </c>
      <c r="Q37" s="3372"/>
      <c r="R37" s="3490">
        <f>E37</f>
        <v>0</v>
      </c>
      <c r="S37" s="3490"/>
      <c r="T37" s="3490">
        <f>G37</f>
        <v>0</v>
      </c>
      <c r="U37" s="3490"/>
      <c r="V37" s="3490">
        <f>I37</f>
        <v>0</v>
      </c>
      <c r="W37" s="349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69" t="str">
        <f>A39</f>
        <v>估价对象XX用房的比较价格（楼面单价，元/平方米）</v>
      </c>
      <c r="Q39" s="3370"/>
      <c r="R39" s="3489" t="e">
        <f>IF(F1="售价",ROUND(AVERAGE(R38:V38),0),ROUND(AVERAGE(R38:V38),1))</f>
        <v>#DIV/0!</v>
      </c>
      <c r="S39" s="3489"/>
      <c r="T39" s="3489"/>
      <c r="U39" s="3489"/>
      <c r="V39" s="3489"/>
      <c r="W39" s="348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413" t="s">
        <v>799</v>
      </c>
      <c r="F4" s="3414"/>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2931</v>
      </c>
      <c r="D5" s="3395"/>
      <c r="E5" s="3415" t="s">
        <v>2932</v>
      </c>
      <c r="F5" s="3416"/>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411" t="s">
        <v>2935</v>
      </c>
      <c r="F6" s="3412"/>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43679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4" t="s">
        <v>530</v>
      </c>
      <c r="Q7" s="3406"/>
      <c r="R7" s="1555" t="s">
        <v>8</v>
      </c>
      <c r="S7" s="1556">
        <f t="shared" ref="S7:S14" si="0">F7</f>
        <v>0</v>
      </c>
      <c r="T7" s="1555" t="s">
        <v>8</v>
      </c>
      <c r="U7" s="1556">
        <f t="shared" ref="U7:U14" si="1">H7</f>
        <v>0</v>
      </c>
      <c r="V7" s="1555" t="s">
        <v>8</v>
      </c>
      <c r="W7" s="1556">
        <f t="shared" ref="W7:W14" si="2">J7</f>
        <v>0</v>
      </c>
      <c r="X7" s="1557"/>
      <c r="Y7" s="3404" t="s">
        <v>530</v>
      </c>
      <c r="Z7" s="340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4" t="s">
        <v>533</v>
      </c>
      <c r="Q8" s="3405"/>
      <c r="R8" s="1555" t="s">
        <v>8</v>
      </c>
      <c r="S8" s="1556">
        <f t="shared" si="0"/>
        <v>0</v>
      </c>
      <c r="T8" s="1555" t="s">
        <v>8</v>
      </c>
      <c r="U8" s="1556">
        <f t="shared" si="1"/>
        <v>0</v>
      </c>
      <c r="V8" s="1555" t="s">
        <v>8</v>
      </c>
      <c r="W8" s="1556">
        <f t="shared" si="2"/>
        <v>0</v>
      </c>
      <c r="X8" s="1557"/>
      <c r="Y8" s="3404" t="s">
        <v>533</v>
      </c>
      <c r="Z8" s="3405"/>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7" t="s">
        <v>540</v>
      </c>
      <c r="Q14" s="1559" t="str">
        <f t="shared" si="6"/>
        <v>交通便捷度</v>
      </c>
      <c r="R14" s="1560" t="s">
        <v>8</v>
      </c>
      <c r="S14" s="1561">
        <f t="shared" si="0"/>
        <v>100</v>
      </c>
      <c r="T14" s="1560" t="s">
        <v>8</v>
      </c>
      <c r="U14" s="1561">
        <f t="shared" si="1"/>
        <v>100</v>
      </c>
      <c r="V14" s="1560" t="s">
        <v>8</v>
      </c>
      <c r="W14" s="1561">
        <f t="shared" si="2"/>
        <v>100</v>
      </c>
      <c r="X14" s="1554"/>
      <c r="Y14" s="340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8"/>
      <c r="Q15" s="1559"/>
      <c r="R15" s="1560"/>
      <c r="S15" s="1561"/>
      <c r="T15" s="1560"/>
      <c r="U15" s="1561"/>
      <c r="V15" s="1560"/>
      <c r="W15" s="1561"/>
      <c r="X15" s="1554"/>
      <c r="Y15" s="3408"/>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8"/>
      <c r="Q16" s="1559" t="str">
        <f>B16</f>
        <v>公共配套设施</v>
      </c>
      <c r="R16" s="1560" t="s">
        <v>8</v>
      </c>
      <c r="S16" s="1561">
        <f>F16</f>
        <v>100</v>
      </c>
      <c r="T16" s="1560" t="s">
        <v>8</v>
      </c>
      <c r="U16" s="1561">
        <f>H16</f>
        <v>100</v>
      </c>
      <c r="V16" s="1560" t="s">
        <v>8</v>
      </c>
      <c r="W16" s="1561">
        <f>J16</f>
        <v>100</v>
      </c>
      <c r="X16" s="1554"/>
      <c r="Y16" s="340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8"/>
      <c r="Q17" s="1559"/>
      <c r="R17" s="1560"/>
      <c r="S17" s="1561"/>
      <c r="T17" s="1560"/>
      <c r="U17" s="1561"/>
      <c r="V17" s="1560"/>
      <c r="W17" s="1561"/>
      <c r="X17" s="1554"/>
      <c r="Y17" s="3408"/>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8"/>
      <c r="Q18" s="2544" t="str">
        <f>B18</f>
        <v>基础设施水平</v>
      </c>
      <c r="R18" s="1560" t="s">
        <v>8</v>
      </c>
      <c r="S18" s="1561">
        <f>F18</f>
        <v>100</v>
      </c>
      <c r="T18" s="1560" t="s">
        <v>8</v>
      </c>
      <c r="U18" s="1561">
        <f>H18</f>
        <v>100</v>
      </c>
      <c r="V18" s="1560" t="s">
        <v>8</v>
      </c>
      <c r="W18" s="1561">
        <f>J18</f>
        <v>100</v>
      </c>
      <c r="X18" s="2546"/>
      <c r="Y18" s="340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8"/>
      <c r="Q19" s="2544"/>
      <c r="R19" s="1560"/>
      <c r="S19" s="1561"/>
      <c r="T19" s="1560"/>
      <c r="U19" s="1561"/>
      <c r="V19" s="1560"/>
      <c r="W19" s="1561"/>
      <c r="X19" s="2546"/>
      <c r="Y19" s="3408"/>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8"/>
      <c r="Q20" s="1559" t="str">
        <f>B20</f>
        <v>自然及人文环境</v>
      </c>
      <c r="R20" s="1560" t="s">
        <v>8</v>
      </c>
      <c r="S20" s="1561">
        <f>F20</f>
        <v>100</v>
      </c>
      <c r="T20" s="1560" t="s">
        <v>8</v>
      </c>
      <c r="U20" s="1561">
        <f>H20</f>
        <v>100</v>
      </c>
      <c r="V20" s="1560" t="s">
        <v>8</v>
      </c>
      <c r="W20" s="1561">
        <f>J20</f>
        <v>100</v>
      </c>
      <c r="X20" s="1554"/>
      <c r="Y20" s="340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8"/>
      <c r="Q21" s="1559"/>
      <c r="R21" s="1560"/>
      <c r="S21" s="1561"/>
      <c r="T21" s="1560"/>
      <c r="U21" s="1561"/>
      <c r="V21" s="1560"/>
      <c r="W21" s="1561"/>
      <c r="X21" s="1554"/>
      <c r="Y21" s="340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8"/>
      <c r="Q22" s="1559" t="str">
        <f>B22</f>
        <v>楼层</v>
      </c>
      <c r="R22" s="1560" t="s">
        <v>8</v>
      </c>
      <c r="S22" s="1561">
        <f>F22</f>
        <v>100</v>
      </c>
      <c r="T22" s="1560" t="s">
        <v>8</v>
      </c>
      <c r="U22" s="1561">
        <f>H22</f>
        <v>100</v>
      </c>
      <c r="V22" s="1560" t="s">
        <v>8</v>
      </c>
      <c r="W22" s="1561">
        <f>J22</f>
        <v>100</v>
      </c>
      <c r="X22" s="1554"/>
      <c r="Y22" s="340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8"/>
      <c r="Q23" s="1559">
        <f>B23</f>
        <v>111</v>
      </c>
      <c r="R23" s="1560" t="s">
        <v>8</v>
      </c>
      <c r="S23" s="1561">
        <f>F23</f>
        <v>100</v>
      </c>
      <c r="T23" s="1560" t="s">
        <v>8</v>
      </c>
      <c r="U23" s="1561">
        <f>H23</f>
        <v>100</v>
      </c>
      <c r="V23" s="1560" t="s">
        <v>8</v>
      </c>
      <c r="W23" s="1561">
        <f>J23</f>
        <v>100</v>
      </c>
      <c r="X23" s="1554"/>
      <c r="Y23" s="340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8"/>
      <c r="Q24" s="1559">
        <f t="shared" ref="Q24:Q34" si="11">B24</f>
        <v>111</v>
      </c>
      <c r="R24" s="1560" t="s">
        <v>8</v>
      </c>
      <c r="S24" s="1561">
        <f>F24</f>
        <v>100</v>
      </c>
      <c r="T24" s="1560" t="s">
        <v>8</v>
      </c>
      <c r="U24" s="1561">
        <f>H24</f>
        <v>100</v>
      </c>
      <c r="V24" s="1560" t="s">
        <v>8</v>
      </c>
      <c r="W24" s="1561">
        <f>J24</f>
        <v>100</v>
      </c>
      <c r="X24" s="1554"/>
      <c r="Y24" s="340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8"/>
      <c r="Q25" s="1147">
        <f t="shared" si="11"/>
        <v>111</v>
      </c>
      <c r="R25" s="1555" t="s">
        <v>8</v>
      </c>
      <c r="S25" s="1556">
        <f>F25</f>
        <v>100</v>
      </c>
      <c r="T25" s="1555" t="s">
        <v>8</v>
      </c>
      <c r="U25" s="1556">
        <f>H25</f>
        <v>100</v>
      </c>
      <c r="V25" s="1555" t="s">
        <v>8</v>
      </c>
      <c r="W25" s="1556">
        <f>J25</f>
        <v>100</v>
      </c>
      <c r="X25" s="1557"/>
      <c r="Y25" s="3408"/>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0"/>
      <c r="Q27" s="1591" t="str">
        <f t="shared" si="11"/>
        <v>成新率</v>
      </c>
      <c r="R27" s="1564" t="s">
        <v>8</v>
      </c>
      <c r="S27" s="1565" t="e">
        <f t="shared" si="12"/>
        <v>#N/A</v>
      </c>
      <c r="T27" s="1564" t="s">
        <v>8</v>
      </c>
      <c r="U27" s="1565" t="e">
        <f t="shared" si="13"/>
        <v>#N/A</v>
      </c>
      <c r="V27" s="1564" t="s">
        <v>8</v>
      </c>
      <c r="W27" s="1565" t="e">
        <f t="shared" si="14"/>
        <v>#N/A</v>
      </c>
      <c r="X27" s="1566"/>
      <c r="Y27" s="341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0"/>
      <c r="Q28" s="1559" t="str">
        <f t="shared" si="11"/>
        <v>物业等级</v>
      </c>
      <c r="R28" s="1560" t="s">
        <v>8</v>
      </c>
      <c r="S28" s="1561">
        <f t="shared" si="12"/>
        <v>100</v>
      </c>
      <c r="T28" s="1560" t="s">
        <v>8</v>
      </c>
      <c r="U28" s="1561">
        <f t="shared" si="13"/>
        <v>100</v>
      </c>
      <c r="V28" s="1560" t="s">
        <v>8</v>
      </c>
      <c r="W28" s="1561">
        <f t="shared" si="14"/>
        <v>100</v>
      </c>
      <c r="X28" s="1554"/>
      <c r="Y28" s="341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0"/>
      <c r="Q29" s="1559" t="str">
        <f t="shared" si="11"/>
        <v>有无电梯</v>
      </c>
      <c r="R29" s="1560" t="s">
        <v>8</v>
      </c>
      <c r="S29" s="1561">
        <f t="shared" si="12"/>
        <v>100</v>
      </c>
      <c r="T29" s="1560" t="s">
        <v>8</v>
      </c>
      <c r="U29" s="1561">
        <f t="shared" si="13"/>
        <v>100</v>
      </c>
      <c r="V29" s="1560" t="s">
        <v>8</v>
      </c>
      <c r="W29" s="1561">
        <f t="shared" si="14"/>
        <v>100</v>
      </c>
      <c r="X29" s="1554"/>
      <c r="Y29" s="341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0"/>
      <c r="Q30" s="1559" t="str">
        <f t="shared" si="11"/>
        <v>建筑面积</v>
      </c>
      <c r="R30" s="1560" t="s">
        <v>8</v>
      </c>
      <c r="S30" s="1561" t="e">
        <f t="shared" si="12"/>
        <v>#N/A</v>
      </c>
      <c r="T30" s="1560" t="s">
        <v>8</v>
      </c>
      <c r="U30" s="1561" t="e">
        <f t="shared" si="13"/>
        <v>#N/A</v>
      </c>
      <c r="V30" s="1560" t="s">
        <v>8</v>
      </c>
      <c r="W30" s="1561" t="e">
        <f t="shared" si="14"/>
        <v>#N/A</v>
      </c>
      <c r="X30" s="1554"/>
      <c r="Y30" s="341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0"/>
      <c r="Q31" s="1147" t="str">
        <f t="shared" si="11"/>
        <v>是否封闭</v>
      </c>
      <c r="R31" s="1555" t="s">
        <v>8</v>
      </c>
      <c r="S31" s="1556">
        <f t="shared" si="12"/>
        <v>100</v>
      </c>
      <c r="T31" s="1555" t="s">
        <v>8</v>
      </c>
      <c r="U31" s="1556">
        <f t="shared" si="13"/>
        <v>100</v>
      </c>
      <c r="V31" s="1555" t="s">
        <v>8</v>
      </c>
      <c r="W31" s="1556">
        <f t="shared" si="14"/>
        <v>100</v>
      </c>
      <c r="X31" s="1557"/>
      <c r="Y31" s="341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0" t="s">
        <v>550</v>
      </c>
      <c r="Q32" s="1559">
        <f t="shared" si="11"/>
        <v>111</v>
      </c>
      <c r="R32" s="1560" t="s">
        <v>8</v>
      </c>
      <c r="S32" s="1561">
        <f t="shared" si="12"/>
        <v>100</v>
      </c>
      <c r="T32" s="1560" t="s">
        <v>8</v>
      </c>
      <c r="U32" s="1561">
        <f t="shared" si="13"/>
        <v>100</v>
      </c>
      <c r="V32" s="1560" t="s">
        <v>8</v>
      </c>
      <c r="W32" s="1561">
        <f t="shared" si="14"/>
        <v>100</v>
      </c>
      <c r="X32" s="1554"/>
      <c r="Y32" s="341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0"/>
      <c r="Q33" s="1559">
        <f t="shared" si="11"/>
        <v>111</v>
      </c>
      <c r="R33" s="1560" t="s">
        <v>8</v>
      </c>
      <c r="S33" s="1561">
        <f t="shared" si="12"/>
        <v>100</v>
      </c>
      <c r="T33" s="1560" t="s">
        <v>8</v>
      </c>
      <c r="U33" s="1561">
        <f t="shared" si="13"/>
        <v>100</v>
      </c>
      <c r="V33" s="1560" t="s">
        <v>8</v>
      </c>
      <c r="W33" s="1561">
        <f t="shared" si="14"/>
        <v>100</v>
      </c>
      <c r="X33" s="1554"/>
      <c r="Y33" s="341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0"/>
      <c r="Q34" s="1559">
        <f t="shared" si="11"/>
        <v>111</v>
      </c>
      <c r="R34" s="1560" t="s">
        <v>8</v>
      </c>
      <c r="S34" s="1561">
        <f t="shared" si="12"/>
        <v>100</v>
      </c>
      <c r="T34" s="1560" t="s">
        <v>8</v>
      </c>
      <c r="U34" s="1561">
        <f t="shared" si="13"/>
        <v>100</v>
      </c>
      <c r="V34" s="1560" t="s">
        <v>8</v>
      </c>
      <c r="W34" s="1561">
        <f t="shared" si="14"/>
        <v>100</v>
      </c>
      <c r="X34" s="1554"/>
      <c r="Y34" s="3410"/>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2" t="str">
        <f>A35</f>
        <v>成交单价（元/平方米）</v>
      </c>
      <c r="Q35" s="3372"/>
      <c r="R35" s="3490">
        <f>E35</f>
        <v>0</v>
      </c>
      <c r="S35" s="3490"/>
      <c r="T35" s="3490">
        <f>G35</f>
        <v>0</v>
      </c>
      <c r="U35" s="3490"/>
      <c r="V35" s="3490">
        <f>I35</f>
        <v>0</v>
      </c>
      <c r="W35" s="349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69" t="str">
        <f>A37</f>
        <v>估价对象XX用房的比较价格（楼面单价，元/平方米）</v>
      </c>
      <c r="Q37" s="3370"/>
      <c r="R37" s="3489" t="e">
        <f>IF(F1="售价",ROUND(AVERAGE(R36:V36),0),ROUND(AVERAGE(R36:V36),1))</f>
        <v>#DIV/0!</v>
      </c>
      <c r="S37" s="3489"/>
      <c r="T37" s="3489"/>
      <c r="U37" s="3489"/>
      <c r="V37" s="3489"/>
      <c r="W37" s="348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00" t="s">
        <v>2304</v>
      </c>
      <c r="D1" s="3501"/>
      <c r="E1" s="3501"/>
      <c r="F1" s="3501"/>
      <c r="G1" s="3501"/>
      <c r="H1" s="3501"/>
      <c r="I1" s="3501"/>
      <c r="J1" s="3501"/>
      <c r="K1" s="3501"/>
      <c r="L1" s="3501"/>
      <c r="M1" s="3501"/>
      <c r="N1" s="3501"/>
      <c r="O1" s="3501"/>
      <c r="P1" s="3501"/>
      <c r="Q1" s="3501"/>
      <c r="R1" s="3501"/>
      <c r="S1" s="3502"/>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受贵公司委托，我公司对江苏省盐城市大丰港区海辉路北侧出让国有建设用地使用权抵押价格进行了预评估。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大丰港区海辉路北侧出让国有建设用地使用权。根据《国有土地使用证》[]，估价对象（分摊）出让国有建设用地使用权面积为233292.2平方米。根据《建设工程规划许可证》[]、《出让合同》[]，估价对象规划建筑面积为699876.6平方米。</v>
      </c>
    </row>
    <row r="7" spans="1:4" ht="93.75">
      <c r="A7" s="2829" t="s">
        <v>2748</v>
      </c>
    </row>
    <row r="8" spans="1:4" ht="18.75">
      <c r="A8" s="1780" t="s">
        <v>1906</v>
      </c>
    </row>
    <row r="9" spans="1:4" ht="75">
      <c r="A9" s="1782" t="str">
        <f>IF(项目基本情况!B8="抵押",IF(项目基本情况!B5=项目基本情况!B6,定义!C51,定义!B51),定义!D51)</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根据《国有土地使用证》[]，估价对象（分摊）出让国有建设用地使用权面积为233292.2平方米。根据《建设工程规划许可证》[]、《出让合同》[]，估价对象规划建筑面积为699876.6平方米。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43679</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K14" sqref="K14"/>
    </sheetView>
  </sheetViews>
  <sheetFormatPr defaultRowHeight="13.5"/>
  <cols>
    <col min="1" max="1" width="33.25" customWidth="1"/>
    <col min="6" max="6" width="12.375" customWidth="1"/>
  </cols>
  <sheetData>
    <row r="1" spans="1:15">
      <c r="A1" s="2895" t="s">
        <v>2996</v>
      </c>
      <c r="B1" s="2895" t="s">
        <v>2997</v>
      </c>
      <c r="C1" s="2895" t="s">
        <v>2998</v>
      </c>
      <c r="D1" s="2895" t="s">
        <v>2999</v>
      </c>
      <c r="E1" s="2895" t="s">
        <v>3000</v>
      </c>
      <c r="F1" s="2895" t="s">
        <v>2032</v>
      </c>
      <c r="G1" s="2895" t="s">
        <v>3001</v>
      </c>
      <c r="H1" s="2895" t="s">
        <v>3002</v>
      </c>
      <c r="I1" s="2895" t="s">
        <v>3003</v>
      </c>
      <c r="J1" s="2895" t="s">
        <v>3004</v>
      </c>
      <c r="K1" s="2895" t="s">
        <v>3005</v>
      </c>
      <c r="L1" s="2895" t="s">
        <v>3006</v>
      </c>
      <c r="M1" s="2895" t="s">
        <v>3007</v>
      </c>
      <c r="N1" s="2895" t="s">
        <v>3008</v>
      </c>
    </row>
    <row r="2" spans="1:15">
      <c r="A2" s="3185" t="s">
        <v>3009</v>
      </c>
      <c r="B2" s="3185" t="s">
        <v>3010</v>
      </c>
      <c r="C2" s="3185" t="s">
        <v>3011</v>
      </c>
      <c r="D2" s="3185">
        <v>52846</v>
      </c>
      <c r="E2" s="3185">
        <v>79269</v>
      </c>
      <c r="F2" s="3185" t="s">
        <v>3012</v>
      </c>
      <c r="G2" s="3185" t="s">
        <v>3013</v>
      </c>
      <c r="H2" s="3185" t="s">
        <v>3014</v>
      </c>
      <c r="I2" s="3185">
        <v>7927</v>
      </c>
      <c r="J2" s="3185">
        <v>7927</v>
      </c>
      <c r="K2" s="3185">
        <v>1000</v>
      </c>
      <c r="L2" s="3185">
        <v>0</v>
      </c>
      <c r="M2" s="3185" t="s">
        <v>3015</v>
      </c>
      <c r="N2" s="3185" t="s">
        <v>3016</v>
      </c>
      <c r="O2">
        <f>J2/(D2/666.67)</f>
        <v>100.00176153351246</v>
      </c>
    </row>
    <row r="3" spans="1:15">
      <c r="A3" s="2895" t="s">
        <v>3017</v>
      </c>
      <c r="B3" s="2895" t="s">
        <v>3010</v>
      </c>
      <c r="C3" s="2895" t="s">
        <v>3011</v>
      </c>
      <c r="D3" s="2895">
        <v>85558</v>
      </c>
      <c r="E3" s="2895">
        <v>154004.4</v>
      </c>
      <c r="F3" s="2895" t="s">
        <v>3018</v>
      </c>
      <c r="G3" s="2895" t="s">
        <v>3013</v>
      </c>
      <c r="H3" s="2895" t="s">
        <v>3019</v>
      </c>
      <c r="I3" s="2895">
        <v>29300</v>
      </c>
      <c r="J3" s="2895">
        <v>49870</v>
      </c>
      <c r="K3" s="2895">
        <v>3238.21</v>
      </c>
      <c r="L3" s="2895">
        <v>70.2</v>
      </c>
      <c r="M3" s="2895" t="s">
        <v>3020</v>
      </c>
      <c r="N3" s="2895" t="s">
        <v>3021</v>
      </c>
      <c r="O3">
        <f t="shared" ref="O3:O14" si="0">J3/(D3/666.67)</f>
        <v>388.58824306318513</v>
      </c>
    </row>
    <row r="4" spans="1:15">
      <c r="A4" s="2895" t="s">
        <v>3022</v>
      </c>
      <c r="B4" s="2895" t="s">
        <v>3010</v>
      </c>
      <c r="C4" s="2895" t="s">
        <v>3011</v>
      </c>
      <c r="D4" s="2895">
        <v>60440</v>
      </c>
      <c r="E4" s="2895">
        <v>132968</v>
      </c>
      <c r="F4" s="2895" t="s">
        <v>3023</v>
      </c>
      <c r="G4" s="2895" t="s">
        <v>3013</v>
      </c>
      <c r="H4" s="2895" t="s">
        <v>3019</v>
      </c>
      <c r="I4" s="2895">
        <v>11700</v>
      </c>
      <c r="J4" s="2895">
        <v>29000</v>
      </c>
      <c r="K4" s="2895">
        <v>2180.98</v>
      </c>
      <c r="L4" s="2895">
        <v>147.86000000000001</v>
      </c>
      <c r="M4" s="2895" t="s">
        <v>3024</v>
      </c>
      <c r="N4" s="2895" t="s">
        <v>3016</v>
      </c>
      <c r="O4">
        <f t="shared" si="0"/>
        <v>319.87806088682987</v>
      </c>
    </row>
    <row r="5" spans="1:15">
      <c r="A5" s="2895" t="s">
        <v>3025</v>
      </c>
      <c r="B5" s="2895" t="s">
        <v>3010</v>
      </c>
      <c r="C5" s="2895" t="s">
        <v>3011</v>
      </c>
      <c r="D5" s="2895">
        <v>72028</v>
      </c>
      <c r="E5" s="2895">
        <v>144056</v>
      </c>
      <c r="F5" s="2895" t="s">
        <v>3026</v>
      </c>
      <c r="G5" s="2895" t="s">
        <v>3013</v>
      </c>
      <c r="H5" s="2895" t="s">
        <v>3019</v>
      </c>
      <c r="I5" s="2895">
        <v>22500</v>
      </c>
      <c r="J5" s="2895">
        <v>43450</v>
      </c>
      <c r="K5" s="2895">
        <v>3016.19</v>
      </c>
      <c r="L5" s="2895">
        <v>93.11</v>
      </c>
      <c r="M5" s="2895" t="s">
        <v>3027</v>
      </c>
      <c r="N5" s="2895" t="s">
        <v>3021</v>
      </c>
      <c r="O5">
        <f t="shared" si="0"/>
        <v>402.16043066585212</v>
      </c>
    </row>
    <row r="6" spans="1:15">
      <c r="A6" s="3186" t="s">
        <v>3028</v>
      </c>
      <c r="B6" s="3186" t="s">
        <v>3010</v>
      </c>
      <c r="C6" s="3186" t="s">
        <v>3011</v>
      </c>
      <c r="D6" s="3186">
        <v>45562</v>
      </c>
      <c r="E6" s="3186">
        <v>100236.4</v>
      </c>
      <c r="F6" s="3186" t="s">
        <v>3023</v>
      </c>
      <c r="G6" s="3186" t="s">
        <v>3013</v>
      </c>
      <c r="H6" s="3186" t="s">
        <v>3019</v>
      </c>
      <c r="I6" s="3186">
        <v>8100</v>
      </c>
      <c r="J6" s="3186">
        <v>13740</v>
      </c>
      <c r="K6" s="3186">
        <v>1370.75</v>
      </c>
      <c r="L6" s="3186">
        <v>69.63</v>
      </c>
      <c r="M6" s="3186" t="s">
        <v>3024</v>
      </c>
      <c r="N6" s="3186" t="s">
        <v>3016</v>
      </c>
      <c r="O6">
        <f t="shared" si="0"/>
        <v>201.04573548132214</v>
      </c>
    </row>
    <row r="7" spans="1:15">
      <c r="A7" s="2895" t="s">
        <v>3029</v>
      </c>
      <c r="B7" s="2895" t="s">
        <v>3010</v>
      </c>
      <c r="C7" s="2895" t="s">
        <v>3011</v>
      </c>
      <c r="D7" s="2895">
        <v>67668</v>
      </c>
      <c r="E7" s="2895">
        <v>94735.2</v>
      </c>
      <c r="F7" s="2895" t="s">
        <v>3030</v>
      </c>
      <c r="G7" s="2895" t="s">
        <v>3013</v>
      </c>
      <c r="H7" s="2895" t="s">
        <v>3019</v>
      </c>
      <c r="I7" s="2895">
        <v>22200</v>
      </c>
      <c r="J7" s="2895">
        <v>34310</v>
      </c>
      <c r="K7" s="2895">
        <v>3621.67</v>
      </c>
      <c r="L7" s="2895">
        <v>54.55</v>
      </c>
      <c r="M7" s="2895" t="s">
        <v>3020</v>
      </c>
      <c r="N7" s="2895" t="s">
        <v>3021</v>
      </c>
      <c r="O7">
        <f t="shared" si="0"/>
        <v>338.02458621504996</v>
      </c>
    </row>
    <row r="8" spans="1:15">
      <c r="A8" s="2895" t="s">
        <v>3031</v>
      </c>
      <c r="B8" s="2895" t="s">
        <v>3010</v>
      </c>
      <c r="C8" s="2895" t="s">
        <v>3011</v>
      </c>
      <c r="D8" s="2895">
        <v>83186</v>
      </c>
      <c r="E8" s="2895">
        <v>191327.8</v>
      </c>
      <c r="F8" s="2895" t="s">
        <v>3032</v>
      </c>
      <c r="G8" s="2895" t="s">
        <v>3013</v>
      </c>
      <c r="H8" s="2895" t="s">
        <v>3019</v>
      </c>
      <c r="I8" s="2895">
        <v>28500</v>
      </c>
      <c r="J8" s="2895">
        <v>59800</v>
      </c>
      <c r="K8" s="2895">
        <v>3125.53</v>
      </c>
      <c r="L8" s="2895">
        <v>109.82</v>
      </c>
      <c r="M8" s="2895" t="s">
        <v>3033</v>
      </c>
      <c r="N8" s="2895" t="s">
        <v>3021</v>
      </c>
      <c r="O8">
        <f t="shared" si="0"/>
        <v>479.24970547928734</v>
      </c>
    </row>
    <row r="9" spans="1:15">
      <c r="A9" s="2895" t="s">
        <v>3034</v>
      </c>
      <c r="B9" s="2895" t="s">
        <v>3010</v>
      </c>
      <c r="C9" s="2895" t="s">
        <v>3035</v>
      </c>
      <c r="D9" s="2895">
        <v>13259</v>
      </c>
      <c r="E9" s="2895">
        <v>26518</v>
      </c>
      <c r="F9" s="2895" t="s">
        <v>3036</v>
      </c>
      <c r="G9" s="2895" t="s">
        <v>3013</v>
      </c>
      <c r="H9" s="2895" t="s">
        <v>3037</v>
      </c>
      <c r="I9" s="2895">
        <v>610</v>
      </c>
      <c r="J9" s="2895">
        <v>610</v>
      </c>
      <c r="K9" s="2895">
        <v>230.03</v>
      </c>
      <c r="L9" s="2895">
        <v>0</v>
      </c>
      <c r="M9" s="2895" t="s">
        <v>3038</v>
      </c>
      <c r="N9" s="2895" t="s">
        <v>3016</v>
      </c>
      <c r="O9">
        <f t="shared" si="0"/>
        <v>30.671144128516477</v>
      </c>
    </row>
    <row r="10" spans="1:15">
      <c r="A10" s="2895" t="s">
        <v>3039</v>
      </c>
      <c r="B10" s="2895" t="s">
        <v>3010</v>
      </c>
      <c r="C10" s="2895" t="s">
        <v>3035</v>
      </c>
      <c r="D10" s="2895">
        <v>4701</v>
      </c>
      <c r="E10" s="2895">
        <v>7051.5</v>
      </c>
      <c r="F10" s="2895" t="s">
        <v>3040</v>
      </c>
      <c r="G10" s="2895" t="s">
        <v>3013</v>
      </c>
      <c r="H10" s="2895" t="s">
        <v>3037</v>
      </c>
      <c r="I10" s="2895">
        <v>213</v>
      </c>
      <c r="J10" s="2895">
        <v>213</v>
      </c>
      <c r="K10" s="2895">
        <v>302.06</v>
      </c>
      <c r="L10" s="2895">
        <v>0</v>
      </c>
      <c r="M10" s="2895" t="s">
        <v>3041</v>
      </c>
      <c r="N10" s="2895" t="s">
        <v>3021</v>
      </c>
      <c r="O10">
        <f t="shared" si="0"/>
        <v>30.206490108487554</v>
      </c>
    </row>
    <row r="11" spans="1:15">
      <c r="A11" s="2895" t="s">
        <v>3042</v>
      </c>
      <c r="B11" s="2895" t="s">
        <v>3010</v>
      </c>
      <c r="C11" s="2895" t="s">
        <v>3035</v>
      </c>
      <c r="D11" s="2895">
        <v>24013</v>
      </c>
      <c r="E11" s="2895">
        <v>28815.599999999999</v>
      </c>
      <c r="F11" s="2895" t="s">
        <v>3043</v>
      </c>
      <c r="G11" s="2895" t="s">
        <v>3013</v>
      </c>
      <c r="H11" s="2895" t="s">
        <v>3037</v>
      </c>
      <c r="I11" s="2895">
        <v>1393</v>
      </c>
      <c r="J11" s="2895">
        <v>1393</v>
      </c>
      <c r="K11" s="2895">
        <v>483.42</v>
      </c>
      <c r="L11" s="2895">
        <v>0</v>
      </c>
      <c r="M11" s="2895" t="s">
        <v>3044</v>
      </c>
      <c r="N11" s="2895" t="s">
        <v>3021</v>
      </c>
      <c r="O11">
        <f t="shared" si="0"/>
        <v>38.673689668096443</v>
      </c>
    </row>
    <row r="12" spans="1:15">
      <c r="A12" s="3185" t="s">
        <v>3045</v>
      </c>
      <c r="B12" s="3185" t="s">
        <v>3010</v>
      </c>
      <c r="C12" s="3185" t="s">
        <v>3011</v>
      </c>
      <c r="D12" s="3185">
        <v>49652</v>
      </c>
      <c r="E12" s="3185">
        <v>79443.199999999997</v>
      </c>
      <c r="F12" s="3185" t="s">
        <v>3046</v>
      </c>
      <c r="G12" s="3185" t="s">
        <v>3013</v>
      </c>
      <c r="H12" s="3185" t="s">
        <v>3047</v>
      </c>
      <c r="I12" s="3185">
        <v>8069</v>
      </c>
      <c r="J12" s="3185">
        <v>10270</v>
      </c>
      <c r="K12" s="3185">
        <v>1292.75</v>
      </c>
      <c r="L12" s="3185">
        <v>27.28</v>
      </c>
      <c r="M12" s="3185" t="s">
        <v>3048</v>
      </c>
      <c r="N12" s="3185" t="s">
        <v>3016</v>
      </c>
      <c r="O12">
        <f t="shared" si="0"/>
        <v>137.89375855957462</v>
      </c>
    </row>
    <row r="13" spans="1:15">
      <c r="A13" s="2895" t="s">
        <v>3049</v>
      </c>
      <c r="B13" s="2895" t="s">
        <v>3010</v>
      </c>
      <c r="C13" s="2895" t="s">
        <v>3011</v>
      </c>
      <c r="D13" s="2895">
        <v>17052</v>
      </c>
      <c r="E13" s="2895">
        <v>37514.400000000001</v>
      </c>
      <c r="F13" s="2895" t="s">
        <v>3050</v>
      </c>
      <c r="G13" s="2895" t="s">
        <v>3013</v>
      </c>
      <c r="H13" s="2895" t="s">
        <v>3047</v>
      </c>
      <c r="I13" s="2895">
        <v>3334</v>
      </c>
      <c r="J13" s="2895">
        <v>5020</v>
      </c>
      <c r="K13" s="2895">
        <v>1338.15</v>
      </c>
      <c r="L13" s="2895">
        <v>50.57</v>
      </c>
      <c r="M13" s="2895" t="s">
        <v>3051</v>
      </c>
      <c r="N13" s="2895" t="s">
        <v>3052</v>
      </c>
      <c r="O13">
        <f t="shared" si="0"/>
        <v>196.26339432324653</v>
      </c>
    </row>
    <row r="14" spans="1:15">
      <c r="A14" s="3185" t="s">
        <v>3053</v>
      </c>
      <c r="B14" s="3185" t="s">
        <v>3010</v>
      </c>
      <c r="C14" s="3185" t="s">
        <v>3011</v>
      </c>
      <c r="D14" s="3185">
        <v>63215</v>
      </c>
      <c r="E14" s="3185">
        <v>63215</v>
      </c>
      <c r="F14" s="3185" t="s">
        <v>3054</v>
      </c>
      <c r="G14" s="3185" t="s">
        <v>3013</v>
      </c>
      <c r="H14" s="3185" t="s">
        <v>3055</v>
      </c>
      <c r="I14" s="3185">
        <v>6290</v>
      </c>
      <c r="J14" s="3185">
        <v>6290</v>
      </c>
      <c r="K14" s="3185">
        <v>995.01</v>
      </c>
      <c r="L14" s="3185">
        <v>0</v>
      </c>
      <c r="M14" s="3185" t="s">
        <v>3056</v>
      </c>
      <c r="N14" s="3185" t="s">
        <v>3016</v>
      </c>
      <c r="O14">
        <f t="shared" si="0"/>
        <v>66.334798702839507</v>
      </c>
    </row>
  </sheetData>
  <phoneticPr fontId="228" type="noConversion"/>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2038</v>
      </c>
      <c r="B1" s="3209"/>
      <c r="C1" s="3209"/>
      <c r="D1" s="3209"/>
      <c r="E1" s="3209"/>
      <c r="F1" s="3209"/>
      <c r="G1" s="3209"/>
      <c r="H1" s="3209"/>
      <c r="I1" s="3209"/>
      <c r="J1" s="3209"/>
      <c r="K1" s="3209"/>
      <c r="L1" s="3209"/>
      <c r="M1" s="3209"/>
      <c r="N1" s="3209"/>
      <c r="O1" s="3209"/>
      <c r="P1" s="3209"/>
      <c r="Q1" s="3209"/>
      <c r="R1" s="3209"/>
    </row>
    <row r="2" spans="1:18">
      <c r="A2" s="1793" t="s">
        <v>2040</v>
      </c>
      <c r="B2" s="1793"/>
      <c r="C2" s="1793"/>
      <c r="D2" s="1793"/>
      <c r="E2" s="1793"/>
      <c r="F2" s="1793"/>
      <c r="G2" s="1793"/>
      <c r="H2" s="1793"/>
      <c r="I2" s="1794"/>
      <c r="J2" s="1794"/>
      <c r="K2" s="1795" t="str">
        <f>"估价期日："&amp;TEXT(项目基本情况!D3,"yyyy年m月d日;;")</f>
        <v>估价期日：2019年8月2日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0" t="s">
        <v>2029</v>
      </c>
      <c r="B3" s="3210" t="s">
        <v>2731</v>
      </c>
      <c r="C3" s="3211" t="s">
        <v>2030</v>
      </c>
      <c r="D3" s="3210" t="s">
        <v>2735</v>
      </c>
      <c r="E3" s="3205" t="s">
        <v>2031</v>
      </c>
      <c r="F3" s="3205"/>
      <c r="G3" s="3205"/>
      <c r="H3" s="3205" t="s">
        <v>2032</v>
      </c>
      <c r="I3" s="3205"/>
      <c r="J3" s="3205"/>
      <c r="K3" s="3211" t="s">
        <v>2033</v>
      </c>
      <c r="L3" s="3211" t="s">
        <v>2034</v>
      </c>
      <c r="M3" s="3210" t="s">
        <v>2732</v>
      </c>
      <c r="N3" s="3212" t="str">
        <f>"（分摊）"&amp;项目基本情况!B16&amp;"国有建设用地使用权面积/㎡"</f>
        <v>（分摊）出让国有建设用地使用权面积/㎡</v>
      </c>
      <c r="O3" s="3210" t="s">
        <v>2063</v>
      </c>
      <c r="P3" s="3211" t="s">
        <v>2043</v>
      </c>
      <c r="Q3" s="3211" t="s">
        <v>2064</v>
      </c>
      <c r="R3" s="3211" t="s">
        <v>2035</v>
      </c>
    </row>
    <row r="4" spans="1:18" ht="36.75" customHeight="1">
      <c r="A4" s="3210"/>
      <c r="B4" s="3210"/>
      <c r="C4" s="3211"/>
      <c r="D4" s="3210"/>
      <c r="E4" s="2614" t="s">
        <v>2042</v>
      </c>
      <c r="F4" s="2614" t="s">
        <v>2744</v>
      </c>
      <c r="G4" s="2614" t="s">
        <v>2036</v>
      </c>
      <c r="H4" s="2614" t="s">
        <v>2037</v>
      </c>
      <c r="I4" s="2614" t="s">
        <v>2745</v>
      </c>
      <c r="J4" s="2614" t="s">
        <v>2036</v>
      </c>
      <c r="K4" s="3211"/>
      <c r="L4" s="3211"/>
      <c r="M4" s="3210"/>
      <c r="N4" s="3212"/>
      <c r="O4" s="3210"/>
      <c r="P4" s="3211"/>
      <c r="Q4" s="3211"/>
      <c r="R4" s="321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233292.2</v>
      </c>
      <c r="O5" s="1796">
        <f>项目基本情况!C21</f>
        <v>699876.6</v>
      </c>
      <c r="P5" s="1796">
        <f ca="1">结果表!E42</f>
        <v>2938</v>
      </c>
      <c r="Q5" s="1796">
        <f ca="1">结果表!D42</f>
        <v>979</v>
      </c>
      <c r="R5" s="1797">
        <f ca="1">结果表!C42</f>
        <v>68540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8">
        <f ca="1">结果表!O39</f>
        <v>68540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8"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4" t="s">
        <v>2065</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2066</v>
      </c>
      <c r="B5" s="3213"/>
      <c r="C5" s="3213"/>
      <c r="D5" s="3213"/>
    </row>
    <row r="6" spans="1:4">
      <c r="A6" s="3214" t="s">
        <v>2044</v>
      </c>
      <c r="B6" s="3214"/>
      <c r="C6" s="3214"/>
      <c r="D6" s="3214"/>
    </row>
    <row r="7" spans="1:4" ht="33" customHeight="1">
      <c r="A7" s="3214" t="s">
        <v>2575</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2068</v>
      </c>
      <c r="B12" s="3213"/>
      <c r="C12" s="3213"/>
      <c r="D12" s="3213"/>
    </row>
    <row r="13" spans="1:4">
      <c r="A13" s="3217" t="s">
        <v>2746</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2702</v>
      </c>
      <c r="B17" s="3214"/>
      <c r="C17" s="3214"/>
      <c r="D17" s="3214"/>
    </row>
    <row r="18" spans="1:4">
      <c r="A18" s="3214" t="s">
        <v>2694</v>
      </c>
      <c r="B18" s="3214"/>
      <c r="C18" s="3214"/>
      <c r="D18" s="3214"/>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f>项目基本情况!D4</f>
        <v>0</v>
      </c>
      <c r="B21" s="2824">
        <f>项目基本情况!E4</f>
        <v>0</v>
      </c>
      <c r="C21" s="2826"/>
      <c r="D21" s="1786" t="s">
        <v>2704</v>
      </c>
    </row>
    <row r="23" spans="1:4">
      <c r="A23" s="3214" t="s">
        <v>2699</v>
      </c>
      <c r="B23" s="3214"/>
      <c r="C23" s="3214"/>
      <c r="D23" s="3214"/>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5" t="s">
        <v>53</v>
      </c>
      <c r="B15" s="3226" t="s">
        <v>846</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837</v>
      </c>
    </row>
    <row r="25" spans="1:3" ht="14.25">
      <c r="A25" s="3224"/>
      <c r="B25" s="3228"/>
      <c r="C25" s="1172" t="s">
        <v>838</v>
      </c>
    </row>
    <row r="26" spans="1:3" ht="14.25">
      <c r="A26" s="3224"/>
      <c r="B26" s="3228"/>
      <c r="C26" s="1172" t="s">
        <v>839</v>
      </c>
    </row>
    <row r="27" spans="1:3" ht="14.25">
      <c r="A27" s="3224"/>
      <c r="B27" s="3228"/>
      <c r="C27" s="1172" t="s">
        <v>840</v>
      </c>
    </row>
    <row r="28" spans="1:3" ht="14.25">
      <c r="A28" s="3224"/>
      <c r="B28" s="3228"/>
      <c r="C28" s="1172" t="s">
        <v>841</v>
      </c>
    </row>
    <row r="29" spans="1:3" ht="14.25">
      <c r="A29" s="3224"/>
      <c r="B29" s="3228"/>
      <c r="C29" s="1172" t="s">
        <v>842</v>
      </c>
    </row>
    <row r="30" spans="1:3" ht="14.25">
      <c r="A30" s="3224"/>
      <c r="B30" s="3228"/>
      <c r="C30" s="1172" t="s">
        <v>843</v>
      </c>
    </row>
    <row r="31" spans="1:3" ht="14.25">
      <c r="A31" s="3224"/>
      <c r="B31" s="3228"/>
      <c r="C31" s="1172" t="s">
        <v>844</v>
      </c>
    </row>
    <row r="32" spans="1:3" ht="14.25">
      <c r="A32" s="3224"/>
      <c r="B32" s="3228"/>
      <c r="C32" s="1172" t="s">
        <v>1646</v>
      </c>
    </row>
    <row r="33" spans="1:3" ht="14.25">
      <c r="A33" s="3224"/>
      <c r="B33" s="3218" t="s">
        <v>1652</v>
      </c>
      <c r="C33" s="1172" t="s">
        <v>1647</v>
      </c>
    </row>
    <row r="34" spans="1:3" ht="14.25">
      <c r="A34" s="3224"/>
      <c r="B34" s="3219"/>
      <c r="C34" s="1177" t="s">
        <v>1648</v>
      </c>
    </row>
    <row r="35" spans="1:3" ht="14.25">
      <c r="A35" s="3224"/>
      <c r="B35" s="3219"/>
      <c r="C35" s="1178" t="s">
        <v>1649</v>
      </c>
    </row>
    <row r="36" spans="1:3" ht="14.25">
      <c r="A36" s="3224"/>
      <c r="B36" s="3219"/>
      <c r="C36" s="1178" t="s">
        <v>1650</v>
      </c>
    </row>
    <row r="37" spans="1:3" ht="14.25">
      <c r="A37" s="3224"/>
      <c r="B37" s="322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43682</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1"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日，在规划利用条件下、设定土地开发程度为红线外“七通”、宗地内场地，设定用途为，剩余土地使用年限为的出让国有建设用地使用权价格。</v>
      </c>
      <c r="D53" s="1753"/>
      <c r="E53" s="1753"/>
    </row>
    <row r="54" spans="1:5">
      <c r="A54" s="3231"/>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2019-08-05T07:45:17Z</dcterms:modified>
</cp:coreProperties>
</file>